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DieseArbeitsmappe" defaultThemeVersion="124226"/>
  <bookViews>
    <workbookView xWindow="-180" yWindow="240" windowWidth="19380" windowHeight="9975" tabRatio="71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'Skill-O-Meter'!$D$1:$I$268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C1055" i="21"/>
  <c r="E1055" i="21" s="1"/>
  <c r="C1054" i="21"/>
  <c r="E1054" i="21" s="1"/>
  <c r="C1053" i="21"/>
  <c r="E1053" i="21" s="1"/>
  <c r="C1052" i="21"/>
  <c r="E1052" i="21" s="1"/>
  <c r="C1051" i="21"/>
  <c r="E1051" i="21" s="1"/>
  <c r="C1050" i="21"/>
  <c r="E1050" i="21" s="1"/>
  <c r="C1049" i="21"/>
  <c r="E1049" i="21" s="1"/>
  <c r="C1048" i="21"/>
  <c r="E1048" i="21" s="1"/>
  <c r="C1047" i="21"/>
  <c r="E1047" i="21" s="1"/>
  <c r="C1046" i="21"/>
  <c r="E1046" i="21" s="1"/>
  <c r="C1045" i="21"/>
  <c r="E1045" i="21" s="1"/>
  <c r="C1044" i="21"/>
  <c r="E1044" i="21" s="1"/>
  <c r="C1043" i="21"/>
  <c r="E1043" i="21" s="1"/>
  <c r="C1042" i="21"/>
  <c r="E1042" i="21" s="1"/>
  <c r="C1041" i="21"/>
  <c r="E1041" i="21" s="1"/>
  <c r="C1040" i="21"/>
  <c r="E1040" i="21" s="1"/>
  <c r="C1039" i="21"/>
  <c r="E1039" i="21" s="1"/>
  <c r="C1038" i="21"/>
  <c r="E1038" i="21" s="1"/>
  <c r="C1037" i="21"/>
  <c r="E1037" i="21" s="1"/>
  <c r="C1036" i="21"/>
  <c r="E1036" i="21" s="1"/>
  <c r="C1035" i="21"/>
  <c r="E1035" i="21" s="1"/>
  <c r="C1034" i="21"/>
  <c r="E1034" i="21" s="1"/>
  <c r="C1033" i="21"/>
  <c r="E1033" i="21" s="1"/>
  <c r="C1032" i="21"/>
  <c r="E1032" i="21" s="1"/>
  <c r="C1031" i="21"/>
  <c r="E1031" i="21" s="1"/>
  <c r="C1030" i="21"/>
  <c r="E1030" i="21" s="1"/>
  <c r="C1029" i="21"/>
  <c r="E1029" i="21" s="1"/>
  <c r="C1028" i="21"/>
  <c r="C1027" i="21"/>
  <c r="C1026" i="21"/>
  <c r="C1025" i="21"/>
  <c r="C1024" i="21"/>
  <c r="C1023" i="21"/>
  <c r="C1022" i="21"/>
  <c r="C1021" i="21"/>
  <c r="C1020" i="21"/>
  <c r="C1019" i="21"/>
  <c r="C1018" i="21"/>
  <c r="C1017" i="21"/>
  <c r="C1016" i="21"/>
  <c r="C1015" i="21"/>
  <c r="C1014" i="21"/>
  <c r="C1013" i="21"/>
  <c r="C1012" i="21"/>
  <c r="C1011" i="21"/>
  <c r="C1010" i="21"/>
  <c r="C1009" i="21"/>
  <c r="C1008" i="21"/>
  <c r="C1007" i="21"/>
  <c r="C1006" i="21"/>
  <c r="C1005" i="21"/>
  <c r="C1004" i="21"/>
  <c r="C1003" i="21"/>
  <c r="C1002" i="21"/>
  <c r="C1001" i="21"/>
  <c r="C1000" i="21"/>
  <c r="C999" i="21"/>
  <c r="C998" i="21"/>
  <c r="C997" i="21"/>
  <c r="C996" i="21"/>
  <c r="C995" i="21"/>
  <c r="C994" i="21"/>
  <c r="C993" i="21"/>
  <c r="C992" i="21"/>
  <c r="C991" i="21"/>
  <c r="C990" i="21"/>
  <c r="C989" i="21"/>
  <c r="C988" i="21"/>
  <c r="C987" i="21"/>
  <c r="C986" i="21"/>
  <c r="C985" i="21"/>
  <c r="C984" i="21"/>
  <c r="C983" i="21"/>
  <c r="C982" i="21"/>
  <c r="C981" i="21"/>
  <c r="C980" i="21"/>
  <c r="C979" i="21"/>
  <c r="C978" i="21"/>
  <c r="C977" i="21"/>
  <c r="C976" i="21"/>
  <c r="C975" i="21"/>
  <c r="C974" i="21"/>
  <c r="C973" i="21"/>
  <c r="C972" i="21"/>
  <c r="C971" i="21"/>
  <c r="C970" i="21"/>
  <c r="C969" i="21"/>
  <c r="C968" i="21"/>
  <c r="C967" i="21"/>
  <c r="C966" i="21"/>
  <c r="C965" i="21"/>
  <c r="C964" i="21"/>
  <c r="C963" i="21"/>
  <c r="C962" i="21"/>
  <c r="C961" i="21"/>
  <c r="C960" i="21"/>
  <c r="C959" i="21"/>
  <c r="C958" i="21"/>
  <c r="C957" i="21"/>
  <c r="C956" i="21"/>
  <c r="C955" i="21"/>
  <c r="C954" i="21"/>
  <c r="C953" i="21"/>
  <c r="C952" i="21"/>
  <c r="C951" i="21"/>
  <c r="C950" i="21"/>
  <c r="C949" i="21"/>
  <c r="C948" i="21"/>
  <c r="C947" i="21"/>
  <c r="C946" i="21"/>
  <c r="C945" i="21"/>
  <c r="C944" i="21"/>
  <c r="C943" i="21"/>
  <c r="C942" i="21"/>
  <c r="C941" i="21"/>
  <c r="C940" i="21"/>
  <c r="C939" i="21"/>
  <c r="C938" i="21"/>
  <c r="C937" i="21"/>
  <c r="C936" i="21"/>
  <c r="C935" i="21"/>
  <c r="C934" i="21"/>
  <c r="C933" i="21"/>
  <c r="C932" i="21"/>
  <c r="C931" i="21"/>
  <c r="C930" i="21"/>
  <c r="C929" i="21"/>
  <c r="C928" i="21"/>
  <c r="C927" i="21"/>
  <c r="C926" i="21"/>
  <c r="C925" i="21"/>
  <c r="C924" i="21"/>
  <c r="C923" i="21"/>
  <c r="C922" i="21"/>
  <c r="C921" i="21"/>
  <c r="C920" i="21"/>
  <c r="C919" i="21"/>
  <c r="C918" i="21"/>
  <c r="C917" i="21"/>
  <c r="C916" i="21"/>
  <c r="C915" i="21"/>
  <c r="C914" i="21"/>
  <c r="C913" i="21"/>
  <c r="C912" i="21"/>
  <c r="C911" i="21"/>
  <c r="C910" i="21"/>
  <c r="C909" i="21"/>
  <c r="C908" i="21"/>
  <c r="C907" i="21"/>
  <c r="C906" i="21"/>
  <c r="C905" i="21"/>
  <c r="C904" i="21"/>
  <c r="C903" i="21"/>
  <c r="C902" i="21"/>
  <c r="C901" i="21"/>
  <c r="C900" i="21"/>
  <c r="C899" i="21"/>
  <c r="C898" i="21"/>
  <c r="C897" i="21"/>
  <c r="C896" i="21"/>
  <c r="C895" i="21"/>
  <c r="C894" i="21"/>
  <c r="C893" i="21"/>
  <c r="C892" i="21"/>
  <c r="C891" i="21"/>
  <c r="C890" i="21"/>
  <c r="C889" i="21"/>
  <c r="C888" i="21"/>
  <c r="C887" i="21"/>
  <c r="C886" i="21"/>
  <c r="C885" i="21"/>
  <c r="C884" i="21"/>
  <c r="C883" i="21"/>
  <c r="C882" i="21"/>
  <c r="C881" i="21"/>
  <c r="C880" i="21"/>
  <c r="C879" i="21"/>
  <c r="C878" i="21"/>
  <c r="C877" i="21"/>
  <c r="C876" i="21"/>
  <c r="C875" i="21"/>
  <c r="C874" i="21"/>
  <c r="C873" i="21"/>
  <c r="C872" i="21"/>
  <c r="C871" i="21"/>
  <c r="C870" i="21"/>
  <c r="C869" i="21"/>
  <c r="C868" i="21"/>
  <c r="C867" i="21"/>
  <c r="C866" i="21"/>
  <c r="C865" i="21"/>
  <c r="C864" i="21"/>
  <c r="C863" i="21"/>
  <c r="C862" i="21"/>
  <c r="C861" i="21"/>
  <c r="C860" i="21"/>
  <c r="C859" i="21"/>
  <c r="C858" i="21"/>
  <c r="C857" i="21"/>
  <c r="C856" i="21"/>
  <c r="C855" i="21"/>
  <c r="C854" i="21"/>
  <c r="C853" i="21"/>
  <c r="C852" i="21"/>
  <c r="C851" i="21"/>
  <c r="C850" i="21"/>
  <c r="C849" i="21"/>
  <c r="C848" i="21"/>
  <c r="C847" i="21"/>
  <c r="C846" i="21"/>
  <c r="C845" i="21"/>
  <c r="C844" i="21"/>
  <c r="C843" i="21"/>
  <c r="C842" i="21"/>
  <c r="C841" i="21"/>
  <c r="C840" i="21"/>
  <c r="C839" i="21"/>
  <c r="C838" i="21"/>
  <c r="C837" i="21"/>
  <c r="C836" i="21"/>
  <c r="C835" i="21"/>
  <c r="C834" i="21"/>
  <c r="C833" i="21"/>
  <c r="C832" i="21"/>
  <c r="C831" i="21"/>
  <c r="C830" i="21"/>
  <c r="C829" i="21"/>
  <c r="C828" i="21"/>
  <c r="C827" i="21"/>
  <c r="C826" i="21"/>
  <c r="C825" i="21"/>
  <c r="C824" i="21"/>
  <c r="C823" i="21"/>
  <c r="C822" i="21"/>
  <c r="C821" i="21"/>
  <c r="C820" i="21"/>
  <c r="C819" i="21"/>
  <c r="C818" i="21"/>
  <c r="C817" i="21"/>
  <c r="C816" i="21"/>
  <c r="C815" i="21"/>
  <c r="C814" i="21"/>
  <c r="C813" i="21"/>
  <c r="C812" i="21"/>
  <c r="E812" i="21" s="1"/>
  <c r="C811" i="21"/>
  <c r="E811" i="21" s="1"/>
  <c r="C810" i="21"/>
  <c r="E810" i="21" s="1"/>
  <c r="C809" i="21"/>
  <c r="E809" i="21" s="1"/>
  <c r="C808" i="21"/>
  <c r="E808" i="21" s="1"/>
  <c r="C807" i="21"/>
  <c r="E807" i="21" s="1"/>
  <c r="C806" i="21"/>
  <c r="E806" i="21" s="1"/>
  <c r="C805" i="21"/>
  <c r="E805" i="21" s="1"/>
  <c r="C804" i="21"/>
  <c r="E804" i="21" s="1"/>
  <c r="C803" i="21"/>
  <c r="E803" i="21" s="1"/>
  <c r="C802" i="21"/>
  <c r="E802" i="21" s="1"/>
  <c r="C801" i="21"/>
  <c r="E801" i="21" s="1"/>
  <c r="C800" i="21"/>
  <c r="E800" i="21" s="1"/>
  <c r="C799" i="21"/>
  <c r="E799" i="21" s="1"/>
  <c r="C798" i="21"/>
  <c r="E798" i="21" s="1"/>
  <c r="C797" i="21"/>
  <c r="E797" i="21" s="1"/>
  <c r="C796" i="21"/>
  <c r="E796" i="21" s="1"/>
  <c r="C795" i="21"/>
  <c r="E795" i="21" s="1"/>
  <c r="C793" i="21"/>
  <c r="E793" i="21" s="1"/>
  <c r="C792" i="21"/>
  <c r="E792" i="21" s="1"/>
  <c r="C791" i="21"/>
  <c r="E791" i="21" s="1"/>
  <c r="C790" i="21"/>
  <c r="E790" i="21" s="1"/>
  <c r="C789" i="21"/>
  <c r="E789" i="21" s="1"/>
  <c r="C788" i="21"/>
  <c r="E788" i="21" s="1"/>
  <c r="C786" i="21"/>
  <c r="E786" i="21" s="1"/>
  <c r="C785" i="21"/>
  <c r="E785" i="21" s="1"/>
  <c r="C784" i="21"/>
  <c r="E784" i="21" s="1"/>
  <c r="C783" i="21"/>
  <c r="E783" i="21" s="1"/>
  <c r="C782" i="21"/>
  <c r="E782" i="21" s="1"/>
  <c r="C781" i="21"/>
  <c r="E781" i="21" s="1"/>
  <c r="C780" i="21"/>
  <c r="E780" i="21" s="1"/>
  <c r="C779" i="21"/>
  <c r="E779" i="21" s="1"/>
  <c r="C778" i="21"/>
  <c r="E778" i="21" s="1"/>
  <c r="C777" i="21"/>
  <c r="E777" i="21" s="1"/>
  <c r="C776" i="21"/>
  <c r="E776" i="21" s="1"/>
  <c r="C775" i="21"/>
  <c r="E775" i="21" s="1"/>
  <c r="C774" i="21"/>
  <c r="E774" i="21" s="1"/>
  <c r="C773" i="21"/>
  <c r="E773" i="21" s="1"/>
  <c r="C772" i="21"/>
  <c r="E772" i="21" s="1"/>
  <c r="C771" i="21"/>
  <c r="E771" i="21" s="1"/>
  <c r="C770" i="21"/>
  <c r="E770" i="21" s="1"/>
  <c r="C769" i="21"/>
  <c r="E769" i="21" s="1"/>
  <c r="C768" i="21"/>
  <c r="E768" i="21" s="1"/>
  <c r="C767" i="21"/>
  <c r="E767" i="21" s="1"/>
  <c r="C766" i="21"/>
  <c r="E766" i="21" s="1"/>
  <c r="C765" i="21"/>
  <c r="E765" i="21" s="1"/>
  <c r="C764" i="21"/>
  <c r="E764" i="21" s="1"/>
  <c r="C763" i="21"/>
  <c r="E763" i="21" s="1"/>
  <c r="C762" i="21"/>
  <c r="E762" i="21" s="1"/>
  <c r="C761" i="21"/>
  <c r="E761" i="21" s="1"/>
  <c r="C760" i="21"/>
  <c r="E760" i="21" s="1"/>
  <c r="C759" i="21"/>
  <c r="E759" i="21" s="1"/>
  <c r="C758" i="21"/>
  <c r="E758" i="21" s="1"/>
  <c r="C757" i="21"/>
  <c r="E757" i="21" s="1"/>
  <c r="C756" i="21"/>
  <c r="E756" i="21" s="1"/>
  <c r="C755" i="21"/>
  <c r="E755" i="21" s="1"/>
  <c r="C754" i="21"/>
  <c r="E754" i="21" s="1"/>
  <c r="C753" i="21"/>
  <c r="E753" i="21" s="1"/>
  <c r="C752" i="21"/>
  <c r="E752" i="21" s="1"/>
  <c r="C751" i="21"/>
  <c r="E751" i="21" s="1"/>
  <c r="C750" i="21"/>
  <c r="E750" i="21" s="1"/>
  <c r="C749" i="21"/>
  <c r="E749" i="21" s="1"/>
  <c r="C748" i="21"/>
  <c r="E748" i="21" s="1"/>
  <c r="C747" i="21"/>
  <c r="E747" i="21" s="1"/>
  <c r="C746" i="21"/>
  <c r="E746" i="21" s="1"/>
  <c r="C745" i="21"/>
  <c r="E745" i="21" s="1"/>
  <c r="C744" i="21"/>
  <c r="E744" i="21" s="1"/>
  <c r="C743" i="21"/>
  <c r="E743" i="21" s="1"/>
  <c r="C742" i="21"/>
  <c r="E742" i="21" s="1"/>
  <c r="C741" i="21"/>
  <c r="E741" i="21" s="1"/>
  <c r="C740" i="21"/>
  <c r="E740" i="21" s="1"/>
  <c r="C739" i="21"/>
  <c r="E739" i="21" s="1"/>
  <c r="C738" i="21"/>
  <c r="E738" i="21" s="1"/>
  <c r="C737" i="21"/>
  <c r="E737" i="21" s="1"/>
  <c r="C736" i="21"/>
  <c r="E736" i="21" s="1"/>
  <c r="C735" i="21"/>
  <c r="E735" i="21" s="1"/>
  <c r="C734" i="21"/>
  <c r="E734" i="21" s="1"/>
  <c r="C733" i="21"/>
  <c r="E733" i="21" s="1"/>
  <c r="C732" i="21"/>
  <c r="E732" i="21" s="1"/>
  <c r="C731" i="21"/>
  <c r="E731" i="21" s="1"/>
  <c r="C730" i="21"/>
  <c r="E730" i="21" s="1"/>
  <c r="C729" i="21"/>
  <c r="E729" i="21" s="1"/>
  <c r="C728" i="21"/>
  <c r="E728" i="21" s="1"/>
  <c r="C727" i="21"/>
  <c r="E727" i="21" s="1"/>
  <c r="C726" i="21"/>
  <c r="E726" i="21" s="1"/>
  <c r="C725" i="21"/>
  <c r="E725" i="21" s="1"/>
  <c r="C724" i="21"/>
  <c r="E724" i="21" s="1"/>
  <c r="C723" i="21"/>
  <c r="E723" i="21" s="1"/>
  <c r="C722" i="21"/>
  <c r="E722" i="21" s="1"/>
  <c r="C721" i="21"/>
  <c r="E721" i="21" s="1"/>
  <c r="C720" i="21"/>
  <c r="E720" i="21" s="1"/>
  <c r="C719" i="21"/>
  <c r="E719" i="21" s="1"/>
  <c r="C718" i="21"/>
  <c r="E718" i="21" s="1"/>
  <c r="C717" i="21"/>
  <c r="E717" i="21" s="1"/>
  <c r="C716" i="21"/>
  <c r="E716" i="21" s="1"/>
  <c r="C715" i="21"/>
  <c r="E715" i="21" s="1"/>
  <c r="C714" i="21"/>
  <c r="E714" i="21" s="1"/>
  <c r="C713" i="21"/>
  <c r="E713" i="21" s="1"/>
  <c r="C712" i="21"/>
  <c r="E712" i="21" s="1"/>
  <c r="C711" i="21"/>
  <c r="E711" i="21" s="1"/>
  <c r="C710" i="21"/>
  <c r="E710" i="21" s="1"/>
  <c r="C709" i="21"/>
  <c r="E709" i="21" s="1"/>
  <c r="C708" i="21"/>
  <c r="E708" i="21" s="1"/>
  <c r="C707" i="21"/>
  <c r="E707" i="21" s="1"/>
  <c r="C706" i="21"/>
  <c r="E706" i="21" s="1"/>
  <c r="C705" i="21"/>
  <c r="E705" i="21" s="1"/>
  <c r="C704" i="21"/>
  <c r="E704" i="21" s="1"/>
  <c r="C703" i="21"/>
  <c r="E703" i="21" s="1"/>
  <c r="C702" i="21"/>
  <c r="E702" i="21" s="1"/>
  <c r="C701" i="21"/>
  <c r="E701" i="21" s="1"/>
  <c r="C700" i="21"/>
  <c r="E700" i="21" s="1"/>
  <c r="C699" i="21"/>
  <c r="E699" i="21" s="1"/>
  <c r="C698" i="21"/>
  <c r="E698" i="21" s="1"/>
  <c r="C697" i="21"/>
  <c r="E697" i="21" s="1"/>
  <c r="C696" i="21"/>
  <c r="E696" i="21" s="1"/>
  <c r="C695" i="21"/>
  <c r="E695" i="21" s="1"/>
  <c r="C694" i="21"/>
  <c r="E694" i="21" s="1"/>
  <c r="C693" i="21"/>
  <c r="E693" i="21" s="1"/>
  <c r="C692" i="21"/>
  <c r="E692" i="21" s="1"/>
  <c r="C691" i="21"/>
  <c r="E691" i="21" s="1"/>
  <c r="C690" i="21"/>
  <c r="E690" i="21" s="1"/>
  <c r="C689" i="21"/>
  <c r="E689" i="21" s="1"/>
  <c r="C688" i="21"/>
  <c r="E688" i="21" s="1"/>
  <c r="C687" i="21"/>
  <c r="E687" i="21" s="1"/>
  <c r="C686" i="21"/>
  <c r="E686" i="21" s="1"/>
  <c r="C685" i="21"/>
  <c r="E685" i="21" s="1"/>
  <c r="C684" i="21"/>
  <c r="E684" i="21" s="1"/>
  <c r="C683" i="21"/>
  <c r="E683" i="21" s="1"/>
  <c r="C682" i="21"/>
  <c r="E682" i="21" s="1"/>
  <c r="C681" i="21"/>
  <c r="E681" i="21" s="1"/>
  <c r="C680" i="21"/>
  <c r="E680" i="21" s="1"/>
  <c r="C679" i="21"/>
  <c r="E679" i="21" s="1"/>
  <c r="C678" i="21"/>
  <c r="E678" i="21" s="1"/>
  <c r="C670" i="21"/>
  <c r="E670" i="21" s="1"/>
  <c r="C669" i="21"/>
  <c r="E669" i="21" s="1"/>
  <c r="C668" i="21"/>
  <c r="E668" i="21" s="1"/>
  <c r="C667" i="21"/>
  <c r="E667" i="21" s="1"/>
  <c r="C666" i="21"/>
  <c r="E666" i="21" s="1"/>
  <c r="C665" i="21"/>
  <c r="E665" i="21" s="1"/>
  <c r="C664" i="21"/>
  <c r="E664" i="21" s="1"/>
  <c r="C663" i="21"/>
  <c r="E663" i="21" s="1"/>
  <c r="C662" i="21"/>
  <c r="E662" i="21" s="1"/>
  <c r="C661" i="21"/>
  <c r="E661" i="21" s="1"/>
  <c r="C660" i="21"/>
  <c r="E660" i="21" s="1"/>
  <c r="C658" i="21"/>
  <c r="E658" i="21" s="1"/>
  <c r="C657" i="21"/>
  <c r="E657" i="21" s="1"/>
  <c r="C656" i="21"/>
  <c r="E656" i="21" s="1"/>
  <c r="C655" i="21"/>
  <c r="E655" i="21" s="1"/>
  <c r="C654" i="21"/>
  <c r="E654" i="21" s="1"/>
  <c r="C653" i="21"/>
  <c r="E653" i="21" s="1"/>
  <c r="C651" i="21"/>
  <c r="E651" i="21" s="1"/>
  <c r="C650" i="21"/>
  <c r="E650" i="21" s="1"/>
  <c r="C649" i="21"/>
  <c r="E649" i="21" s="1"/>
  <c r="C648" i="21"/>
  <c r="E648" i="21" s="1"/>
  <c r="C646" i="21"/>
  <c r="E646" i="21" s="1"/>
  <c r="C645" i="21"/>
  <c r="E645" i="21" s="1"/>
  <c r="C644" i="21"/>
  <c r="E644" i="21" s="1"/>
  <c r="C643" i="21"/>
  <c r="C642" i="21"/>
  <c r="C641" i="21"/>
  <c r="C640" i="21"/>
  <c r="C639" i="21"/>
  <c r="C638" i="21"/>
  <c r="C637" i="21"/>
  <c r="C636" i="21"/>
  <c r="C635" i="21"/>
  <c r="C634" i="21"/>
  <c r="C633" i="21"/>
  <c r="C632" i="21"/>
  <c r="C631" i="21"/>
  <c r="C630" i="21"/>
  <c r="C629" i="21"/>
  <c r="C628" i="21"/>
  <c r="C627" i="21"/>
  <c r="C626" i="21"/>
  <c r="C625" i="21"/>
  <c r="C624" i="21"/>
  <c r="C623" i="21"/>
  <c r="C622" i="21"/>
  <c r="C621" i="21"/>
  <c r="C620" i="21"/>
  <c r="C619" i="21"/>
  <c r="C618" i="21"/>
  <c r="C617" i="21"/>
  <c r="C616" i="21"/>
  <c r="C615" i="21"/>
  <c r="C614" i="21"/>
  <c r="C613" i="21"/>
  <c r="C612" i="21"/>
  <c r="C611" i="21"/>
  <c r="C610" i="21"/>
  <c r="C609" i="21"/>
  <c r="C608" i="21"/>
  <c r="C607" i="21"/>
  <c r="C606" i="21"/>
  <c r="C605" i="21"/>
  <c r="C604" i="21"/>
  <c r="C603" i="21"/>
  <c r="C602" i="21"/>
  <c r="C601" i="21"/>
  <c r="C600" i="21"/>
  <c r="C599" i="21"/>
  <c r="C598" i="21"/>
  <c r="C597" i="21"/>
  <c r="C596" i="21"/>
  <c r="C595" i="21"/>
  <c r="C594" i="21"/>
  <c r="C593" i="21"/>
  <c r="C592" i="21"/>
  <c r="C591" i="21"/>
  <c r="C590" i="21"/>
  <c r="C589" i="21"/>
  <c r="C588" i="21"/>
  <c r="C587" i="21"/>
  <c r="C586" i="21"/>
  <c r="C585" i="21"/>
  <c r="C584" i="21"/>
  <c r="C583" i="21"/>
  <c r="C582" i="21"/>
  <c r="C581" i="21"/>
  <c r="C580" i="21"/>
  <c r="C579" i="21"/>
  <c r="C578" i="21"/>
  <c r="C577" i="21"/>
  <c r="C576" i="21"/>
  <c r="C575" i="21"/>
  <c r="C574" i="21"/>
  <c r="C573" i="21"/>
  <c r="C572" i="21"/>
  <c r="C571" i="21"/>
  <c r="C570" i="21"/>
  <c r="C569" i="21"/>
  <c r="C568" i="21"/>
  <c r="C567" i="21"/>
  <c r="C566" i="21"/>
  <c r="C565" i="21"/>
  <c r="C564" i="21"/>
  <c r="C563" i="21"/>
  <c r="C562" i="21"/>
  <c r="C561" i="21"/>
  <c r="C560" i="21"/>
  <c r="C559" i="21"/>
  <c r="C558" i="21"/>
  <c r="C557" i="21"/>
  <c r="C556" i="21"/>
  <c r="C555" i="21"/>
  <c r="C554" i="21"/>
  <c r="C553" i="21"/>
  <c r="C552" i="21"/>
  <c r="C551" i="21"/>
  <c r="C550" i="21"/>
  <c r="C549" i="21"/>
  <c r="C548" i="21"/>
  <c r="C547" i="21"/>
  <c r="C546" i="21"/>
  <c r="C545" i="21"/>
  <c r="C544" i="21"/>
  <c r="C543" i="21"/>
  <c r="C542" i="21"/>
  <c r="C541" i="21"/>
  <c r="C540" i="21"/>
  <c r="C539" i="21"/>
  <c r="C538" i="21"/>
  <c r="C537" i="21"/>
  <c r="C536" i="21"/>
  <c r="C535" i="21"/>
  <c r="C534" i="21"/>
  <c r="C533" i="21"/>
  <c r="C532" i="21"/>
  <c r="C531" i="21"/>
  <c r="C530" i="21"/>
  <c r="C529" i="21"/>
  <c r="C528" i="21"/>
  <c r="C527" i="21"/>
  <c r="C526" i="21"/>
  <c r="C525" i="21"/>
  <c r="C524" i="21"/>
  <c r="C523" i="21"/>
  <c r="C522" i="21"/>
  <c r="C521" i="21"/>
  <c r="C520" i="21"/>
  <c r="C519" i="21"/>
  <c r="C518" i="21"/>
  <c r="C517" i="21"/>
  <c r="C516" i="21"/>
  <c r="C515" i="21"/>
  <c r="C514" i="21"/>
  <c r="C513" i="21"/>
  <c r="C512" i="21"/>
  <c r="C511" i="21"/>
  <c r="C510" i="21"/>
  <c r="C509" i="21"/>
  <c r="C508" i="21"/>
  <c r="C507" i="21"/>
  <c r="C506" i="21"/>
  <c r="C505" i="21"/>
  <c r="C504" i="21"/>
  <c r="C503" i="21"/>
  <c r="C502" i="21"/>
  <c r="C501" i="21"/>
  <c r="C500" i="21"/>
  <c r="C499" i="21"/>
  <c r="C498" i="21"/>
  <c r="C497" i="21"/>
  <c r="C496" i="21"/>
  <c r="C495" i="21"/>
  <c r="C494" i="21"/>
  <c r="C493" i="21"/>
  <c r="C492" i="21"/>
  <c r="C491" i="21"/>
  <c r="C490" i="21"/>
  <c r="C489" i="21"/>
  <c r="C488" i="21"/>
  <c r="C487" i="21"/>
  <c r="C486" i="21"/>
  <c r="C485" i="21"/>
  <c r="C484" i="21"/>
  <c r="C483" i="21"/>
  <c r="C482" i="21"/>
  <c r="C481" i="21"/>
  <c r="C480" i="21"/>
  <c r="C479" i="21"/>
  <c r="C478" i="21"/>
  <c r="C477" i="21"/>
  <c r="C476" i="21"/>
  <c r="C475" i="21"/>
  <c r="C474" i="21"/>
  <c r="C473" i="21"/>
  <c r="C472" i="21"/>
  <c r="C471" i="21"/>
  <c r="C470" i="21"/>
  <c r="C469" i="21"/>
  <c r="C468" i="21"/>
  <c r="C467" i="21"/>
  <c r="C466" i="21"/>
  <c r="C465" i="21"/>
  <c r="C464" i="21"/>
  <c r="C463" i="21"/>
  <c r="C462" i="21"/>
  <c r="C461" i="21"/>
  <c r="C460" i="21"/>
  <c r="C459" i="21"/>
  <c r="C458" i="21"/>
  <c r="C457" i="21"/>
  <c r="C456" i="21"/>
  <c r="C455" i="21"/>
  <c r="C454" i="21"/>
  <c r="C453" i="21"/>
  <c r="C452" i="21"/>
  <c r="C451" i="21"/>
  <c r="C450" i="21"/>
  <c r="C449" i="21"/>
  <c r="C448" i="21"/>
  <c r="C447" i="21"/>
  <c r="C446" i="21"/>
  <c r="C445" i="21"/>
  <c r="C444" i="21"/>
  <c r="C443" i="21"/>
  <c r="C442" i="21"/>
  <c r="C441" i="21"/>
  <c r="C440" i="21"/>
  <c r="C439" i="21"/>
  <c r="C438" i="21"/>
  <c r="C437" i="21"/>
  <c r="C436" i="21"/>
  <c r="C435" i="21"/>
  <c r="C434" i="21"/>
  <c r="C433" i="21"/>
  <c r="C432" i="21"/>
  <c r="C431" i="21"/>
  <c r="C430" i="21"/>
  <c r="C429" i="21"/>
  <c r="C428" i="21"/>
  <c r="C427" i="21"/>
  <c r="E427" i="21" s="1"/>
  <c r="C426" i="21"/>
  <c r="E426" i="21" s="1"/>
  <c r="C425" i="21"/>
  <c r="E425" i="21" s="1"/>
  <c r="C424" i="21"/>
  <c r="E424" i="21" s="1"/>
  <c r="C423" i="21"/>
  <c r="E423" i="21" s="1"/>
  <c r="C422" i="21"/>
  <c r="E422" i="21" s="1"/>
  <c r="C421" i="21"/>
  <c r="E421" i="21" s="1"/>
  <c r="C420" i="21"/>
  <c r="E420" i="21" s="1"/>
  <c r="C419" i="21"/>
  <c r="E419" i="21" s="1"/>
  <c r="C418" i="21"/>
  <c r="E418" i="21" s="1"/>
  <c r="C417" i="21"/>
  <c r="E417" i="21" s="1"/>
  <c r="C416" i="21"/>
  <c r="E416" i="21" s="1"/>
  <c r="C415" i="21"/>
  <c r="E415" i="21" s="1"/>
  <c r="C414" i="21"/>
  <c r="E414" i="21" s="1"/>
  <c r="C413" i="21"/>
  <c r="E413" i="21" s="1"/>
  <c r="C412" i="21"/>
  <c r="E412" i="21" s="1"/>
  <c r="C411" i="21"/>
  <c r="E411" i="21" s="1"/>
  <c r="C410" i="21"/>
  <c r="E410" i="21" s="1"/>
  <c r="C409" i="21"/>
  <c r="E409" i="21" s="1"/>
  <c r="C408" i="21"/>
  <c r="E408" i="21" s="1"/>
  <c r="C407" i="21"/>
  <c r="E407" i="21" s="1"/>
  <c r="C406" i="21"/>
  <c r="E406" i="21" s="1"/>
  <c r="C405" i="21"/>
  <c r="E405" i="21" s="1"/>
  <c r="C404" i="21"/>
  <c r="E404" i="21" s="1"/>
  <c r="C403" i="21"/>
  <c r="E403" i="21" s="1"/>
  <c r="C401" i="21"/>
  <c r="E401" i="21" s="1"/>
  <c r="C400" i="21"/>
  <c r="E400" i="21" s="1"/>
  <c r="C399" i="21"/>
  <c r="E399" i="21" s="1"/>
  <c r="C398" i="21"/>
  <c r="E398" i="21" s="1"/>
  <c r="C397" i="21"/>
  <c r="E397" i="21" s="1"/>
  <c r="C396" i="21"/>
  <c r="E396" i="21" s="1"/>
  <c r="C395" i="21"/>
  <c r="E395" i="21" s="1"/>
  <c r="C394" i="21"/>
  <c r="E394" i="21" s="1"/>
  <c r="C393" i="21"/>
  <c r="E393" i="21" s="1"/>
  <c r="C392" i="21"/>
  <c r="E392" i="21" s="1"/>
  <c r="C391" i="21"/>
  <c r="E391" i="21" s="1"/>
  <c r="C390" i="21"/>
  <c r="E390" i="21" s="1"/>
  <c r="C389" i="21"/>
  <c r="E389" i="21" s="1"/>
  <c r="C388" i="21"/>
  <c r="E388" i="21" s="1"/>
  <c r="C387" i="21"/>
  <c r="E387" i="21" s="1"/>
  <c r="C386" i="21"/>
  <c r="E386" i="21" s="1"/>
  <c r="C385" i="21"/>
  <c r="E385" i="21" s="1"/>
  <c r="C384" i="21"/>
  <c r="E384" i="21" s="1"/>
  <c r="C383" i="21"/>
  <c r="E383" i="21" s="1"/>
  <c r="C382" i="21"/>
  <c r="E382" i="21" s="1"/>
  <c r="C381" i="21"/>
  <c r="E381" i="21" s="1"/>
  <c r="C380" i="21"/>
  <c r="E380" i="21" s="1"/>
  <c r="C379" i="21"/>
  <c r="E379" i="21" s="1"/>
  <c r="C378" i="21"/>
  <c r="E378" i="21" s="1"/>
  <c r="C377" i="21"/>
  <c r="E377" i="21" s="1"/>
  <c r="C376" i="21"/>
  <c r="E376" i="21" s="1"/>
  <c r="C375" i="21"/>
  <c r="E375" i="21" s="1"/>
  <c r="C374" i="21"/>
  <c r="E374" i="21" s="1"/>
  <c r="C373" i="21"/>
  <c r="E373" i="21" s="1"/>
  <c r="C372" i="21"/>
  <c r="E372" i="21" s="1"/>
  <c r="C371" i="21"/>
  <c r="E371" i="21" s="1"/>
  <c r="C370" i="21"/>
  <c r="E370" i="21" s="1"/>
  <c r="C369" i="21"/>
  <c r="E369" i="21" s="1"/>
  <c r="C368" i="21"/>
  <c r="E368" i="21" s="1"/>
  <c r="C367" i="21"/>
  <c r="E367" i="21" s="1"/>
  <c r="C366" i="21"/>
  <c r="E366" i="21" s="1"/>
  <c r="C365" i="21"/>
  <c r="E365" i="21" s="1"/>
  <c r="C364" i="21"/>
  <c r="E364" i="21" s="1"/>
  <c r="C363" i="21"/>
  <c r="E363" i="21" s="1"/>
  <c r="C362" i="21"/>
  <c r="E362" i="21" s="1"/>
  <c r="C361" i="21"/>
  <c r="E361" i="21" s="1"/>
  <c r="C360" i="21"/>
  <c r="E360" i="21" s="1"/>
  <c r="C359" i="21"/>
  <c r="E359" i="21" s="1"/>
  <c r="C358" i="21"/>
  <c r="E358" i="21" s="1"/>
  <c r="C357" i="21"/>
  <c r="E357" i="21" s="1"/>
  <c r="C356" i="21"/>
  <c r="E356" i="21" s="1"/>
  <c r="C355" i="21"/>
  <c r="E355" i="21" s="1"/>
  <c r="C354" i="21"/>
  <c r="E354" i="21" s="1"/>
  <c r="C353" i="21"/>
  <c r="E353" i="21" s="1"/>
  <c r="C352" i="21"/>
  <c r="E352" i="21" s="1"/>
  <c r="C351" i="21"/>
  <c r="E351" i="21" s="1"/>
  <c r="C350" i="21"/>
  <c r="E350" i="21" s="1"/>
  <c r="C349" i="21"/>
  <c r="E349" i="21" s="1"/>
  <c r="C348" i="21"/>
  <c r="E348" i="21" s="1"/>
  <c r="C347" i="21"/>
  <c r="E347" i="21" s="1"/>
  <c r="C346" i="21"/>
  <c r="E346" i="21" s="1"/>
  <c r="C345" i="21"/>
  <c r="E345" i="21" s="1"/>
  <c r="C344" i="21"/>
  <c r="E344" i="21" s="1"/>
  <c r="C343" i="21"/>
  <c r="E343" i="21" s="1"/>
  <c r="C342" i="21"/>
  <c r="E342" i="21" s="1"/>
  <c r="C341" i="21"/>
  <c r="E341" i="21" s="1"/>
  <c r="C340" i="21"/>
  <c r="E340" i="21" s="1"/>
  <c r="C339" i="21"/>
  <c r="E339" i="21" s="1"/>
  <c r="C338" i="21"/>
  <c r="E338" i="21" s="1"/>
  <c r="C337" i="21"/>
  <c r="E337" i="21" s="1"/>
  <c r="C336" i="21"/>
  <c r="E336" i="21" s="1"/>
  <c r="C335" i="21"/>
  <c r="E335" i="21" s="1"/>
  <c r="C334" i="21"/>
  <c r="E334" i="21" s="1"/>
  <c r="C333" i="21"/>
  <c r="E333" i="21" s="1"/>
  <c r="C332" i="21"/>
  <c r="E332" i="21" s="1"/>
  <c r="C331" i="21"/>
  <c r="E331" i="21" s="1"/>
  <c r="C330" i="21"/>
  <c r="E330" i="21" s="1"/>
  <c r="C329" i="21"/>
  <c r="E329" i="21" s="1"/>
  <c r="C328" i="21"/>
  <c r="E328" i="21" s="1"/>
  <c r="C327" i="21"/>
  <c r="E327" i="21" s="1"/>
  <c r="C326" i="21"/>
  <c r="E326" i="21" s="1"/>
  <c r="C325" i="21"/>
  <c r="E325" i="21" s="1"/>
  <c r="C324" i="21"/>
  <c r="E324" i="21" s="1"/>
  <c r="C323" i="21"/>
  <c r="E323" i="21" s="1"/>
  <c r="C322" i="21"/>
  <c r="E322" i="21" s="1"/>
  <c r="C321" i="21"/>
  <c r="E321" i="21" s="1"/>
  <c r="C320" i="21"/>
  <c r="E320" i="21" s="1"/>
  <c r="C319" i="21"/>
  <c r="E319" i="21" s="1"/>
  <c r="C318" i="21"/>
  <c r="E318" i="21" s="1"/>
  <c r="C317" i="21"/>
  <c r="E317" i="21" s="1"/>
  <c r="C316" i="21"/>
  <c r="E316" i="21" s="1"/>
  <c r="C315" i="21"/>
  <c r="E315" i="21" s="1"/>
  <c r="C314" i="21"/>
  <c r="E314" i="21" s="1"/>
  <c r="C313" i="21"/>
  <c r="E313" i="21" s="1"/>
  <c r="C312" i="21"/>
  <c r="E312" i="21" s="1"/>
  <c r="C311" i="21"/>
  <c r="E311" i="21" s="1"/>
  <c r="C310" i="21"/>
  <c r="E310" i="21" s="1"/>
  <c r="C309" i="21"/>
  <c r="E309" i="21" s="1"/>
  <c r="C308" i="21"/>
  <c r="E308" i="21" s="1"/>
  <c r="C307" i="21"/>
  <c r="E307" i="21" s="1"/>
  <c r="C306" i="21"/>
  <c r="E306" i="21" s="1"/>
  <c r="C305" i="21"/>
  <c r="E305" i="21" s="1"/>
  <c r="C304" i="21"/>
  <c r="E304" i="21" s="1"/>
  <c r="C303" i="21"/>
  <c r="E303" i="21" s="1"/>
  <c r="C302" i="21"/>
  <c r="E302" i="21" s="1"/>
  <c r="C301" i="21"/>
  <c r="E301" i="21" s="1"/>
  <c r="C300" i="21"/>
  <c r="E300" i="21" s="1"/>
  <c r="C299" i="21"/>
  <c r="E299" i="21" s="1"/>
  <c r="C298" i="21"/>
  <c r="E298" i="21" s="1"/>
  <c r="C297" i="21"/>
  <c r="E297" i="21" s="1"/>
  <c r="C296" i="21"/>
  <c r="E296" i="21" s="1"/>
  <c r="C295" i="21"/>
  <c r="E295" i="21" s="1"/>
  <c r="C294" i="21"/>
  <c r="E294" i="21" s="1"/>
  <c r="C293" i="21"/>
  <c r="E293" i="21" s="1"/>
  <c r="C284" i="21"/>
  <c r="E284" i="21" s="1"/>
  <c r="H284" i="21" s="1" a="1"/>
  <c r="H284" i="21" s="1"/>
  <c r="K284" i="21" s="1" a="1"/>
  <c r="K284" i="21" s="1"/>
  <c r="C283" i="21"/>
  <c r="E283" i="21" s="1"/>
  <c r="H283" i="21" s="1" a="1"/>
  <c r="H283" i="21" s="1"/>
  <c r="P283" i="21" s="1"/>
  <c r="C282" i="21"/>
  <c r="E282" i="21" s="1"/>
  <c r="C281" i="21"/>
  <c r="E281" i="21" s="1"/>
  <c r="C280" i="21"/>
  <c r="E280" i="21" s="1"/>
  <c r="C279" i="21"/>
  <c r="E279" i="21" s="1"/>
  <c r="C278" i="21"/>
  <c r="E278" i="21" s="1"/>
  <c r="C277" i="21"/>
  <c r="E277" i="21" s="1"/>
  <c r="C276" i="21"/>
  <c r="E276" i="21" s="1"/>
  <c r="C275" i="21"/>
  <c r="E275" i="21" s="1"/>
  <c r="C274" i="21"/>
  <c r="E274" i="21" s="1"/>
  <c r="C273" i="21"/>
  <c r="E273" i="21" s="1"/>
  <c r="C272" i="21"/>
  <c r="E272" i="21" s="1"/>
  <c r="C271" i="21"/>
  <c r="E271" i="21" s="1"/>
  <c r="C270" i="21"/>
  <c r="E270" i="21" s="1"/>
  <c r="C269" i="21"/>
  <c r="E269" i="21" s="1"/>
  <c r="C268" i="21"/>
  <c r="E268" i="21" s="1"/>
  <c r="C267" i="21"/>
  <c r="E267" i="21" s="1"/>
  <c r="C266" i="21"/>
  <c r="E266" i="21" s="1"/>
  <c r="C265" i="21"/>
  <c r="E265" i="21" s="1"/>
  <c r="C264" i="21"/>
  <c r="E264" i="21" s="1"/>
  <c r="C263" i="21"/>
  <c r="E263" i="21" s="1"/>
  <c r="C262" i="21"/>
  <c r="E262" i="21" s="1"/>
  <c r="C261" i="21"/>
  <c r="E261" i="21" s="1"/>
  <c r="C260" i="21"/>
  <c r="E260" i="21" s="1"/>
  <c r="C258" i="21"/>
  <c r="E258" i="21" s="1"/>
  <c r="C200" i="21"/>
  <c r="C199" i="21"/>
  <c r="C198" i="21"/>
  <c r="C197" i="21"/>
  <c r="C196" i="21"/>
  <c r="C195" i="21"/>
  <c r="C194" i="21"/>
  <c r="C193" i="21"/>
  <c r="C192" i="21"/>
  <c r="C191" i="21"/>
  <c r="C190" i="21"/>
  <c r="C189" i="21"/>
  <c r="C188" i="21"/>
  <c r="C187" i="21"/>
  <c r="C186" i="21"/>
  <c r="C185" i="21"/>
  <c r="C184" i="21"/>
  <c r="C183" i="21"/>
  <c r="C182" i="21"/>
  <c r="C181" i="21"/>
  <c r="C180" i="21"/>
  <c r="C179" i="21"/>
  <c r="C178" i="21"/>
  <c r="C177" i="21"/>
  <c r="C176" i="21"/>
  <c r="C175" i="21"/>
  <c r="C174" i="21"/>
  <c r="C172" i="21"/>
  <c r="C171" i="21"/>
  <c r="C170" i="21"/>
  <c r="C169" i="21"/>
  <c r="C168" i="21"/>
  <c r="C167" i="21"/>
  <c r="C166" i="21"/>
  <c r="C165" i="21"/>
  <c r="C164" i="21"/>
  <c r="C163" i="21"/>
  <c r="C162" i="21"/>
  <c r="C161" i="21"/>
  <c r="C160" i="21"/>
  <c r="C159" i="21"/>
  <c r="C158" i="21"/>
  <c r="C157" i="21"/>
  <c r="C156" i="21"/>
  <c r="C155" i="21"/>
  <c r="C154" i="21"/>
  <c r="C153" i="21"/>
  <c r="C152" i="21"/>
  <c r="C151" i="21"/>
  <c r="C150" i="21"/>
  <c r="C149" i="21"/>
  <c r="C148" i="21"/>
  <c r="C147" i="21"/>
  <c r="C146" i="21"/>
  <c r="C144" i="21"/>
  <c r="C143" i="21"/>
  <c r="C142" i="21"/>
  <c r="C141" i="21"/>
  <c r="C140" i="21"/>
  <c r="C139" i="21"/>
  <c r="C138" i="21"/>
  <c r="C137" i="21"/>
  <c r="C136" i="21"/>
  <c r="C135" i="21"/>
  <c r="C134" i="21"/>
  <c r="C133" i="21"/>
  <c r="C132" i="21"/>
  <c r="C131" i="21"/>
  <c r="C130" i="21"/>
  <c r="C129" i="21"/>
  <c r="C128" i="21"/>
  <c r="C127" i="21"/>
  <c r="C126" i="21"/>
  <c r="C125" i="21"/>
  <c r="C124" i="21"/>
  <c r="C123" i="21"/>
  <c r="C122" i="21"/>
  <c r="C121" i="21"/>
  <c r="C120" i="21"/>
  <c r="C119" i="21"/>
  <c r="C118" i="21"/>
  <c r="C116" i="21"/>
  <c r="C115" i="21"/>
  <c r="C114" i="21"/>
  <c r="C113" i="21"/>
  <c r="C112" i="21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34" i="21"/>
  <c r="C33" i="21"/>
  <c r="H33" i="21" s="1"/>
  <c r="P33" i="21" s="1"/>
  <c r="C32" i="21"/>
  <c r="C31" i="21"/>
  <c r="H31" i="21" s="1"/>
  <c r="P31" i="21" s="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AC1" i="5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D1092" i="21" a="1"/>
  <c r="D1092" i="21" s="1"/>
  <c r="H1092" i="21" s="1"/>
  <c r="L1092" i="21" s="1"/>
  <c r="D1090" i="21" a="1"/>
  <c r="D1090" i="21" s="1"/>
  <c r="H1090" i="21" s="1"/>
  <c r="L1090" i="21" s="1"/>
  <c r="D1089" i="21" a="1"/>
  <c r="D1089" i="21" s="1"/>
  <c r="H1089" i="21" s="1"/>
  <c r="K1089" i="21" s="1"/>
  <c r="L1089" i="21" s="1"/>
  <c r="I18" i="15"/>
  <c r="I16" i="15"/>
  <c r="H34" i="21"/>
  <c r="P34" i="21" s="1"/>
  <c r="H32" i="21"/>
  <c r="P32" i="21" s="1"/>
  <c r="H30" i="21"/>
  <c r="P30" i="21" s="1"/>
  <c r="H26" i="21"/>
  <c r="P26" i="21" s="1"/>
  <c r="H25" i="21"/>
  <c r="P25" i="21" s="1"/>
  <c r="B200" i="21"/>
  <c r="B199" i="21"/>
  <c r="B198" i="21"/>
  <c r="B197" i="21"/>
  <c r="B196" i="21"/>
  <c r="B195" i="21"/>
  <c r="B194" i="21"/>
  <c r="B193" i="21"/>
  <c r="B192" i="21"/>
  <c r="B191" i="21"/>
  <c r="B190" i="21"/>
  <c r="B189" i="21"/>
  <c r="B188" i="21"/>
  <c r="B187" i="21"/>
  <c r="B186" i="21"/>
  <c r="B185" i="21"/>
  <c r="B184" i="21"/>
  <c r="B183" i="21"/>
  <c r="B182" i="21"/>
  <c r="B181" i="21"/>
  <c r="B180" i="21"/>
  <c r="B179" i="21"/>
  <c r="B178" i="21"/>
  <c r="B177" i="21"/>
  <c r="B176" i="21"/>
  <c r="B175" i="21"/>
  <c r="B174" i="21"/>
  <c r="B172" i="21"/>
  <c r="B171" i="2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9" i="21"/>
  <c r="B148" i="21"/>
  <c r="B147" i="21"/>
  <c r="B146" i="21"/>
  <c r="B144" i="21"/>
  <c r="B143" i="21"/>
  <c r="B142" i="21"/>
  <c r="B141" i="21"/>
  <c r="B140" i="21"/>
  <c r="B139" i="21"/>
  <c r="B138" i="21"/>
  <c r="B137" i="21"/>
  <c r="B136" i="21"/>
  <c r="B135" i="21"/>
  <c r="B134" i="21"/>
  <c r="B133" i="21"/>
  <c r="B132" i="21"/>
  <c r="B131" i="21"/>
  <c r="B130" i="21"/>
  <c r="B129" i="21"/>
  <c r="B128" i="21"/>
  <c r="B127" i="21"/>
  <c r="B126" i="21"/>
  <c r="B125" i="21"/>
  <c r="B124" i="21"/>
  <c r="B123" i="21"/>
  <c r="B122" i="21"/>
  <c r="B121" i="21"/>
  <c r="B120" i="21"/>
  <c r="B119" i="21"/>
  <c r="B118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A1101" i="21"/>
  <c r="A1100" i="21"/>
  <c r="A1099" i="21"/>
  <c r="A1098" i="21"/>
  <c r="A1097" i="21"/>
  <c r="A1096" i="21"/>
  <c r="A1095" i="21"/>
  <c r="A1094" i="21"/>
  <c r="A1085" i="21"/>
  <c r="A1084" i="21"/>
  <c r="A1083" i="21"/>
  <c r="A1082" i="21"/>
  <c r="A1075" i="21"/>
  <c r="A1074" i="21"/>
  <c r="A1073" i="21"/>
  <c r="A1072" i="21"/>
  <c r="A1065" i="21"/>
  <c r="A1064" i="21"/>
  <c r="A1063" i="21"/>
  <c r="A1062" i="21"/>
  <c r="D1055" i="21"/>
  <c r="A1055" i="21"/>
  <c r="D1054" i="21"/>
  <c r="A1054" i="21"/>
  <c r="D1053" i="21"/>
  <c r="A1053" i="21"/>
  <c r="D1052" i="21"/>
  <c r="A1052" i="21"/>
  <c r="D1051" i="21"/>
  <c r="A1051" i="21"/>
  <c r="D1050" i="21"/>
  <c r="A1050" i="21"/>
  <c r="D1049" i="21"/>
  <c r="A1049" i="21"/>
  <c r="D1048" i="21"/>
  <c r="A1048" i="21"/>
  <c r="D1047" i="21"/>
  <c r="A1047" i="21"/>
  <c r="D1046" i="21"/>
  <c r="A1046" i="21"/>
  <c r="D1045" i="21"/>
  <c r="A1045" i="21"/>
  <c r="D1044" i="21"/>
  <c r="A1044" i="21"/>
  <c r="D1043" i="21"/>
  <c r="A1043" i="21"/>
  <c r="D1042" i="21"/>
  <c r="A1042" i="21"/>
  <c r="D1041" i="21"/>
  <c r="A1041" i="21"/>
  <c r="D1040" i="21"/>
  <c r="A1040" i="21"/>
  <c r="D1039" i="21"/>
  <c r="A1039" i="21"/>
  <c r="D1038" i="21"/>
  <c r="A1038" i="21"/>
  <c r="D1037" i="21"/>
  <c r="A1037" i="21"/>
  <c r="D1036" i="21"/>
  <c r="A1036" i="21"/>
  <c r="D1035" i="21"/>
  <c r="A1035" i="21"/>
  <c r="D1034" i="21"/>
  <c r="A1034" i="21"/>
  <c r="D1033" i="21"/>
  <c r="A1033" i="21"/>
  <c r="D1032" i="21"/>
  <c r="A1032" i="21"/>
  <c r="D1031" i="21"/>
  <c r="A1031" i="21"/>
  <c r="D1030" i="21"/>
  <c r="A1030" i="21"/>
  <c r="D1029" i="21"/>
  <c r="A1029" i="21"/>
  <c r="D1028" i="21"/>
  <c r="A1028" i="21"/>
  <c r="D1027" i="21"/>
  <c r="A1027" i="21"/>
  <c r="D1026" i="21"/>
  <c r="A1026" i="21"/>
  <c r="D1025" i="21"/>
  <c r="A1025" i="21"/>
  <c r="D1024" i="21"/>
  <c r="A1024" i="21"/>
  <c r="D1023" i="21"/>
  <c r="A1023" i="21"/>
  <c r="D1022" i="21"/>
  <c r="A1022" i="21"/>
  <c r="D1021" i="21"/>
  <c r="A1021" i="21"/>
  <c r="D1020" i="21"/>
  <c r="A1020" i="21"/>
  <c r="D1019" i="21"/>
  <c r="A1019" i="21"/>
  <c r="D1018" i="21"/>
  <c r="A1018" i="21"/>
  <c r="D1017" i="21"/>
  <c r="A1017" i="21"/>
  <c r="D1016" i="21"/>
  <c r="A1016" i="21"/>
  <c r="D1015" i="21"/>
  <c r="A1015" i="21"/>
  <c r="D1014" i="21"/>
  <c r="A1014" i="21"/>
  <c r="D1013" i="21"/>
  <c r="A1013" i="21"/>
  <c r="D1012" i="21"/>
  <c r="A1012" i="21"/>
  <c r="D1011" i="21"/>
  <c r="A1011" i="21"/>
  <c r="D1010" i="21"/>
  <c r="A1010" i="21"/>
  <c r="D1009" i="21"/>
  <c r="A1009" i="21"/>
  <c r="D1008" i="21"/>
  <c r="A1008" i="21"/>
  <c r="D1007" i="21"/>
  <c r="A1007" i="21"/>
  <c r="D1006" i="21"/>
  <c r="A1006" i="21"/>
  <c r="D1005" i="21"/>
  <c r="A1005" i="21"/>
  <c r="D1004" i="21"/>
  <c r="A1004" i="21"/>
  <c r="D1003" i="21"/>
  <c r="A1003" i="21"/>
  <c r="D1002" i="21"/>
  <c r="A1002" i="21"/>
  <c r="D1001" i="21"/>
  <c r="A1001" i="21"/>
  <c r="D1000" i="21"/>
  <c r="A1000" i="21"/>
  <c r="D999" i="21"/>
  <c r="A999" i="21"/>
  <c r="D998" i="21"/>
  <c r="A998" i="21"/>
  <c r="D997" i="21"/>
  <c r="A997" i="21"/>
  <c r="D996" i="21"/>
  <c r="A996" i="21"/>
  <c r="D995" i="21"/>
  <c r="A995" i="21"/>
  <c r="D994" i="21"/>
  <c r="A994" i="21"/>
  <c r="D993" i="21"/>
  <c r="A993" i="21"/>
  <c r="D992" i="21"/>
  <c r="A992" i="21"/>
  <c r="D991" i="21"/>
  <c r="A991" i="21"/>
  <c r="D990" i="21"/>
  <c r="A990" i="21"/>
  <c r="D989" i="21"/>
  <c r="A989" i="21"/>
  <c r="D988" i="21"/>
  <c r="A988" i="21"/>
  <c r="D987" i="21"/>
  <c r="A987" i="21"/>
  <c r="D986" i="21"/>
  <c r="A986" i="21"/>
  <c r="D985" i="21"/>
  <c r="A985" i="21"/>
  <c r="D984" i="21"/>
  <c r="A984" i="21"/>
  <c r="D983" i="21"/>
  <c r="A983" i="21"/>
  <c r="D982" i="21"/>
  <c r="A982" i="21"/>
  <c r="D981" i="21"/>
  <c r="A981" i="21"/>
  <c r="D980" i="21"/>
  <c r="A980" i="21"/>
  <c r="D979" i="21"/>
  <c r="A979" i="21"/>
  <c r="D978" i="21"/>
  <c r="A978" i="21"/>
  <c r="D977" i="21"/>
  <c r="A977" i="21"/>
  <c r="D976" i="21"/>
  <c r="A976" i="21"/>
  <c r="D975" i="21"/>
  <c r="A975" i="21"/>
  <c r="D974" i="21"/>
  <c r="A974" i="21"/>
  <c r="D973" i="21"/>
  <c r="A973" i="21"/>
  <c r="D972" i="21"/>
  <c r="A972" i="21"/>
  <c r="D971" i="21"/>
  <c r="A971" i="21"/>
  <c r="D970" i="21"/>
  <c r="A970" i="21"/>
  <c r="D969" i="21"/>
  <c r="A969" i="21"/>
  <c r="D968" i="21"/>
  <c r="A968" i="21"/>
  <c r="D967" i="21"/>
  <c r="A967" i="21"/>
  <c r="D966" i="21"/>
  <c r="A966" i="21"/>
  <c r="D965" i="21"/>
  <c r="A965" i="21"/>
  <c r="D964" i="21"/>
  <c r="A964" i="21"/>
  <c r="D963" i="21"/>
  <c r="A963" i="21"/>
  <c r="D962" i="21"/>
  <c r="A962" i="21"/>
  <c r="D961" i="21"/>
  <c r="A961" i="21"/>
  <c r="D960" i="21"/>
  <c r="A960" i="21"/>
  <c r="D959" i="21"/>
  <c r="A959" i="21"/>
  <c r="D958" i="21"/>
  <c r="A958" i="21"/>
  <c r="D957" i="21"/>
  <c r="A957" i="21"/>
  <c r="D956" i="21"/>
  <c r="A956" i="21"/>
  <c r="D955" i="21"/>
  <c r="A955" i="21"/>
  <c r="D954" i="21"/>
  <c r="A954" i="21"/>
  <c r="D953" i="21"/>
  <c r="A953" i="21"/>
  <c r="D952" i="21"/>
  <c r="A952" i="21"/>
  <c r="D951" i="21"/>
  <c r="A951" i="21"/>
  <c r="D950" i="21"/>
  <c r="A950" i="21"/>
  <c r="D949" i="21"/>
  <c r="A949" i="21"/>
  <c r="D948" i="21"/>
  <c r="A948" i="21"/>
  <c r="D947" i="21"/>
  <c r="A947" i="21"/>
  <c r="D946" i="21"/>
  <c r="A946" i="21"/>
  <c r="D945" i="21"/>
  <c r="A945" i="21"/>
  <c r="D944" i="21"/>
  <c r="A944" i="21"/>
  <c r="D943" i="21"/>
  <c r="A943" i="21"/>
  <c r="D942" i="21"/>
  <c r="A942" i="21"/>
  <c r="D941" i="21"/>
  <c r="A941" i="21"/>
  <c r="D940" i="21"/>
  <c r="A940" i="21"/>
  <c r="D939" i="21"/>
  <c r="A939" i="21"/>
  <c r="D938" i="21"/>
  <c r="A938" i="21"/>
  <c r="D937" i="21"/>
  <c r="A937" i="21"/>
  <c r="D936" i="21"/>
  <c r="A936" i="21"/>
  <c r="D935" i="21"/>
  <c r="A935" i="21"/>
  <c r="D934" i="21"/>
  <c r="A934" i="21"/>
  <c r="D933" i="21"/>
  <c r="A933" i="21"/>
  <c r="D932" i="21"/>
  <c r="A932" i="21"/>
  <c r="D931" i="21"/>
  <c r="A931" i="21"/>
  <c r="D930" i="21"/>
  <c r="A930" i="21"/>
  <c r="D929" i="21"/>
  <c r="A929" i="21"/>
  <c r="D928" i="21"/>
  <c r="A928" i="21"/>
  <c r="D927" i="21"/>
  <c r="A927" i="21"/>
  <c r="D926" i="21"/>
  <c r="A926" i="21"/>
  <c r="D925" i="21"/>
  <c r="A925" i="21"/>
  <c r="D924" i="21"/>
  <c r="A924" i="21"/>
  <c r="D923" i="21"/>
  <c r="A923" i="21"/>
  <c r="D922" i="21"/>
  <c r="A922" i="21"/>
  <c r="D921" i="21"/>
  <c r="A921" i="21"/>
  <c r="D920" i="21"/>
  <c r="A920" i="21"/>
  <c r="D919" i="21"/>
  <c r="A919" i="21"/>
  <c r="D918" i="21"/>
  <c r="A918" i="21"/>
  <c r="D917" i="21"/>
  <c r="A917" i="21"/>
  <c r="D916" i="21"/>
  <c r="A916" i="21"/>
  <c r="D915" i="21"/>
  <c r="A915" i="21"/>
  <c r="D914" i="21"/>
  <c r="A914" i="21"/>
  <c r="D913" i="21"/>
  <c r="A913" i="21"/>
  <c r="D912" i="21"/>
  <c r="A912" i="21"/>
  <c r="D911" i="21"/>
  <c r="A911" i="21"/>
  <c r="D910" i="21"/>
  <c r="A910" i="21"/>
  <c r="D909" i="21"/>
  <c r="A909" i="21"/>
  <c r="D908" i="21"/>
  <c r="A908" i="21"/>
  <c r="D907" i="21"/>
  <c r="A907" i="21"/>
  <c r="D906" i="21"/>
  <c r="A906" i="21"/>
  <c r="D905" i="21"/>
  <c r="A905" i="21"/>
  <c r="D904" i="21"/>
  <c r="A904" i="21"/>
  <c r="D903" i="21"/>
  <c r="A903" i="21"/>
  <c r="D902" i="21"/>
  <c r="A902" i="21"/>
  <c r="D901" i="21"/>
  <c r="A901" i="21"/>
  <c r="D900" i="21"/>
  <c r="A900" i="21"/>
  <c r="D899" i="21"/>
  <c r="A899" i="21"/>
  <c r="D898" i="21"/>
  <c r="A898" i="21"/>
  <c r="D897" i="21"/>
  <c r="A897" i="21"/>
  <c r="D896" i="21"/>
  <c r="A896" i="21"/>
  <c r="D895" i="21"/>
  <c r="A895" i="21"/>
  <c r="D894" i="21"/>
  <c r="A894" i="21"/>
  <c r="D893" i="21"/>
  <c r="A893" i="21"/>
  <c r="D892" i="21"/>
  <c r="A892" i="21"/>
  <c r="D891" i="21"/>
  <c r="A891" i="21"/>
  <c r="D890" i="21"/>
  <c r="A890" i="21"/>
  <c r="D889" i="21"/>
  <c r="A889" i="21"/>
  <c r="D888" i="21"/>
  <c r="A888" i="21"/>
  <c r="D887" i="21"/>
  <c r="A887" i="21"/>
  <c r="D886" i="21"/>
  <c r="A886" i="21"/>
  <c r="D885" i="21"/>
  <c r="A885" i="21"/>
  <c r="D884" i="21"/>
  <c r="A884" i="21"/>
  <c r="D883" i="21"/>
  <c r="A883" i="21"/>
  <c r="D882" i="21"/>
  <c r="A882" i="21"/>
  <c r="D881" i="21"/>
  <c r="A881" i="21"/>
  <c r="D880" i="21"/>
  <c r="A880" i="21"/>
  <c r="D879" i="21"/>
  <c r="A879" i="21"/>
  <c r="D878" i="21"/>
  <c r="A878" i="21"/>
  <c r="D877" i="21"/>
  <c r="A877" i="21"/>
  <c r="D876" i="21"/>
  <c r="A876" i="21"/>
  <c r="D875" i="21"/>
  <c r="A875" i="21"/>
  <c r="D874" i="21"/>
  <c r="A874" i="21"/>
  <c r="D873" i="21"/>
  <c r="A873" i="21"/>
  <c r="D872" i="21"/>
  <c r="A872" i="21"/>
  <c r="D871" i="21"/>
  <c r="A871" i="21"/>
  <c r="D870" i="21"/>
  <c r="A870" i="21"/>
  <c r="D869" i="21"/>
  <c r="A869" i="21"/>
  <c r="D868" i="21"/>
  <c r="A868" i="21"/>
  <c r="D867" i="21"/>
  <c r="A867" i="21"/>
  <c r="D866" i="21"/>
  <c r="A866" i="21"/>
  <c r="D865" i="21"/>
  <c r="A865" i="21"/>
  <c r="D864" i="21"/>
  <c r="A864" i="21"/>
  <c r="D863" i="21"/>
  <c r="A863" i="21"/>
  <c r="D862" i="21"/>
  <c r="A862" i="21"/>
  <c r="D861" i="21"/>
  <c r="A861" i="21"/>
  <c r="D860" i="21"/>
  <c r="A860" i="21"/>
  <c r="D859" i="21"/>
  <c r="A859" i="21"/>
  <c r="D858" i="21"/>
  <c r="A858" i="21"/>
  <c r="D857" i="21"/>
  <c r="A857" i="21"/>
  <c r="D856" i="21"/>
  <c r="A856" i="21"/>
  <c r="D855" i="21"/>
  <c r="A855" i="21"/>
  <c r="D854" i="21"/>
  <c r="A854" i="21"/>
  <c r="D853" i="21"/>
  <c r="A853" i="21"/>
  <c r="D852" i="21"/>
  <c r="A852" i="21"/>
  <c r="D851" i="21"/>
  <c r="A851" i="21"/>
  <c r="D850" i="21"/>
  <c r="A850" i="21"/>
  <c r="D849" i="21"/>
  <c r="A849" i="21"/>
  <c r="D848" i="21"/>
  <c r="A848" i="21"/>
  <c r="D847" i="21"/>
  <c r="A847" i="21"/>
  <c r="D846" i="21"/>
  <c r="A846" i="21"/>
  <c r="D845" i="21"/>
  <c r="A845" i="21"/>
  <c r="D844" i="21"/>
  <c r="A844" i="21"/>
  <c r="D843" i="21"/>
  <c r="A843" i="21"/>
  <c r="D842" i="21"/>
  <c r="A842" i="21"/>
  <c r="D841" i="21"/>
  <c r="A841" i="21"/>
  <c r="D840" i="21"/>
  <c r="A840" i="21"/>
  <c r="D839" i="21"/>
  <c r="A839" i="21"/>
  <c r="D838" i="21"/>
  <c r="A838" i="21"/>
  <c r="D837" i="21"/>
  <c r="A837" i="21"/>
  <c r="D836" i="21"/>
  <c r="A836" i="21"/>
  <c r="D835" i="21"/>
  <c r="A835" i="21"/>
  <c r="D834" i="21"/>
  <c r="A834" i="21"/>
  <c r="D833" i="21"/>
  <c r="A833" i="21"/>
  <c r="D832" i="21"/>
  <c r="A832" i="21"/>
  <c r="D831" i="21"/>
  <c r="A831" i="21"/>
  <c r="D830" i="21"/>
  <c r="A830" i="21"/>
  <c r="D829" i="21"/>
  <c r="A829" i="21"/>
  <c r="D828" i="21"/>
  <c r="A828" i="21"/>
  <c r="D827" i="21"/>
  <c r="A827" i="21"/>
  <c r="D826" i="21"/>
  <c r="A826" i="21"/>
  <c r="D825" i="21"/>
  <c r="A825" i="21"/>
  <c r="D824" i="21"/>
  <c r="A824" i="21"/>
  <c r="D823" i="21"/>
  <c r="A823" i="21"/>
  <c r="D822" i="21"/>
  <c r="A822" i="21"/>
  <c r="D821" i="21"/>
  <c r="A821" i="21"/>
  <c r="D820" i="21"/>
  <c r="A820" i="21"/>
  <c r="D819" i="21"/>
  <c r="A819" i="21"/>
  <c r="D818" i="21"/>
  <c r="A818" i="21"/>
  <c r="D817" i="21"/>
  <c r="A817" i="21"/>
  <c r="D816" i="21"/>
  <c r="A816" i="21"/>
  <c r="D815" i="21"/>
  <c r="A815" i="21"/>
  <c r="D814" i="21"/>
  <c r="A814" i="21"/>
  <c r="D813" i="21"/>
  <c r="A813" i="21"/>
  <c r="D812" i="21"/>
  <c r="D811" i="21"/>
  <c r="D810" i="21"/>
  <c r="D809" i="21"/>
  <c r="D808" i="21"/>
  <c r="D807" i="21"/>
  <c r="D806" i="21"/>
  <c r="D805" i="21"/>
  <c r="D804" i="21"/>
  <c r="D803" i="21"/>
  <c r="D802" i="21"/>
  <c r="D801" i="21"/>
  <c r="D800" i="21"/>
  <c r="D799" i="21"/>
  <c r="D798" i="21"/>
  <c r="D797" i="21"/>
  <c r="D796" i="21"/>
  <c r="D795" i="21"/>
  <c r="D793" i="21"/>
  <c r="D792" i="21"/>
  <c r="D791" i="21"/>
  <c r="D790" i="21"/>
  <c r="D789" i="21"/>
  <c r="D788" i="21"/>
  <c r="D786" i="21"/>
  <c r="D785" i="21"/>
  <c r="D784" i="21"/>
  <c r="D783" i="21"/>
  <c r="D782" i="21"/>
  <c r="D781" i="21"/>
  <c r="D780" i="21"/>
  <c r="D779" i="21"/>
  <c r="D778" i="21"/>
  <c r="D777" i="21"/>
  <c r="D776" i="21"/>
  <c r="D775" i="21"/>
  <c r="D774" i="21"/>
  <c r="D773" i="21"/>
  <c r="D772" i="21"/>
  <c r="D771" i="21"/>
  <c r="D770" i="21"/>
  <c r="D769" i="21"/>
  <c r="D768" i="21"/>
  <c r="D767" i="21"/>
  <c r="D766" i="21"/>
  <c r="D765" i="21"/>
  <c r="D764" i="21"/>
  <c r="D763" i="21"/>
  <c r="D762" i="21"/>
  <c r="D761" i="21"/>
  <c r="D760" i="21"/>
  <c r="D759" i="21"/>
  <c r="D758" i="21"/>
  <c r="D757" i="21"/>
  <c r="D756" i="21"/>
  <c r="D755" i="21"/>
  <c r="D754" i="21"/>
  <c r="D753" i="21"/>
  <c r="D752" i="21"/>
  <c r="D751" i="21"/>
  <c r="D750" i="21"/>
  <c r="D749" i="21"/>
  <c r="D748" i="21"/>
  <c r="D747" i="21"/>
  <c r="D746" i="21"/>
  <c r="D745" i="21"/>
  <c r="D744" i="21"/>
  <c r="D743" i="21"/>
  <c r="D742" i="21"/>
  <c r="D741" i="21"/>
  <c r="D740" i="21"/>
  <c r="D739" i="21"/>
  <c r="D738" i="21"/>
  <c r="D737" i="21"/>
  <c r="D736" i="21"/>
  <c r="D735" i="21"/>
  <c r="D734" i="21"/>
  <c r="D733" i="21"/>
  <c r="D732" i="21"/>
  <c r="D731" i="21"/>
  <c r="D730" i="21"/>
  <c r="D729" i="21"/>
  <c r="D728" i="21"/>
  <c r="D727" i="21"/>
  <c r="D726" i="21"/>
  <c r="D725" i="21"/>
  <c r="D724" i="21"/>
  <c r="D723" i="21"/>
  <c r="D722" i="21"/>
  <c r="D721" i="21"/>
  <c r="D720" i="21"/>
  <c r="D719" i="21"/>
  <c r="D718" i="21"/>
  <c r="D717" i="21"/>
  <c r="D716" i="21"/>
  <c r="D715" i="21"/>
  <c r="D714" i="21"/>
  <c r="D713" i="21"/>
  <c r="D712" i="21"/>
  <c r="D711" i="21"/>
  <c r="D710" i="21"/>
  <c r="D709" i="21"/>
  <c r="D708" i="21"/>
  <c r="D707" i="21"/>
  <c r="D706" i="21"/>
  <c r="D705" i="21"/>
  <c r="D704" i="21"/>
  <c r="D703" i="21"/>
  <c r="D702" i="21"/>
  <c r="D701" i="21"/>
  <c r="D700" i="21"/>
  <c r="D699" i="21"/>
  <c r="D698" i="21"/>
  <c r="D697" i="21"/>
  <c r="D696" i="21"/>
  <c r="D695" i="21"/>
  <c r="D694" i="21"/>
  <c r="D693" i="21"/>
  <c r="D692" i="21"/>
  <c r="D691" i="21"/>
  <c r="D690" i="21"/>
  <c r="D689" i="21"/>
  <c r="D688" i="21"/>
  <c r="D687" i="21"/>
  <c r="D686" i="21"/>
  <c r="D685" i="21"/>
  <c r="D684" i="21"/>
  <c r="D683" i="21"/>
  <c r="D682" i="21"/>
  <c r="D681" i="21"/>
  <c r="D680" i="21"/>
  <c r="D679" i="21"/>
  <c r="D678" i="21"/>
  <c r="A677" i="21"/>
  <c r="A676" i="21"/>
  <c r="D670" i="21"/>
  <c r="A670" i="21"/>
  <c r="D669" i="21"/>
  <c r="A669" i="21"/>
  <c r="D668" i="21"/>
  <c r="A668" i="21"/>
  <c r="D667" i="21"/>
  <c r="A667" i="21"/>
  <c r="D666" i="21"/>
  <c r="A666" i="21"/>
  <c r="D665" i="21"/>
  <c r="A665" i="21"/>
  <c r="D664" i="21"/>
  <c r="A664" i="21"/>
  <c r="D663" i="21"/>
  <c r="A663" i="21"/>
  <c r="D662" i="21"/>
  <c r="A662" i="21"/>
  <c r="D661" i="21"/>
  <c r="A661" i="21"/>
  <c r="D660" i="21"/>
  <c r="A660" i="21"/>
  <c r="D658" i="21"/>
  <c r="A658" i="21"/>
  <c r="D657" i="21"/>
  <c r="A657" i="21"/>
  <c r="D656" i="21"/>
  <c r="A656" i="21"/>
  <c r="D655" i="21"/>
  <c r="A655" i="21"/>
  <c r="D654" i="21"/>
  <c r="A654" i="21"/>
  <c r="D653" i="21"/>
  <c r="A653" i="21"/>
  <c r="D651" i="21"/>
  <c r="A651" i="21"/>
  <c r="D650" i="21"/>
  <c r="A650" i="21"/>
  <c r="D649" i="21"/>
  <c r="A649" i="21"/>
  <c r="D648" i="21"/>
  <c r="A648" i="21"/>
  <c r="D646" i="21"/>
  <c r="A646" i="21"/>
  <c r="D645" i="21"/>
  <c r="A645" i="21"/>
  <c r="D644" i="21"/>
  <c r="A644" i="21"/>
  <c r="D643" i="21"/>
  <c r="A643" i="21"/>
  <c r="D642" i="21"/>
  <c r="A642" i="21"/>
  <c r="D641" i="21"/>
  <c r="A641" i="21"/>
  <c r="D640" i="21"/>
  <c r="A640" i="21"/>
  <c r="D639" i="21"/>
  <c r="A639" i="21"/>
  <c r="D638" i="21"/>
  <c r="A638" i="21"/>
  <c r="D637" i="21"/>
  <c r="A637" i="21"/>
  <c r="D636" i="21"/>
  <c r="A636" i="21"/>
  <c r="D635" i="21"/>
  <c r="A635" i="21"/>
  <c r="D634" i="21"/>
  <c r="A634" i="21"/>
  <c r="D633" i="21"/>
  <c r="A633" i="21"/>
  <c r="D632" i="21"/>
  <c r="A632" i="21"/>
  <c r="D631" i="21"/>
  <c r="A631" i="21"/>
  <c r="D630" i="21"/>
  <c r="A630" i="21"/>
  <c r="D629" i="21"/>
  <c r="A629" i="21"/>
  <c r="D628" i="21"/>
  <c r="A628" i="21"/>
  <c r="D627" i="21"/>
  <c r="A627" i="21"/>
  <c r="D626" i="21"/>
  <c r="A626" i="21"/>
  <c r="D625" i="21"/>
  <c r="A625" i="21"/>
  <c r="D624" i="21"/>
  <c r="A624" i="21"/>
  <c r="D623" i="21"/>
  <c r="A623" i="21"/>
  <c r="D622" i="21"/>
  <c r="A622" i="21"/>
  <c r="D621" i="21"/>
  <c r="A621" i="21"/>
  <c r="D620" i="21"/>
  <c r="A620" i="21"/>
  <c r="D619" i="21"/>
  <c r="A619" i="21"/>
  <c r="D618" i="21"/>
  <c r="A618" i="21"/>
  <c r="D617" i="21"/>
  <c r="A617" i="21"/>
  <c r="D616" i="21"/>
  <c r="A616" i="21"/>
  <c r="D615" i="21"/>
  <c r="A615" i="21"/>
  <c r="D614" i="21"/>
  <c r="A614" i="21"/>
  <c r="D613" i="21"/>
  <c r="A613" i="21"/>
  <c r="D612" i="21"/>
  <c r="A612" i="21"/>
  <c r="D611" i="21"/>
  <c r="A611" i="21"/>
  <c r="D610" i="21"/>
  <c r="A610" i="21"/>
  <c r="D609" i="21"/>
  <c r="A609" i="21"/>
  <c r="D608" i="21"/>
  <c r="A608" i="21"/>
  <c r="D607" i="21"/>
  <c r="A607" i="21"/>
  <c r="D606" i="21"/>
  <c r="A606" i="21"/>
  <c r="D605" i="21"/>
  <c r="A605" i="21"/>
  <c r="D604" i="21"/>
  <c r="A604" i="21"/>
  <c r="D603" i="21"/>
  <c r="A603" i="21"/>
  <c r="D602" i="21"/>
  <c r="A602" i="21"/>
  <c r="D601" i="21"/>
  <c r="A601" i="21"/>
  <c r="D600" i="21"/>
  <c r="A600" i="21"/>
  <c r="D599" i="21"/>
  <c r="A599" i="21"/>
  <c r="D598" i="21"/>
  <c r="A598" i="21"/>
  <c r="D597" i="21"/>
  <c r="A597" i="21"/>
  <c r="D596" i="21"/>
  <c r="A596" i="21"/>
  <c r="D595" i="21"/>
  <c r="A595" i="21"/>
  <c r="D594" i="21"/>
  <c r="A594" i="21"/>
  <c r="D593" i="21"/>
  <c r="A593" i="21"/>
  <c r="D592" i="21"/>
  <c r="A592" i="21"/>
  <c r="D591" i="21"/>
  <c r="A591" i="21"/>
  <c r="D590" i="21"/>
  <c r="A590" i="21"/>
  <c r="D589" i="21"/>
  <c r="A589" i="21"/>
  <c r="D588" i="21"/>
  <c r="A588" i="21"/>
  <c r="D587" i="21"/>
  <c r="A587" i="21"/>
  <c r="D586" i="21"/>
  <c r="A586" i="21"/>
  <c r="D585" i="21"/>
  <c r="A585" i="21"/>
  <c r="D584" i="21"/>
  <c r="A584" i="21"/>
  <c r="D583" i="21"/>
  <c r="A583" i="21"/>
  <c r="D582" i="21"/>
  <c r="A582" i="21"/>
  <c r="D581" i="21"/>
  <c r="A581" i="21"/>
  <c r="D580" i="21"/>
  <c r="A580" i="21"/>
  <c r="D579" i="21"/>
  <c r="A579" i="21"/>
  <c r="D578" i="21"/>
  <c r="A578" i="21"/>
  <c r="D577" i="21"/>
  <c r="A577" i="21"/>
  <c r="D576" i="21"/>
  <c r="A576" i="21"/>
  <c r="D575" i="21"/>
  <c r="A575" i="21"/>
  <c r="D574" i="21"/>
  <c r="A574" i="21"/>
  <c r="D573" i="21"/>
  <c r="A573" i="21"/>
  <c r="D572" i="21"/>
  <c r="A572" i="21"/>
  <c r="D571" i="21"/>
  <c r="A571" i="21"/>
  <c r="D570" i="21"/>
  <c r="A570" i="21"/>
  <c r="D569" i="21"/>
  <c r="A569" i="21"/>
  <c r="D568" i="21"/>
  <c r="A568" i="21"/>
  <c r="D567" i="21"/>
  <c r="A567" i="21"/>
  <c r="D566" i="21"/>
  <c r="A566" i="21"/>
  <c r="D565" i="21"/>
  <c r="A565" i="21"/>
  <c r="D564" i="21"/>
  <c r="A564" i="21"/>
  <c r="D563" i="21"/>
  <c r="A563" i="21"/>
  <c r="D562" i="21"/>
  <c r="A562" i="21"/>
  <c r="D561" i="21"/>
  <c r="A561" i="21"/>
  <c r="D560" i="21"/>
  <c r="A560" i="21"/>
  <c r="D559" i="21"/>
  <c r="A559" i="21"/>
  <c r="D558" i="21"/>
  <c r="A558" i="21"/>
  <c r="D557" i="21"/>
  <c r="A557" i="21"/>
  <c r="D556" i="21"/>
  <c r="A556" i="21"/>
  <c r="D555" i="21"/>
  <c r="A555" i="21"/>
  <c r="D554" i="21"/>
  <c r="A554" i="21"/>
  <c r="D553" i="21"/>
  <c r="A553" i="21"/>
  <c r="D552" i="21"/>
  <c r="A552" i="21"/>
  <c r="D551" i="21"/>
  <c r="A551" i="21"/>
  <c r="D550" i="21"/>
  <c r="A550" i="21"/>
  <c r="D549" i="21"/>
  <c r="A549" i="21"/>
  <c r="D548" i="21"/>
  <c r="A548" i="21"/>
  <c r="D547" i="21"/>
  <c r="A547" i="21"/>
  <c r="D546" i="21"/>
  <c r="A546" i="21"/>
  <c r="D545" i="21"/>
  <c r="A545" i="21"/>
  <c r="D544" i="21"/>
  <c r="A544" i="21"/>
  <c r="D543" i="21"/>
  <c r="A543" i="21"/>
  <c r="D542" i="21"/>
  <c r="A542" i="21"/>
  <c r="D541" i="21"/>
  <c r="A541" i="21"/>
  <c r="D540" i="21"/>
  <c r="A540" i="21"/>
  <c r="D539" i="21"/>
  <c r="A539" i="21"/>
  <c r="D538" i="21"/>
  <c r="A538" i="21"/>
  <c r="D537" i="21"/>
  <c r="A537" i="21"/>
  <c r="D536" i="21"/>
  <c r="A536" i="21"/>
  <c r="D535" i="21"/>
  <c r="A535" i="21"/>
  <c r="D534" i="21"/>
  <c r="A534" i="21"/>
  <c r="D533" i="21"/>
  <c r="A533" i="21"/>
  <c r="D532" i="21"/>
  <c r="A532" i="21"/>
  <c r="D531" i="21"/>
  <c r="A531" i="21"/>
  <c r="D530" i="21"/>
  <c r="A530" i="21"/>
  <c r="D529" i="21"/>
  <c r="A529" i="21"/>
  <c r="D528" i="21"/>
  <c r="A528" i="21"/>
  <c r="D527" i="21"/>
  <c r="A527" i="21"/>
  <c r="D526" i="21"/>
  <c r="A526" i="21"/>
  <c r="D525" i="21"/>
  <c r="A525" i="21"/>
  <c r="D524" i="21"/>
  <c r="A524" i="21"/>
  <c r="D523" i="21"/>
  <c r="A523" i="21"/>
  <c r="D522" i="21"/>
  <c r="A522" i="21"/>
  <c r="D521" i="21"/>
  <c r="A521" i="21"/>
  <c r="D520" i="21"/>
  <c r="A520" i="21"/>
  <c r="D519" i="21"/>
  <c r="A519" i="21"/>
  <c r="D518" i="21"/>
  <c r="A518" i="21"/>
  <c r="D517" i="21"/>
  <c r="A517" i="21"/>
  <c r="D516" i="21"/>
  <c r="A516" i="21"/>
  <c r="D515" i="21"/>
  <c r="A515" i="21"/>
  <c r="D514" i="21"/>
  <c r="A514" i="21"/>
  <c r="D513" i="21"/>
  <c r="A513" i="21"/>
  <c r="D512" i="21"/>
  <c r="A512" i="21"/>
  <c r="D511" i="21"/>
  <c r="A511" i="21"/>
  <c r="D510" i="21"/>
  <c r="A510" i="21"/>
  <c r="D509" i="21"/>
  <c r="A509" i="21"/>
  <c r="D508" i="21"/>
  <c r="A508" i="21"/>
  <c r="D507" i="21"/>
  <c r="A507" i="21"/>
  <c r="D506" i="21"/>
  <c r="A506" i="21"/>
  <c r="D505" i="21"/>
  <c r="A505" i="21"/>
  <c r="D504" i="21"/>
  <c r="A504" i="21"/>
  <c r="D503" i="21"/>
  <c r="A503" i="21"/>
  <c r="D502" i="21"/>
  <c r="A502" i="21"/>
  <c r="D501" i="21"/>
  <c r="A501" i="21"/>
  <c r="D500" i="21"/>
  <c r="A500" i="21"/>
  <c r="D499" i="21"/>
  <c r="A499" i="21"/>
  <c r="D498" i="21"/>
  <c r="A498" i="21"/>
  <c r="D497" i="21"/>
  <c r="A497" i="21"/>
  <c r="D496" i="21"/>
  <c r="A496" i="21"/>
  <c r="D495" i="21"/>
  <c r="A495" i="21"/>
  <c r="D494" i="21"/>
  <c r="A494" i="21"/>
  <c r="D493" i="21"/>
  <c r="A493" i="21"/>
  <c r="D492" i="21"/>
  <c r="A492" i="21"/>
  <c r="D491" i="21"/>
  <c r="A491" i="21"/>
  <c r="D490" i="21"/>
  <c r="A490" i="21"/>
  <c r="D489" i="21"/>
  <c r="A489" i="21"/>
  <c r="D488" i="21"/>
  <c r="A488" i="21"/>
  <c r="D487" i="21"/>
  <c r="A487" i="21"/>
  <c r="D486" i="21"/>
  <c r="A486" i="21"/>
  <c r="D485" i="21"/>
  <c r="A485" i="21"/>
  <c r="D484" i="21"/>
  <c r="A484" i="21"/>
  <c r="D483" i="21"/>
  <c r="A483" i="21"/>
  <c r="D482" i="21"/>
  <c r="A482" i="21"/>
  <c r="D481" i="21"/>
  <c r="A481" i="21"/>
  <c r="D480" i="21"/>
  <c r="A480" i="21"/>
  <c r="D479" i="21"/>
  <c r="A479" i="21"/>
  <c r="D478" i="21"/>
  <c r="A478" i="21"/>
  <c r="D477" i="21"/>
  <c r="A477" i="21"/>
  <c r="D476" i="21"/>
  <c r="A476" i="21"/>
  <c r="D475" i="21"/>
  <c r="A475" i="21"/>
  <c r="D474" i="21"/>
  <c r="A474" i="21"/>
  <c r="D473" i="21"/>
  <c r="A473" i="21"/>
  <c r="D472" i="21"/>
  <c r="A472" i="21"/>
  <c r="D471" i="21"/>
  <c r="A471" i="21"/>
  <c r="D470" i="21"/>
  <c r="A470" i="21"/>
  <c r="D469" i="21"/>
  <c r="A469" i="21"/>
  <c r="D468" i="21"/>
  <c r="A468" i="21"/>
  <c r="D467" i="21"/>
  <c r="A467" i="21"/>
  <c r="D466" i="21"/>
  <c r="A466" i="21"/>
  <c r="D465" i="21"/>
  <c r="A465" i="21"/>
  <c r="D464" i="21"/>
  <c r="A464" i="21"/>
  <c r="D463" i="21"/>
  <c r="A463" i="21"/>
  <c r="D462" i="21"/>
  <c r="A462" i="21"/>
  <c r="D461" i="21"/>
  <c r="A461" i="21"/>
  <c r="D460" i="21"/>
  <c r="A460" i="21"/>
  <c r="D459" i="21"/>
  <c r="A459" i="21"/>
  <c r="D458" i="21"/>
  <c r="A458" i="21"/>
  <c r="D457" i="21"/>
  <c r="A457" i="21"/>
  <c r="D456" i="21"/>
  <c r="A456" i="21"/>
  <c r="D455" i="21"/>
  <c r="A455" i="21"/>
  <c r="D454" i="21"/>
  <c r="A454" i="21"/>
  <c r="D453" i="21"/>
  <c r="A453" i="21"/>
  <c r="D452" i="21"/>
  <c r="A452" i="21"/>
  <c r="D451" i="21"/>
  <c r="A451" i="21"/>
  <c r="D450" i="21"/>
  <c r="A450" i="21"/>
  <c r="D449" i="21"/>
  <c r="A449" i="21"/>
  <c r="D448" i="21"/>
  <c r="A448" i="21"/>
  <c r="D447" i="21"/>
  <c r="A447" i="21"/>
  <c r="D446" i="21"/>
  <c r="A446" i="21"/>
  <c r="D445" i="21"/>
  <c r="A445" i="21"/>
  <c r="D444" i="21"/>
  <c r="A444" i="21"/>
  <c r="D443" i="21"/>
  <c r="A443" i="21"/>
  <c r="D442" i="21"/>
  <c r="A442" i="21"/>
  <c r="D441" i="21"/>
  <c r="A441" i="21"/>
  <c r="D440" i="21"/>
  <c r="A440" i="21"/>
  <c r="D439" i="21"/>
  <c r="A439" i="21"/>
  <c r="D438" i="21"/>
  <c r="A438" i="21"/>
  <c r="D437" i="21"/>
  <c r="A437" i="21"/>
  <c r="D436" i="21"/>
  <c r="A436" i="21"/>
  <c r="D435" i="21"/>
  <c r="A435" i="21"/>
  <c r="D434" i="21"/>
  <c r="A434" i="21"/>
  <c r="D433" i="21"/>
  <c r="A433" i="21"/>
  <c r="D432" i="21"/>
  <c r="A432" i="21"/>
  <c r="D431" i="21"/>
  <c r="A431" i="21"/>
  <c r="D430" i="21"/>
  <c r="A430" i="21"/>
  <c r="D429" i="21"/>
  <c r="A429" i="21"/>
  <c r="D428" i="21"/>
  <c r="A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A292" i="21"/>
  <c r="A291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8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L271" i="21"/>
  <c r="L270" i="21"/>
  <c r="L269" i="21"/>
  <c r="L268" i="21"/>
  <c r="L267" i="21"/>
  <c r="L266" i="21"/>
  <c r="L265" i="21"/>
  <c r="L264" i="21"/>
  <c r="L263" i="21"/>
  <c r="L262" i="21"/>
  <c r="L261" i="21"/>
  <c r="L260" i="21"/>
  <c r="L258" i="21"/>
  <c r="L201" i="21"/>
  <c r="L173" i="21"/>
  <c r="L145" i="21"/>
  <c r="L117" i="21"/>
  <c r="L62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4" i="21"/>
  <c r="L3" i="21"/>
  <c r="AU189" i="9"/>
  <c r="AU181" i="9"/>
  <c r="AU149" i="9"/>
  <c r="AU109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9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S87" i="9"/>
  <c r="AT96" i="9"/>
  <c r="AT101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U90" i="9"/>
  <c r="AU94" i="9"/>
  <c r="AU98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B428" i="21"/>
  <c r="B430" i="21"/>
  <c r="B432" i="21"/>
  <c r="B434" i="21"/>
  <c r="B436" i="21"/>
  <c r="B438" i="21"/>
  <c r="B440" i="21"/>
  <c r="B442" i="21"/>
  <c r="B444" i="21"/>
  <c r="B446" i="21"/>
  <c r="B448" i="21"/>
  <c r="B450" i="21"/>
  <c r="B813" i="21"/>
  <c r="B815" i="21"/>
  <c r="B817" i="21"/>
  <c r="B819" i="21"/>
  <c r="B821" i="21"/>
  <c r="B823" i="21"/>
  <c r="B825" i="21"/>
  <c r="B827" i="21"/>
  <c r="B829" i="21"/>
  <c r="B831" i="21"/>
  <c r="B833" i="21"/>
  <c r="B835" i="21"/>
  <c r="B837" i="21"/>
  <c r="B839" i="21"/>
  <c r="B841" i="21"/>
  <c r="B843" i="21"/>
  <c r="B845" i="21"/>
  <c r="B847" i="21"/>
  <c r="B849" i="21"/>
  <c r="B851" i="21"/>
  <c r="B853" i="21"/>
  <c r="B855" i="21"/>
  <c r="B857" i="21"/>
  <c r="B859" i="21"/>
  <c r="B861" i="21"/>
  <c r="B863" i="21"/>
  <c r="B865" i="21"/>
  <c r="B867" i="21"/>
  <c r="B869" i="21"/>
  <c r="B871" i="21"/>
  <c r="B873" i="21"/>
  <c r="B875" i="21"/>
  <c r="B877" i="21"/>
  <c r="B879" i="21"/>
  <c r="B881" i="21"/>
  <c r="B883" i="21"/>
  <c r="B885" i="21"/>
  <c r="B887" i="21"/>
  <c r="B889" i="21"/>
  <c r="B891" i="21"/>
  <c r="B893" i="21"/>
  <c r="B895" i="21"/>
  <c r="B897" i="21"/>
  <c r="B899" i="21"/>
  <c r="B901" i="21"/>
  <c r="B903" i="21"/>
  <c r="B905" i="21"/>
  <c r="B907" i="21"/>
  <c r="B909" i="21"/>
  <c r="B911" i="21"/>
  <c r="B913" i="21"/>
  <c r="B915" i="21"/>
  <c r="B917" i="21"/>
  <c r="B919" i="21"/>
  <c r="B921" i="21"/>
  <c r="B923" i="21"/>
  <c r="B925" i="21"/>
  <c r="B927" i="21"/>
  <c r="B929" i="21"/>
  <c r="B931" i="21"/>
  <c r="B933" i="21"/>
  <c r="B935" i="21"/>
  <c r="B937" i="21"/>
  <c r="B939" i="21"/>
  <c r="B941" i="21"/>
  <c r="B943" i="21"/>
  <c r="B945" i="21"/>
  <c r="B947" i="21"/>
  <c r="B949" i="21"/>
  <c r="B951" i="21"/>
  <c r="B953" i="21"/>
  <c r="B453" i="21"/>
  <c r="B455" i="21"/>
  <c r="B457" i="21"/>
  <c r="B459" i="21"/>
  <c r="B461" i="21"/>
  <c r="B463" i="21"/>
  <c r="B465" i="21"/>
  <c r="B467" i="21"/>
  <c r="B469" i="21"/>
  <c r="B471" i="21"/>
  <c r="B473" i="21"/>
  <c r="B475" i="21"/>
  <c r="B477" i="21"/>
  <c r="B479" i="21"/>
  <c r="B481" i="21"/>
  <c r="B483" i="21"/>
  <c r="B485" i="21"/>
  <c r="B487" i="21"/>
  <c r="B489" i="21"/>
  <c r="B491" i="21"/>
  <c r="B493" i="21"/>
  <c r="B495" i="21"/>
  <c r="B497" i="21"/>
  <c r="B499" i="21"/>
  <c r="B501" i="21"/>
  <c r="B503" i="21"/>
  <c r="B505" i="21"/>
  <c r="B507" i="21"/>
  <c r="B509" i="21"/>
  <c r="B511" i="21"/>
  <c r="B513" i="21"/>
  <c r="B515" i="21"/>
  <c r="B517" i="21"/>
  <c r="B519" i="21"/>
  <c r="B521" i="21"/>
  <c r="B523" i="21"/>
  <c r="B525" i="21"/>
  <c r="B527" i="21"/>
  <c r="B529" i="21"/>
  <c r="B531" i="21"/>
  <c r="B533" i="21"/>
  <c r="B535" i="21"/>
  <c r="B537" i="21"/>
  <c r="B539" i="21"/>
  <c r="B541" i="21"/>
  <c r="B543" i="21"/>
  <c r="B545" i="21"/>
  <c r="B547" i="21"/>
  <c r="B549" i="21"/>
  <c r="B551" i="21"/>
  <c r="B553" i="21"/>
  <c r="B555" i="21"/>
  <c r="B557" i="21"/>
  <c r="B559" i="21"/>
  <c r="B561" i="21"/>
  <c r="B563" i="21"/>
  <c r="B565" i="21"/>
  <c r="B567" i="21"/>
  <c r="B569" i="21"/>
  <c r="B571" i="21"/>
  <c r="B573" i="21"/>
  <c r="B575" i="21"/>
  <c r="B577" i="21"/>
  <c r="B579" i="21"/>
  <c r="B581" i="21"/>
  <c r="B583" i="21"/>
  <c r="B585" i="21"/>
  <c r="B587" i="21"/>
  <c r="B589" i="21"/>
  <c r="B591" i="21"/>
  <c r="B593" i="21"/>
  <c r="B595" i="21"/>
  <c r="B597" i="21"/>
  <c r="B599" i="21"/>
  <c r="B601" i="21"/>
  <c r="B603" i="21"/>
  <c r="B605" i="21"/>
  <c r="B607" i="21"/>
  <c r="B609" i="21"/>
  <c r="B611" i="21"/>
  <c r="B613" i="21"/>
  <c r="B615" i="21"/>
  <c r="B617" i="21"/>
  <c r="B619" i="21"/>
  <c r="B621" i="21"/>
  <c r="B623" i="21"/>
  <c r="B625" i="21"/>
  <c r="B627" i="21"/>
  <c r="B629" i="21"/>
  <c r="B631" i="21"/>
  <c r="B633" i="21"/>
  <c r="B635" i="21"/>
  <c r="B637" i="21"/>
  <c r="B639" i="21"/>
  <c r="B641" i="21"/>
  <c r="B643" i="21"/>
  <c r="B955" i="21"/>
  <c r="B957" i="21"/>
  <c r="B959" i="21"/>
  <c r="B961" i="21"/>
  <c r="B963" i="21"/>
  <c r="B965" i="21"/>
  <c r="B967" i="21"/>
  <c r="B969" i="21"/>
  <c r="B971" i="21"/>
  <c r="B973" i="21"/>
  <c r="B975" i="21"/>
  <c r="B977" i="21"/>
  <c r="B979" i="21"/>
  <c r="B981" i="21"/>
  <c r="B983" i="21"/>
  <c r="B985" i="21"/>
  <c r="B987" i="21"/>
  <c r="B989" i="21"/>
  <c r="B991" i="21"/>
  <c r="B993" i="21"/>
  <c r="B995" i="21"/>
  <c r="B997" i="21"/>
  <c r="B999" i="21"/>
  <c r="B1001" i="21"/>
  <c r="B1003" i="21"/>
  <c r="B1005" i="21"/>
  <c r="B1007" i="21"/>
  <c r="B1009" i="21"/>
  <c r="B1011" i="21"/>
  <c r="B1013" i="21"/>
  <c r="B1015" i="21"/>
  <c r="B1017" i="21"/>
  <c r="B1019" i="21"/>
  <c r="B1021" i="21"/>
  <c r="B1023" i="21"/>
  <c r="B1025" i="21"/>
  <c r="B1027" i="21"/>
  <c r="B429" i="21"/>
  <c r="B431" i="21"/>
  <c r="B433" i="21"/>
  <c r="B435" i="21"/>
  <c r="B437" i="21"/>
  <c r="B439" i="21"/>
  <c r="B441" i="21"/>
  <c r="B443" i="21"/>
  <c r="B445" i="21"/>
  <c r="B447" i="21"/>
  <c r="B449" i="21"/>
  <c r="B451" i="21"/>
  <c r="B814" i="21"/>
  <c r="B816" i="21"/>
  <c r="B818" i="21"/>
  <c r="B820" i="21"/>
  <c r="B822" i="21"/>
  <c r="B824" i="21"/>
  <c r="B826" i="21"/>
  <c r="B828" i="21"/>
  <c r="B830" i="21"/>
  <c r="B832" i="21"/>
  <c r="B834" i="21"/>
  <c r="B836" i="21"/>
  <c r="B838" i="21"/>
  <c r="B840" i="21"/>
  <c r="B842" i="21"/>
  <c r="B844" i="21"/>
  <c r="B846" i="21"/>
  <c r="B848" i="21"/>
  <c r="B850" i="21"/>
  <c r="B852" i="21"/>
  <c r="B854" i="21"/>
  <c r="B856" i="21"/>
  <c r="B858" i="21"/>
  <c r="B860" i="21"/>
  <c r="B862" i="21"/>
  <c r="B864" i="21"/>
  <c r="B866" i="21"/>
  <c r="B868" i="21"/>
  <c r="B870" i="21"/>
  <c r="B872" i="21"/>
  <c r="B874" i="21"/>
  <c r="B876" i="21"/>
  <c r="B878" i="21"/>
  <c r="B880" i="21"/>
  <c r="B882" i="21"/>
  <c r="B884" i="21"/>
  <c r="B886" i="21"/>
  <c r="B888" i="21"/>
  <c r="B890" i="21"/>
  <c r="B892" i="21"/>
  <c r="B894" i="21"/>
  <c r="B896" i="21"/>
  <c r="B898" i="21"/>
  <c r="B900" i="21"/>
  <c r="B902" i="21"/>
  <c r="B904" i="21"/>
  <c r="B906" i="21"/>
  <c r="B908" i="21"/>
  <c r="B910" i="21"/>
  <c r="B912" i="21"/>
  <c r="B914" i="21"/>
  <c r="B916" i="21"/>
  <c r="B918" i="21"/>
  <c r="B920" i="21"/>
  <c r="B922" i="21"/>
  <c r="B924" i="21"/>
  <c r="B926" i="21"/>
  <c r="B928" i="21"/>
  <c r="B930" i="21"/>
  <c r="B932" i="21"/>
  <c r="B934" i="21"/>
  <c r="B936" i="21"/>
  <c r="B938" i="21"/>
  <c r="B940" i="21"/>
  <c r="B942" i="21"/>
  <c r="B944" i="21"/>
  <c r="B946" i="21"/>
  <c r="B948" i="21"/>
  <c r="B950" i="21"/>
  <c r="B952" i="21"/>
  <c r="B452" i="21"/>
  <c r="B454" i="21"/>
  <c r="B456" i="21"/>
  <c r="B458" i="21"/>
  <c r="B460" i="21"/>
  <c r="B462" i="21"/>
  <c r="B464" i="21"/>
  <c r="B466" i="21"/>
  <c r="B468" i="21"/>
  <c r="B470" i="21"/>
  <c r="B472" i="21"/>
  <c r="B474" i="21"/>
  <c r="B476" i="21"/>
  <c r="B478" i="21"/>
  <c r="B480" i="21"/>
  <c r="B482" i="21"/>
  <c r="B484" i="21"/>
  <c r="B486" i="21"/>
  <c r="B488" i="21"/>
  <c r="B490" i="21"/>
  <c r="B492" i="21"/>
  <c r="B494" i="21"/>
  <c r="B496" i="21"/>
  <c r="B498" i="21"/>
  <c r="B500" i="21"/>
  <c r="B502" i="21"/>
  <c r="B504" i="21"/>
  <c r="B506" i="21"/>
  <c r="B508" i="21"/>
  <c r="B510" i="21"/>
  <c r="B512" i="21"/>
  <c r="B514" i="21"/>
  <c r="B516" i="21"/>
  <c r="B518" i="21"/>
  <c r="B520" i="21"/>
  <c r="B522" i="21"/>
  <c r="B524" i="21"/>
  <c r="B526" i="21"/>
  <c r="B528" i="21"/>
  <c r="B530" i="21"/>
  <c r="B532" i="21"/>
  <c r="B534" i="21"/>
  <c r="B536" i="21"/>
  <c r="B538" i="21"/>
  <c r="B540" i="21"/>
  <c r="B542" i="21"/>
  <c r="B544" i="21"/>
  <c r="B546" i="21"/>
  <c r="B548" i="21"/>
  <c r="B550" i="21"/>
  <c r="B552" i="21"/>
  <c r="B554" i="21"/>
  <c r="B556" i="21"/>
  <c r="B558" i="21"/>
  <c r="B560" i="21"/>
  <c r="B562" i="21"/>
  <c r="B564" i="21"/>
  <c r="B566" i="21"/>
  <c r="B568" i="21"/>
  <c r="B570" i="21"/>
  <c r="B572" i="21"/>
  <c r="B574" i="21"/>
  <c r="B576" i="21"/>
  <c r="B578" i="21"/>
  <c r="B580" i="21"/>
  <c r="B582" i="21"/>
  <c r="B584" i="21"/>
  <c r="B586" i="21"/>
  <c r="B588" i="21"/>
  <c r="B590" i="21"/>
  <c r="B592" i="21"/>
  <c r="B594" i="21"/>
  <c r="B596" i="21"/>
  <c r="B598" i="21"/>
  <c r="B600" i="21"/>
  <c r="B602" i="21"/>
  <c r="B604" i="21"/>
  <c r="B606" i="21"/>
  <c r="B608" i="21"/>
  <c r="B610" i="21"/>
  <c r="B612" i="21"/>
  <c r="B614" i="21"/>
  <c r="B616" i="21"/>
  <c r="B618" i="21"/>
  <c r="B620" i="21"/>
  <c r="B622" i="21"/>
  <c r="B624" i="21"/>
  <c r="B626" i="21"/>
  <c r="B628" i="21"/>
  <c r="B630" i="21"/>
  <c r="B632" i="21"/>
  <c r="B634" i="21"/>
  <c r="B636" i="21"/>
  <c r="B638" i="21"/>
  <c r="B640" i="21"/>
  <c r="B642" i="21"/>
  <c r="B954" i="21"/>
  <c r="B956" i="21"/>
  <c r="B958" i="21"/>
  <c r="B960" i="21"/>
  <c r="B962" i="21"/>
  <c r="B964" i="21"/>
  <c r="B966" i="21"/>
  <c r="B968" i="21"/>
  <c r="B970" i="21"/>
  <c r="B972" i="21"/>
  <c r="B974" i="21"/>
  <c r="B976" i="21"/>
  <c r="B978" i="21"/>
  <c r="B980" i="21"/>
  <c r="B982" i="21"/>
  <c r="B984" i="21"/>
  <c r="B986" i="21"/>
  <c r="B988" i="21"/>
  <c r="B990" i="21"/>
  <c r="B992" i="21"/>
  <c r="B994" i="21"/>
  <c r="B996" i="21"/>
  <c r="B998" i="21"/>
  <c r="B1000" i="21"/>
  <c r="B1002" i="21"/>
  <c r="B1004" i="21"/>
  <c r="B1006" i="21"/>
  <c r="B1008" i="21"/>
  <c r="B1010" i="21"/>
  <c r="B1012" i="21"/>
  <c r="B1014" i="21"/>
  <c r="B1016" i="21"/>
  <c r="B1018" i="21"/>
  <c r="B1020" i="21"/>
  <c r="B1022" i="21"/>
  <c r="B1024" i="21"/>
  <c r="B1026" i="21"/>
  <c r="B1028" i="21"/>
  <c r="H51" i="21"/>
  <c r="H47" i="21"/>
  <c r="H43" i="21"/>
  <c r="A3" i="15"/>
  <c r="A4" i="13"/>
  <c r="A3" i="13"/>
  <c r="A5" i="5"/>
  <c r="AE2" i="9"/>
  <c r="AD2" i="9"/>
  <c r="AD213" i="9" s="1"/>
  <c r="AK213" i="9" s="1"/>
  <c r="AV213" i="9" s="1"/>
  <c r="W82" i="9"/>
  <c r="W81" i="9"/>
  <c r="AU81" i="9" s="1"/>
  <c r="W80" i="9"/>
  <c r="W79" i="9"/>
  <c r="W78" i="9"/>
  <c r="W77" i="9"/>
  <c r="AU77" i="9" s="1"/>
  <c r="W76" i="9"/>
  <c r="W75" i="9"/>
  <c r="W74" i="9"/>
  <c r="W73" i="9"/>
  <c r="AU73" i="9" s="1"/>
  <c r="W72" i="9"/>
  <c r="W71" i="9"/>
  <c r="AU71" i="9" s="1"/>
  <c r="W70" i="9"/>
  <c r="W69" i="9"/>
  <c r="AU69" i="9" s="1"/>
  <c r="W68" i="9"/>
  <c r="W67" i="9"/>
  <c r="AU67" i="9" s="1"/>
  <c r="W66" i="9"/>
  <c r="W65" i="9"/>
  <c r="AU65" i="9" s="1"/>
  <c r="W64" i="9"/>
  <c r="W63" i="9"/>
  <c r="W62" i="9"/>
  <c r="W61" i="9"/>
  <c r="AU61" i="9" s="1"/>
  <c r="W60" i="9"/>
  <c r="W59" i="9"/>
  <c r="AU59" i="9" s="1"/>
  <c r="W58" i="9"/>
  <c r="W57" i="9"/>
  <c r="AU57" i="9" s="1"/>
  <c r="W56" i="9"/>
  <c r="W55" i="9"/>
  <c r="AU55" i="9" s="1"/>
  <c r="W54" i="9"/>
  <c r="W53" i="9"/>
  <c r="AU53" i="9" s="1"/>
  <c r="W52" i="9"/>
  <c r="W51" i="9"/>
  <c r="AU51" i="9" s="1"/>
  <c r="W50" i="9"/>
  <c r="W49" i="9"/>
  <c r="AU49" i="9" s="1"/>
  <c r="W48" i="9"/>
  <c r="W47" i="9"/>
  <c r="AU47" i="9" s="1"/>
  <c r="W46" i="9"/>
  <c r="W45" i="9"/>
  <c r="AU45" i="9" s="1"/>
  <c r="W44" i="9"/>
  <c r="W43" i="9"/>
  <c r="AU43" i="9" s="1"/>
  <c r="W42" i="9"/>
  <c r="W41" i="9"/>
  <c r="AU41" i="9" s="1"/>
  <c r="W40" i="9"/>
  <c r="W39" i="9"/>
  <c r="AU39" i="9" s="1"/>
  <c r="W38" i="9"/>
  <c r="W37" i="9"/>
  <c r="AU37" i="9" s="1"/>
  <c r="W36" i="9"/>
  <c r="W35" i="9"/>
  <c r="AU35" i="9" s="1"/>
  <c r="W34" i="9"/>
  <c r="W33" i="9"/>
  <c r="AU33" i="9" s="1"/>
  <c r="W32" i="9"/>
  <c r="W31" i="9"/>
  <c r="AU31" i="9" s="1"/>
  <c r="W30" i="9"/>
  <c r="W29" i="9"/>
  <c r="AU29" i="9" s="1"/>
  <c r="W28" i="9"/>
  <c r="W27" i="9"/>
  <c r="AU27" i="9" s="1"/>
  <c r="W26" i="9"/>
  <c r="W25" i="9"/>
  <c r="AU25" i="9" s="1"/>
  <c r="W24" i="9"/>
  <c r="W23" i="9"/>
  <c r="AU23" i="9" s="1"/>
  <c r="W22" i="9"/>
  <c r="W21" i="9"/>
  <c r="AU21" i="9" s="1"/>
  <c r="W20" i="9"/>
  <c r="W19" i="9"/>
  <c r="AU19" i="9" s="1"/>
  <c r="W18" i="9"/>
  <c r="W17" i="9"/>
  <c r="AU17" i="9" s="1"/>
  <c r="W16" i="9"/>
  <c r="W15" i="9"/>
  <c r="AU15" i="9" s="1"/>
  <c r="W14" i="9"/>
  <c r="W13" i="9"/>
  <c r="AU13" i="9" s="1"/>
  <c r="W12" i="9"/>
  <c r="W11" i="9"/>
  <c r="AU11" i="9" s="1"/>
  <c r="W10" i="9"/>
  <c r="W9" i="9"/>
  <c r="AU9" i="9" s="1"/>
  <c r="W8" i="9"/>
  <c r="W7" i="9"/>
  <c r="AU7" i="9" s="1"/>
  <c r="W6" i="9"/>
  <c r="W5" i="9"/>
  <c r="AU5" i="9" s="1"/>
  <c r="W4" i="9"/>
  <c r="W3" i="9"/>
  <c r="AU3" i="9" s="1"/>
  <c r="AU63" i="9"/>
  <c r="AU75" i="9"/>
  <c r="AU79" i="9"/>
  <c r="AU4" i="9"/>
  <c r="AU6" i="9"/>
  <c r="AU8" i="9"/>
  <c r="AU10" i="9"/>
  <c r="AU12" i="9"/>
  <c r="AU14" i="9"/>
  <c r="AU16" i="9"/>
  <c r="AU18" i="9"/>
  <c r="AU20" i="9"/>
  <c r="AU22" i="9"/>
  <c r="AU24" i="9"/>
  <c r="AU26" i="9"/>
  <c r="AU28" i="9"/>
  <c r="AU30" i="9"/>
  <c r="AU32" i="9"/>
  <c r="AU34" i="9"/>
  <c r="AU36" i="9"/>
  <c r="AU38" i="9"/>
  <c r="AU40" i="9"/>
  <c r="AU42" i="9"/>
  <c r="AU44" i="9"/>
  <c r="AU46" i="9"/>
  <c r="AU48" i="9"/>
  <c r="AU50" i="9"/>
  <c r="AU52" i="9"/>
  <c r="AU54" i="9"/>
  <c r="AU56" i="9"/>
  <c r="AU58" i="9"/>
  <c r="AU60" i="9"/>
  <c r="AU62" i="9"/>
  <c r="AU64" i="9"/>
  <c r="AU66" i="9"/>
  <c r="AU68" i="9"/>
  <c r="AU70" i="9"/>
  <c r="AU72" i="9"/>
  <c r="AU74" i="9"/>
  <c r="AU76" i="9"/>
  <c r="AU78" i="9"/>
  <c r="AU80" i="9"/>
  <c r="AU82" i="9"/>
  <c r="A22" i="13"/>
  <c r="A1" i="13"/>
  <c r="A5" i="13" s="1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A9" i="13"/>
  <c r="AI2" i="9"/>
  <c r="AI157" i="9" s="1"/>
  <c r="AP157" i="9" s="1"/>
  <c r="AH2" i="9"/>
  <c r="AG2" i="9"/>
  <c r="AG379" i="9" s="1"/>
  <c r="AN379" i="9" s="1"/>
  <c r="AF2" i="9"/>
  <c r="AC2" i="9"/>
  <c r="AC317" i="9" s="1" a="1"/>
  <c r="AC317" i="9" s="1"/>
  <c r="AJ317" i="9" s="1"/>
  <c r="A3" i="9"/>
  <c r="C2" i="5"/>
  <c r="AC2" i="5"/>
  <c r="AC18" i="5" s="1"/>
  <c r="AC22" i="5" s="1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N4" i="9"/>
  <c r="H4" i="9"/>
  <c r="O4" i="9"/>
  <c r="M4" i="9"/>
  <c r="G4" i="9"/>
  <c r="L4" i="9"/>
  <c r="J4" i="9"/>
  <c r="I4" i="9"/>
  <c r="K4" i="9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G7" i="9"/>
  <c r="O7" i="9"/>
  <c r="C7" i="9"/>
  <c r="L7" i="9"/>
  <c r="E7" i="9"/>
  <c r="K7" i="9"/>
  <c r="N7" i="9"/>
  <c r="J7" i="9"/>
  <c r="H7" i="9"/>
  <c r="I7" i="9"/>
  <c r="M7" i="9"/>
  <c r="H616" i="21"/>
  <c r="K616" i="21" s="1" a="1"/>
  <c r="K616" i="21" s="1"/>
  <c r="P616" i="21" s="1"/>
  <c r="H588" i="21"/>
  <c r="I588" i="21" s="1"/>
  <c r="H535" i="21"/>
  <c r="J535" i="21" s="1" a="1"/>
  <c r="J535" i="21" s="1"/>
  <c r="H507" i="21"/>
  <c r="K507" i="21" s="1" a="1"/>
  <c r="K507" i="21" s="1"/>
  <c r="P507" i="21" s="1"/>
  <c r="H1028" i="21"/>
  <c r="L1028" i="21" s="1"/>
  <c r="H642" i="21"/>
  <c r="K642" i="21" s="1" a="1"/>
  <c r="K642" i="21" s="1"/>
  <c r="P642" i="21" s="1"/>
  <c r="H454" i="21"/>
  <c r="K454" i="21" s="1" a="1"/>
  <c r="K454" i="21" s="1"/>
  <c r="H920" i="21"/>
  <c r="L920" i="21" s="1"/>
  <c r="H589" i="21"/>
  <c r="H561" i="21"/>
  <c r="L561" i="21" s="1"/>
  <c r="H947" i="21"/>
  <c r="J947" i="21" s="1" a="1"/>
  <c r="J947" i="21" s="1"/>
  <c r="H974" i="21"/>
  <c r="H508" i="21"/>
  <c r="L508" i="21" s="1"/>
  <c r="H480" i="21"/>
  <c r="K480" i="21" s="1" a="1"/>
  <c r="K480" i="21" s="1"/>
  <c r="P480" i="21" s="1"/>
  <c r="H866" i="21"/>
  <c r="L866" i="21" s="1"/>
  <c r="H1001" i="21"/>
  <c r="J1001" i="21" s="1" a="1"/>
  <c r="J1001" i="21" s="1"/>
  <c r="H643" i="21"/>
  <c r="J643" i="21" s="1" a="1"/>
  <c r="J643" i="21" s="1"/>
  <c r="H615" i="21"/>
  <c r="L615" i="21" s="1"/>
  <c r="H893" i="21"/>
  <c r="J893" i="21" s="1" a="1"/>
  <c r="J893" i="21" s="1"/>
  <c r="H562" i="21"/>
  <c r="K562" i="21" s="1" a="1"/>
  <c r="K562" i="21" s="1"/>
  <c r="P562" i="21" s="1"/>
  <c r="H534" i="21"/>
  <c r="H481" i="21"/>
  <c r="L481" i="21" s="1"/>
  <c r="H839" i="21"/>
  <c r="L839" i="21" s="1"/>
  <c r="H56" i="21"/>
  <c r="H55" i="21"/>
  <c r="P55" i="21" s="1"/>
  <c r="H59" i="21"/>
  <c r="L59" i="21" s="1"/>
  <c r="H116" i="21"/>
  <c r="J116" i="21" s="1" a="1"/>
  <c r="J116" i="21" s="1"/>
  <c r="H144" i="21"/>
  <c r="J144" i="21" s="1" a="1"/>
  <c r="J144" i="21" s="1"/>
  <c r="H172" i="21"/>
  <c r="H200" i="21"/>
  <c r="J200" i="21" s="1" a="1"/>
  <c r="J200" i="21" s="1"/>
  <c r="H60" i="21"/>
  <c r="L60" i="21" s="1"/>
  <c r="H89" i="21"/>
  <c r="J89" i="21" s="1" a="1"/>
  <c r="J89" i="21" s="1"/>
  <c r="H57" i="21"/>
  <c r="L57" i="21" s="1"/>
  <c r="H61" i="21"/>
  <c r="J61" i="21" s="1" a="1"/>
  <c r="J61" i="21" s="1"/>
  <c r="H53" i="21"/>
  <c r="H46" i="21"/>
  <c r="L46" i="21" s="1"/>
  <c r="H48" i="21"/>
  <c r="H50" i="21"/>
  <c r="H49" i="21"/>
  <c r="J49" i="21" s="1" a="1"/>
  <c r="J49" i="21" s="1"/>
  <c r="H54" i="21"/>
  <c r="J54" i="21" s="1" a="1"/>
  <c r="J54" i="21" s="1"/>
  <c r="H52" i="21"/>
  <c r="J52" i="21" s="1" a="1"/>
  <c r="J52" i="21" s="1"/>
  <c r="B7" i="9"/>
  <c r="C6" i="9"/>
  <c r="AB18" i="5"/>
  <c r="AB22" i="5" s="1"/>
  <c r="AB19" i="5"/>
  <c r="AB23" i="5" s="1"/>
  <c r="D7" i="9"/>
  <c r="F7" i="9"/>
  <c r="K6" i="9"/>
  <c r="I6" i="9"/>
  <c r="N6" i="9"/>
  <c r="G6" i="9"/>
  <c r="J6" i="9"/>
  <c r="L6" i="9"/>
  <c r="M6" i="9"/>
  <c r="E6" i="9"/>
  <c r="H6" i="9"/>
  <c r="O6" i="9"/>
  <c r="D6" i="9"/>
  <c r="B6" i="9"/>
  <c r="F4" i="9"/>
  <c r="C8" i="9"/>
  <c r="E8" i="9"/>
  <c r="G8" i="9"/>
  <c r="I8" i="9"/>
  <c r="L14" i="9" s="1"/>
  <c r="K8" i="9"/>
  <c r="M8" i="9"/>
  <c r="M14" i="9" s="1"/>
  <c r="O8" i="9"/>
  <c r="B8" i="9"/>
  <c r="C14" i="9" s="1"/>
  <c r="D8" i="9"/>
  <c r="F8" i="9"/>
  <c r="F14" i="9" s="1"/>
  <c r="H8" i="9"/>
  <c r="J8" i="9"/>
  <c r="L8" i="9"/>
  <c r="N8" i="9"/>
  <c r="E4" i="9"/>
  <c r="D4" i="9"/>
  <c r="AT89" i="9"/>
  <c r="AT88" i="9"/>
  <c r="AT90" i="9"/>
  <c r="AT92" i="9"/>
  <c r="AI160" i="9"/>
  <c r="AP160" i="9" s="1"/>
  <c r="AG453" i="9"/>
  <c r="AN453" i="9" s="1"/>
  <c r="AC297" i="9" a="1"/>
  <c r="AC297" i="9" s="1"/>
  <c r="AJ297" i="9" s="1"/>
  <c r="AC167" i="9" a="1"/>
  <c r="AC167" i="9" s="1"/>
  <c r="AJ167" i="9" s="1"/>
  <c r="AG485" i="9"/>
  <c r="AN485" i="9" s="1"/>
  <c r="AG423" i="9"/>
  <c r="AN423" i="9" s="1"/>
  <c r="AC278" i="9" a="1"/>
  <c r="AC278" i="9" s="1"/>
  <c r="AJ278" i="9" s="1"/>
  <c r="AC228" i="9" a="1"/>
  <c r="AC228" i="9" s="1"/>
  <c r="AJ228" i="9" s="1"/>
  <c r="AC260" i="9" a="1"/>
  <c r="AC260" i="9" s="1"/>
  <c r="AJ260" i="9" s="1"/>
  <c r="AC408" i="9" a="1"/>
  <c r="AC408" i="9" s="1"/>
  <c r="AJ408" i="9" s="1"/>
  <c r="AG296" i="9"/>
  <c r="AN296" i="9" s="1"/>
  <c r="AI191" i="9"/>
  <c r="AP191" i="9" s="1"/>
  <c r="AC325" i="9" a="1"/>
  <c r="AC325" i="9" s="1"/>
  <c r="AJ325" i="9" s="1"/>
  <c r="AG159" i="9"/>
  <c r="AN159" i="9" s="1"/>
  <c r="AG487" i="9"/>
  <c r="AN487" i="9" s="1"/>
  <c r="AC267" i="9" a="1"/>
  <c r="AC267" i="9" s="1"/>
  <c r="AJ267" i="9" s="1"/>
  <c r="AD255" i="9"/>
  <c r="AQ255" i="9" s="1"/>
  <c r="AE269" i="9"/>
  <c r="AL269" i="9" s="1"/>
  <c r="AE352" i="9"/>
  <c r="AL352" i="9" s="1"/>
  <c r="AE110" i="9"/>
  <c r="AL110" i="9" s="1"/>
  <c r="AE425" i="9"/>
  <c r="AL425" i="9" s="1"/>
  <c r="AE134" i="9"/>
  <c r="AL134" i="9" s="1"/>
  <c r="AE463" i="9"/>
  <c r="AL463" i="9" s="1"/>
  <c r="AE306" i="9"/>
  <c r="AL306" i="9" s="1"/>
  <c r="AE283" i="9"/>
  <c r="AL283" i="9" s="1"/>
  <c r="AE421" i="9"/>
  <c r="AL421" i="9" s="1"/>
  <c r="AE343" i="9"/>
  <c r="AL343" i="9" s="1"/>
  <c r="AF57" i="9"/>
  <c r="AM57" i="9" s="1"/>
  <c r="AB72" i="13"/>
  <c r="AC72" i="13"/>
  <c r="AB96" i="13"/>
  <c r="AC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AC80" i="13"/>
  <c r="AB104" i="13"/>
  <c r="Z104" i="13"/>
  <c r="X104" i="13"/>
  <c r="AC104" i="13"/>
  <c r="Y104" i="13"/>
  <c r="W104" i="13"/>
  <c r="J104" i="13"/>
  <c r="P104" i="13"/>
  <c r="AC71" i="13"/>
  <c r="AB71" i="13"/>
  <c r="AC95" i="13"/>
  <c r="AB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AC74" i="13"/>
  <c r="AB98" i="13"/>
  <c r="Z98" i="13"/>
  <c r="X98" i="13"/>
  <c r="AC98" i="13"/>
  <c r="Y98" i="13"/>
  <c r="W98" i="13"/>
  <c r="J98" i="13"/>
  <c r="P98" i="13"/>
  <c r="AC65" i="13"/>
  <c r="AB65" i="13"/>
  <c r="AC89" i="13"/>
  <c r="AB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AC76" i="13"/>
  <c r="AB100" i="13"/>
  <c r="Z100" i="13"/>
  <c r="X100" i="13"/>
  <c r="AC100" i="13"/>
  <c r="Y100" i="13"/>
  <c r="W100" i="13"/>
  <c r="P100" i="13"/>
  <c r="J100" i="13"/>
  <c r="AB66" i="13"/>
  <c r="AC66" i="13"/>
  <c r="AB90" i="13"/>
  <c r="AC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AC82" i="13"/>
  <c r="AB106" i="13"/>
  <c r="Z106" i="13"/>
  <c r="X106" i="13"/>
  <c r="AC106" i="13"/>
  <c r="Y106" i="13"/>
  <c r="W106" i="13"/>
  <c r="P106" i="13"/>
  <c r="J106" i="13"/>
  <c r="AC73" i="13"/>
  <c r="AB73" i="13"/>
  <c r="C73" i="13"/>
  <c r="AC97" i="13"/>
  <c r="AB97" i="13"/>
  <c r="F97" i="13"/>
  <c r="D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B81" i="13"/>
  <c r="AC105" i="13"/>
  <c r="Y105" i="13"/>
  <c r="W105" i="13"/>
  <c r="AB105" i="13"/>
  <c r="Z105" i="13"/>
  <c r="X105" i="13"/>
  <c r="P105" i="13"/>
  <c r="J105" i="13"/>
  <c r="AC63" i="13"/>
  <c r="AB63" i="13"/>
  <c r="AC87" i="13"/>
  <c r="AB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Y79" i="13"/>
  <c r="AB79" i="13"/>
  <c r="Z79" i="13"/>
  <c r="X79" i="13"/>
  <c r="V79" i="13"/>
  <c r="S79" i="13"/>
  <c r="AC103" i="13"/>
  <c r="Y103" i="13"/>
  <c r="W103" i="13"/>
  <c r="AB103" i="13"/>
  <c r="Z103" i="13"/>
  <c r="X103" i="13"/>
  <c r="T103" i="13"/>
  <c r="P103" i="13"/>
  <c r="H103" i="13"/>
  <c r="K103" i="13"/>
  <c r="J103" i="13"/>
  <c r="AB84" i="13"/>
  <c r="AC84" i="13"/>
  <c r="AB108" i="13"/>
  <c r="Z108" i="13"/>
  <c r="X108" i="13"/>
  <c r="AC108" i="13"/>
  <c r="Y108" i="13"/>
  <c r="W108" i="13"/>
  <c r="J108" i="13"/>
  <c r="P108" i="13"/>
  <c r="AB68" i="13"/>
  <c r="AC68" i="13"/>
  <c r="AB92" i="13"/>
  <c r="AC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B83" i="13"/>
  <c r="AC107" i="13"/>
  <c r="Y107" i="13"/>
  <c r="W107" i="13"/>
  <c r="AB107" i="13"/>
  <c r="Z107" i="13"/>
  <c r="X107" i="13"/>
  <c r="P107" i="13"/>
  <c r="J107" i="13"/>
  <c r="AC62" i="13"/>
  <c r="AB62" i="13"/>
  <c r="AB86" i="13"/>
  <c r="AC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B77" i="13"/>
  <c r="AC101" i="13"/>
  <c r="Y101" i="13"/>
  <c r="W101" i="13"/>
  <c r="AB101" i="13"/>
  <c r="Z101" i="13"/>
  <c r="X101" i="13"/>
  <c r="J101" i="13"/>
  <c r="P101" i="13"/>
  <c r="AB64" i="13"/>
  <c r="AC64" i="13"/>
  <c r="AB88" i="13"/>
  <c r="AC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AC78" i="13"/>
  <c r="AB102" i="13"/>
  <c r="Z102" i="13"/>
  <c r="X102" i="13"/>
  <c r="AC102" i="13"/>
  <c r="Y102" i="13"/>
  <c r="W102" i="13"/>
  <c r="P102" i="13"/>
  <c r="J102" i="13"/>
  <c r="AB70" i="13"/>
  <c r="AC70" i="13"/>
  <c r="AB94" i="13"/>
  <c r="AC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Y85" i="13"/>
  <c r="AB85" i="13"/>
  <c r="Z85" i="13"/>
  <c r="X85" i="13"/>
  <c r="V85" i="13"/>
  <c r="S85" i="13"/>
  <c r="AC109" i="13"/>
  <c r="Y109" i="13"/>
  <c r="W109" i="13"/>
  <c r="AB109" i="13"/>
  <c r="Z109" i="13"/>
  <c r="X109" i="13"/>
  <c r="J109" i="13"/>
  <c r="K109" i="13"/>
  <c r="H109" i="13"/>
  <c r="P109" i="13"/>
  <c r="T109" i="13"/>
  <c r="AC69" i="13"/>
  <c r="AB69" i="13"/>
  <c r="AC93" i="13"/>
  <c r="AB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B75" i="13"/>
  <c r="AC99" i="13"/>
  <c r="Y99" i="13"/>
  <c r="W99" i="13"/>
  <c r="AB99" i="13"/>
  <c r="Z99" i="13"/>
  <c r="X99" i="13"/>
  <c r="J99" i="13"/>
  <c r="P99" i="13"/>
  <c r="AC67" i="13"/>
  <c r="AB67" i="13"/>
  <c r="AC91" i="13"/>
  <c r="AB91" i="13"/>
  <c r="D91" i="13"/>
  <c r="F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I14" i="9"/>
  <c r="H14" i="9"/>
  <c r="D14" i="9"/>
  <c r="F6" i="9"/>
  <c r="B4" i="9"/>
  <c r="C4" i="9"/>
  <c r="H24" i="21"/>
  <c r="P24" i="21" s="1"/>
  <c r="AD57" i="9"/>
  <c r="AD24" i="9"/>
  <c r="AK24" i="9" s="1"/>
  <c r="AV24" i="9" s="1"/>
  <c r="AD72" i="9"/>
  <c r="AQ72" i="9" s="1"/>
  <c r="AD39" i="9"/>
  <c r="AK39" i="9" s="1"/>
  <c r="AV39" i="9" s="1"/>
  <c r="AD3" i="9"/>
  <c r="AI53" i="9"/>
  <c r="AP53" i="9" s="1"/>
  <c r="AG53" i="9" l="1"/>
  <c r="AN53" i="9" s="1"/>
  <c r="AD23" i="9"/>
  <c r="AK23" i="9" s="1"/>
  <c r="AV23" i="9" s="1"/>
  <c r="AD56" i="9"/>
  <c r="AD8" i="9"/>
  <c r="AD40" i="9"/>
  <c r="AK40" i="9" s="1"/>
  <c r="AV40" i="9" s="1"/>
  <c r="AD73" i="9"/>
  <c r="AC137" i="9" a="1"/>
  <c r="AC137" i="9" s="1"/>
  <c r="AJ137" i="9" s="1"/>
  <c r="AG405" i="9"/>
  <c r="AN405" i="9" s="1"/>
  <c r="AG325" i="9"/>
  <c r="AN325" i="9" s="1"/>
  <c r="AC242" i="9" a="1"/>
  <c r="AC242" i="9" s="1"/>
  <c r="AJ242" i="9" s="1"/>
  <c r="AI494" i="9"/>
  <c r="AP494" i="9" s="1"/>
  <c r="AG149" i="9"/>
  <c r="AN149" i="9" s="1"/>
  <c r="AC307" i="9" a="1"/>
  <c r="AC307" i="9" s="1"/>
  <c r="AJ307" i="9" s="1"/>
  <c r="AC483" i="9" a="1"/>
  <c r="AC483" i="9" s="1"/>
  <c r="AJ483" i="9" s="1"/>
  <c r="AC187" i="9" a="1"/>
  <c r="AC187" i="9" s="1"/>
  <c r="AJ187" i="9" s="1"/>
  <c r="AC176" i="9" a="1"/>
  <c r="AC176" i="9" s="1"/>
  <c r="AJ176" i="9" s="1"/>
  <c r="AC300" i="9" a="1"/>
  <c r="AC300" i="9" s="1"/>
  <c r="AJ300" i="9" s="1"/>
  <c r="AC437" i="9" a="1"/>
  <c r="AC437" i="9" s="1"/>
  <c r="AJ437" i="9" s="1"/>
  <c r="AG366" i="9"/>
  <c r="AN366" i="9" s="1"/>
  <c r="AG334" i="9"/>
  <c r="AN334" i="9" s="1"/>
  <c r="AF317" i="9"/>
  <c r="AM317" i="9" s="1"/>
  <c r="AH287" i="9"/>
  <c r="AO287" i="9" s="1"/>
  <c r="D11" i="13"/>
  <c r="A10" i="13"/>
  <c r="A6" i="13"/>
  <c r="AE333" i="9"/>
  <c r="AL333" i="9" s="1"/>
  <c r="AE181" i="9"/>
  <c r="AL181" i="9" s="1"/>
  <c r="AE260" i="9"/>
  <c r="AL260" i="9" s="1"/>
  <c r="AE147" i="9"/>
  <c r="AL147" i="9" s="1"/>
  <c r="AE128" i="9"/>
  <c r="AL128" i="9" s="1"/>
  <c r="AE435" i="9"/>
  <c r="AL435" i="9" s="1"/>
  <c r="AE185" i="9"/>
  <c r="AL185" i="9" s="1"/>
  <c r="AE304" i="9"/>
  <c r="AL304" i="9" s="1"/>
  <c r="AE225" i="9"/>
  <c r="AL225" i="9" s="1"/>
  <c r="AE270" i="9"/>
  <c r="AL270" i="9" s="1"/>
  <c r="AE416" i="9"/>
  <c r="AL416" i="9" s="1"/>
  <c r="H38" i="21"/>
  <c r="H42" i="21"/>
  <c r="H45" i="21"/>
  <c r="J45" i="21" s="1" a="1"/>
  <c r="J45" i="21" s="1"/>
  <c r="H44" i="21"/>
  <c r="P44" i="21" s="1"/>
  <c r="F1089" i="21"/>
  <c r="AC330" i="9" a="1"/>
  <c r="AC330" i="9" s="1"/>
  <c r="AJ330" i="9" s="1"/>
  <c r="AG108" i="9"/>
  <c r="AN108" i="9" s="1"/>
  <c r="AI383" i="9"/>
  <c r="AP383" i="9" s="1"/>
  <c r="AE301" i="9"/>
  <c r="AL301" i="9" s="1"/>
  <c r="AE151" i="9"/>
  <c r="AL151" i="9" s="1"/>
  <c r="AE170" i="9"/>
  <c r="AL170" i="9" s="1"/>
  <c r="AE324" i="9"/>
  <c r="AL324" i="9" s="1"/>
  <c r="AE211" i="9"/>
  <c r="AL211" i="9" s="1"/>
  <c r="AE251" i="9"/>
  <c r="AL251" i="9" s="1"/>
  <c r="AE315" i="9"/>
  <c r="AL315" i="9" s="1"/>
  <c r="AE242" i="9"/>
  <c r="AL242" i="9" s="1"/>
  <c r="AE374" i="9"/>
  <c r="AL374" i="9" s="1"/>
  <c r="AE479" i="9"/>
  <c r="AL479" i="9" s="1"/>
  <c r="AE109" i="9"/>
  <c r="AL109" i="9" s="1"/>
  <c r="AE218" i="9"/>
  <c r="AL218" i="9" s="1"/>
  <c r="AE240" i="9"/>
  <c r="AL240" i="9" s="1"/>
  <c r="AE372" i="9"/>
  <c r="AL372" i="9" s="1"/>
  <c r="AE113" i="9"/>
  <c r="AL113" i="9" s="1"/>
  <c r="AE347" i="9"/>
  <c r="AL347" i="9" s="1"/>
  <c r="AE180" i="9"/>
  <c r="AL180" i="9" s="1"/>
  <c r="AE334" i="9"/>
  <c r="AL334" i="9" s="1"/>
  <c r="AE99" i="9"/>
  <c r="AL99" i="9" s="1"/>
  <c r="AE237" i="9"/>
  <c r="AL237" i="9" s="1"/>
  <c r="AC387" i="9" a="1"/>
  <c r="AC387" i="9" s="1"/>
  <c r="AJ387" i="9" s="1"/>
  <c r="AC236" i="9" a="1"/>
  <c r="AC236" i="9" s="1"/>
  <c r="AJ236" i="9" s="1"/>
  <c r="AC458" i="9" a="1"/>
  <c r="AC458" i="9" s="1"/>
  <c r="AJ458" i="9" s="1"/>
  <c r="AG361" i="9"/>
  <c r="AN361" i="9" s="1"/>
  <c r="AC377" i="9" a="1"/>
  <c r="AC377" i="9" s="1"/>
  <c r="AJ377" i="9" s="1"/>
  <c r="AG261" i="9"/>
  <c r="AN261" i="9" s="1"/>
  <c r="AC420" i="9" a="1"/>
  <c r="AC420" i="9" s="1"/>
  <c r="AJ420" i="9" s="1"/>
  <c r="AC127" i="9" a="1"/>
  <c r="AC127" i="9" s="1"/>
  <c r="AJ127" i="9" s="1"/>
  <c r="AC184" i="9" a="1"/>
  <c r="AC184" i="9" s="1"/>
  <c r="AJ184" i="9" s="1"/>
  <c r="AI242" i="9"/>
  <c r="AP242" i="9" s="1"/>
  <c r="AI147" i="9"/>
  <c r="AP147" i="9" s="1"/>
  <c r="AC136" i="9" a="1"/>
  <c r="AC136" i="9" s="1"/>
  <c r="AJ136" i="9" s="1"/>
  <c r="AC400" i="9" a="1"/>
  <c r="AC400" i="9" s="1"/>
  <c r="AJ400" i="9" s="1"/>
  <c r="AC346" i="9" a="1"/>
  <c r="AC346" i="9" s="1"/>
  <c r="AJ346" i="9" s="1"/>
  <c r="AI451" i="9"/>
  <c r="AP451" i="9" s="1"/>
  <c r="AG205" i="9"/>
  <c r="AN205" i="9" s="1"/>
  <c r="AC499" i="9" a="1"/>
  <c r="AC499" i="9" s="1"/>
  <c r="AJ499" i="9" s="1"/>
  <c r="AG343" i="9"/>
  <c r="AN343" i="9" s="1"/>
  <c r="AI124" i="9"/>
  <c r="AP124" i="9" s="1"/>
  <c r="AG230" i="9"/>
  <c r="AN230" i="9" s="1"/>
  <c r="AI336" i="9"/>
  <c r="AP336" i="9" s="1"/>
  <c r="AC402" i="9" a="1"/>
  <c r="AC402" i="9" s="1"/>
  <c r="AJ402" i="9" s="1"/>
  <c r="AC454" i="9" a="1"/>
  <c r="AC454" i="9" s="1"/>
  <c r="AJ454" i="9" s="1"/>
  <c r="AC435" i="9" a="1"/>
  <c r="AC435" i="9" s="1"/>
  <c r="AJ435" i="9" s="1"/>
  <c r="AC211" i="9" a="1"/>
  <c r="AC211" i="9" s="1"/>
  <c r="AJ211" i="9" s="1"/>
  <c r="AG478" i="9"/>
  <c r="AN478" i="9" s="1"/>
  <c r="AG201" i="9"/>
  <c r="AN201" i="9" s="1"/>
  <c r="E67" i="13"/>
  <c r="G67" i="13"/>
  <c r="I67" i="13"/>
  <c r="K67" i="13"/>
  <c r="M67" i="13"/>
  <c r="D67" i="13"/>
  <c r="F67" i="13"/>
  <c r="H67" i="13"/>
  <c r="J67" i="13"/>
  <c r="L67" i="13"/>
  <c r="H39" i="21"/>
  <c r="H35" i="21"/>
  <c r="H37" i="21"/>
  <c r="H41" i="21"/>
  <c r="I41" i="21" s="1"/>
  <c r="H40" i="21"/>
  <c r="J40" i="21" s="1" a="1"/>
  <c r="J40" i="21" s="1"/>
  <c r="I13" i="9"/>
  <c r="N67" i="13"/>
  <c r="O85" i="13"/>
  <c r="J85" i="13"/>
  <c r="L85" i="13"/>
  <c r="H36" i="21"/>
  <c r="AU87" i="9"/>
  <c r="AU101" i="9"/>
  <c r="AU83" i="9"/>
  <c r="AT95" i="9"/>
  <c r="AT87" i="9"/>
  <c r="AT91" i="9"/>
  <c r="AU97" i="9"/>
  <c r="AU102" i="9"/>
  <c r="AS95" i="9"/>
  <c r="AU95" i="9"/>
  <c r="AS91" i="9"/>
  <c r="AS88" i="9"/>
  <c r="AS92" i="9"/>
  <c r="AS96" i="9"/>
  <c r="AS100" i="9"/>
  <c r="AT97" i="9"/>
  <c r="AU85" i="9"/>
  <c r="A1" i="5"/>
  <c r="E91" i="13"/>
  <c r="E97" i="13"/>
  <c r="H97" i="13"/>
  <c r="N91" i="13"/>
  <c r="I103" i="13"/>
  <c r="O67" i="13"/>
  <c r="O79" i="13"/>
  <c r="G73" i="13"/>
  <c r="I73" i="13"/>
  <c r="K73" i="13"/>
  <c r="M73" i="13"/>
  <c r="D73" i="13"/>
  <c r="F73" i="13"/>
  <c r="V73" i="13"/>
  <c r="V67" i="13"/>
  <c r="D79" i="13"/>
  <c r="F79" i="13"/>
  <c r="H79" i="13"/>
  <c r="J79" i="13"/>
  <c r="L79" i="13"/>
  <c r="H73" i="13"/>
  <c r="J73" i="13"/>
  <c r="L73" i="13"/>
  <c r="N73" i="13"/>
  <c r="E73" i="13"/>
  <c r="C85" i="13"/>
  <c r="E85" i="13"/>
  <c r="G85" i="13"/>
  <c r="G97" i="13"/>
  <c r="W97" i="13"/>
  <c r="I97" i="13"/>
  <c r="K535" i="21" a="1"/>
  <c r="K535" i="21" s="1"/>
  <c r="P535" i="21" s="1"/>
  <c r="AE49" i="9"/>
  <c r="AL49" i="9" s="1"/>
  <c r="AC19" i="9" a="1"/>
  <c r="AC19" i="9" s="1"/>
  <c r="AJ19" i="9" s="1"/>
  <c r="AG90" i="9"/>
  <c r="AN90" i="9" s="1"/>
  <c r="AC88" i="9" a="1"/>
  <c r="AC88" i="9" s="1"/>
  <c r="AJ88" i="9" s="1"/>
  <c r="AG91" i="9"/>
  <c r="AN91" i="9" s="1"/>
  <c r="AE496" i="9"/>
  <c r="AL496" i="9" s="1"/>
  <c r="AC486" i="9" a="1"/>
  <c r="AC486" i="9" s="1"/>
  <c r="AJ486" i="9" s="1"/>
  <c r="AE442" i="9"/>
  <c r="AL442" i="9" s="1"/>
  <c r="AD434" i="9"/>
  <c r="AE432" i="9"/>
  <c r="AL432" i="9" s="1"/>
  <c r="AI414" i="9"/>
  <c r="AP414" i="9" s="1"/>
  <c r="K920" i="21" a="1"/>
  <c r="K920" i="21" s="1"/>
  <c r="P920" i="21" s="1"/>
  <c r="I561" i="21"/>
  <c r="I1001" i="21"/>
  <c r="D286" i="21" a="1"/>
  <c r="D286" i="21" s="1"/>
  <c r="D289" i="21" a="1"/>
  <c r="D289" i="21" s="1"/>
  <c r="H289" i="21" s="1" a="1"/>
  <c r="H289" i="21" s="1"/>
  <c r="K289" i="21" s="1" a="1"/>
  <c r="K289" i="21" s="1"/>
  <c r="L289" i="21" s="1"/>
  <c r="D671" i="21" a="1"/>
  <c r="D671" i="21" s="1"/>
  <c r="AG28" i="9"/>
  <c r="AN28" i="9" s="1"/>
  <c r="I893" i="21"/>
  <c r="I52" i="21"/>
  <c r="AI80" i="9"/>
  <c r="AP80" i="9" s="1"/>
  <c r="AD64" i="9"/>
  <c r="AD48" i="9"/>
  <c r="AD32" i="9"/>
  <c r="AK32" i="9" s="1"/>
  <c r="AV32" i="9" s="1"/>
  <c r="AC28" i="9" a="1"/>
  <c r="AC28" i="9" s="1"/>
  <c r="AJ28" i="9" s="1"/>
  <c r="AE24" i="9"/>
  <c r="AL24" i="9" s="1"/>
  <c r="AD16" i="9"/>
  <c r="AE81" i="9"/>
  <c r="AL81" i="9" s="1"/>
  <c r="AD65" i="9"/>
  <c r="AQ65" i="9" s="1"/>
  <c r="AH53" i="9"/>
  <c r="AO53" i="9" s="1"/>
  <c r="AG45" i="9"/>
  <c r="AN45" i="9" s="1"/>
  <c r="AG38" i="9"/>
  <c r="AN38" i="9" s="1"/>
  <c r="AD47" i="9"/>
  <c r="AC43" i="9" a="1"/>
  <c r="AC43" i="9" s="1"/>
  <c r="AJ43" i="9" s="1"/>
  <c r="AI31" i="9"/>
  <c r="AP31" i="9" s="1"/>
  <c r="AD15" i="9"/>
  <c r="AE95" i="9"/>
  <c r="AL95" i="9" s="1"/>
  <c r="AE486" i="9"/>
  <c r="AL486" i="9" s="1"/>
  <c r="AC478" i="9" a="1"/>
  <c r="AC478" i="9" s="1"/>
  <c r="AJ478" i="9" s="1"/>
  <c r="AG468" i="9"/>
  <c r="AN468" i="9" s="1"/>
  <c r="AC430" i="9" a="1"/>
  <c r="AC430" i="9" s="1"/>
  <c r="AJ430" i="9" s="1"/>
  <c r="AE404" i="9"/>
  <c r="AL404" i="9" s="1"/>
  <c r="AI390" i="9"/>
  <c r="AP390" i="9" s="1"/>
  <c r="AC372" i="9" a="1"/>
  <c r="AC372" i="9" s="1"/>
  <c r="AJ372" i="9" s="1"/>
  <c r="AG358" i="9"/>
  <c r="AN358" i="9" s="1"/>
  <c r="AE340" i="9"/>
  <c r="AL340" i="9" s="1"/>
  <c r="AG308" i="9"/>
  <c r="AN308" i="9" s="1"/>
  <c r="AE302" i="9"/>
  <c r="AL302" i="9" s="1"/>
  <c r="AE292" i="9"/>
  <c r="AL292" i="9" s="1"/>
  <c r="AI268" i="9"/>
  <c r="AP268" i="9" s="1"/>
  <c r="AE238" i="9"/>
  <c r="AL238" i="9" s="1"/>
  <c r="AE228" i="9"/>
  <c r="AL228" i="9" s="1"/>
  <c r="AD222" i="9"/>
  <c r="AR222" i="9" s="1"/>
  <c r="AC204" i="9" a="1"/>
  <c r="AC204" i="9" s="1"/>
  <c r="AJ204" i="9" s="1"/>
  <c r="AE190" i="9"/>
  <c r="AL190" i="9" s="1"/>
  <c r="AC174" i="9" a="1"/>
  <c r="AC174" i="9" s="1"/>
  <c r="AJ174" i="9" s="1"/>
  <c r="AF156" i="9"/>
  <c r="AM156" i="9" s="1"/>
  <c r="AE148" i="9"/>
  <c r="AL148" i="9" s="1"/>
  <c r="AI116" i="9"/>
  <c r="AP116" i="9" s="1"/>
  <c r="AE108" i="9"/>
  <c r="AL108" i="9" s="1"/>
  <c r="AG489" i="9"/>
  <c r="AN489" i="9" s="1"/>
  <c r="AE453" i="9"/>
  <c r="AL453" i="9" s="1"/>
  <c r="AG449" i="9"/>
  <c r="AN449" i="9" s="1"/>
  <c r="AI437" i="9"/>
  <c r="AP437" i="9" s="1"/>
  <c r="AC433" i="9" a="1"/>
  <c r="AC433" i="9" s="1"/>
  <c r="AJ433" i="9" s="1"/>
  <c r="AC425" i="9" a="1"/>
  <c r="AC425" i="9" s="1"/>
  <c r="AJ425" i="9" s="1"/>
  <c r="AH397" i="9"/>
  <c r="AO397" i="9" s="1"/>
  <c r="AG385" i="9"/>
  <c r="AN385" i="9" s="1"/>
  <c r="AG381" i="9"/>
  <c r="AN381" i="9" s="1"/>
  <c r="AI373" i="9"/>
  <c r="AP373" i="9" s="1"/>
  <c r="AI325" i="9"/>
  <c r="AP325" i="9" s="1"/>
  <c r="AE317" i="9"/>
  <c r="AL317" i="9" s="1"/>
  <c r="AG293" i="9"/>
  <c r="AN293" i="9" s="1"/>
  <c r="AE285" i="9"/>
  <c r="AL285" i="9" s="1"/>
  <c r="AD281" i="9"/>
  <c r="AR281" i="9" s="1"/>
  <c r="AC261" i="9" a="1"/>
  <c r="AC261" i="9" s="1"/>
  <c r="AJ261" i="9" s="1"/>
  <c r="AE253" i="9"/>
  <c r="AL253" i="9" s="1"/>
  <c r="AG245" i="9"/>
  <c r="AN245" i="9" s="1"/>
  <c r="AI229" i="9"/>
  <c r="AP229" i="9" s="1"/>
  <c r="AC209" i="9" a="1"/>
  <c r="AC209" i="9" s="1"/>
  <c r="AJ209" i="9" s="1"/>
  <c r="AE201" i="9"/>
  <c r="AL201" i="9" s="1"/>
  <c r="AG193" i="9"/>
  <c r="AN193" i="9" s="1"/>
  <c r="K10" i="9"/>
  <c r="AE173" i="9"/>
  <c r="AL173" i="9" s="1"/>
  <c r="AE165" i="9"/>
  <c r="AL165" i="9" s="1"/>
  <c r="AC145" i="9" a="1"/>
  <c r="AC145" i="9" s="1"/>
  <c r="AJ145" i="9" s="1"/>
  <c r="AE121" i="9"/>
  <c r="AL121" i="9" s="1"/>
  <c r="AG113" i="9"/>
  <c r="AN113" i="9" s="1"/>
  <c r="AE498" i="9"/>
  <c r="AL498" i="9" s="1"/>
  <c r="AG496" i="9"/>
  <c r="AN496" i="9" s="1"/>
  <c r="AE440" i="9"/>
  <c r="AL440" i="9" s="1"/>
  <c r="AG432" i="9"/>
  <c r="AN432" i="9" s="1"/>
  <c r="AE424" i="9"/>
  <c r="AL424" i="9" s="1"/>
  <c r="AC418" i="9" a="1"/>
  <c r="AC418" i="9" s="1"/>
  <c r="AJ418" i="9" s="1"/>
  <c r="AI394" i="9"/>
  <c r="AP394" i="9" s="1"/>
  <c r="AE384" i="9"/>
  <c r="AL384" i="9" s="1"/>
  <c r="AE378" i="9"/>
  <c r="AL378" i="9" s="1"/>
  <c r="AC354" i="9" a="1"/>
  <c r="AC354" i="9" s="1"/>
  <c r="AJ354" i="9" s="1"/>
  <c r="AE338" i="9"/>
  <c r="AL338" i="9" s="1"/>
  <c r="AE336" i="9"/>
  <c r="AL336" i="9" s="1"/>
  <c r="AI330" i="9"/>
  <c r="AP330" i="9" s="1"/>
  <c r="AD312" i="9"/>
  <c r="AQ312" i="9" s="1"/>
  <c r="AC304" i="9" a="1"/>
  <c r="AC304" i="9" s="1"/>
  <c r="AJ304" i="9" s="1"/>
  <c r="AG298" i="9"/>
  <c r="AN298" i="9" s="1"/>
  <c r="AE274" i="9"/>
  <c r="AL274" i="9" s="1"/>
  <c r="AE272" i="9"/>
  <c r="AL272" i="9" s="1"/>
  <c r="AG258" i="9"/>
  <c r="AN258" i="9" s="1"/>
  <c r="AG256" i="9"/>
  <c r="AN256" i="9" s="1"/>
  <c r="AC248" i="9" a="1"/>
  <c r="AC248" i="9" s="1"/>
  <c r="AJ248" i="9" s="1"/>
  <c r="AE216" i="9"/>
  <c r="AL216" i="9" s="1"/>
  <c r="AG210" i="9"/>
  <c r="AN210" i="9" s="1"/>
  <c r="AC208" i="9" a="1"/>
  <c r="AC208" i="9" s="1"/>
  <c r="AJ208" i="9" s="1"/>
  <c r="AG202" i="9"/>
  <c r="AN202" i="9" s="1"/>
  <c r="AI178" i="9"/>
  <c r="AP178" i="9" s="1"/>
  <c r="AG176" i="9"/>
  <c r="AN176" i="9" s="1"/>
  <c r="AE160" i="9"/>
  <c r="AL160" i="9" s="1"/>
  <c r="AE152" i="9"/>
  <c r="AL152" i="9" s="1"/>
  <c r="AC146" i="9" a="1"/>
  <c r="AC146" i="9" s="1"/>
  <c r="AJ146" i="9" s="1"/>
  <c r="AC128" i="9" a="1"/>
  <c r="AC128" i="9" s="1"/>
  <c r="AJ128" i="9" s="1"/>
  <c r="AG120" i="9"/>
  <c r="AN120" i="9" s="1"/>
  <c r="AI112" i="9"/>
  <c r="AP112" i="9" s="1"/>
  <c r="AC471" i="9" a="1"/>
  <c r="AC471" i="9" s="1"/>
  <c r="AJ471" i="9" s="1"/>
  <c r="AE455" i="9"/>
  <c r="AL455" i="9" s="1"/>
  <c r="AC451" i="9" a="1"/>
  <c r="AC451" i="9" s="1"/>
  <c r="AJ451" i="9" s="1"/>
  <c r="AG447" i="9"/>
  <c r="AN447" i="9" s="1"/>
  <c r="AG443" i="9"/>
  <c r="AN443" i="9" s="1"/>
  <c r="AE431" i="9"/>
  <c r="AL431" i="9" s="1"/>
  <c r="AI407" i="9"/>
  <c r="AP407" i="9" s="1"/>
  <c r="AI379" i="9"/>
  <c r="AP379" i="9" s="1"/>
  <c r="AC359" i="9" a="1"/>
  <c r="AC359" i="9" s="1"/>
  <c r="AJ359" i="9" s="1"/>
  <c r="AC355" i="9" a="1"/>
  <c r="AC355" i="9" s="1"/>
  <c r="AJ355" i="9" s="1"/>
  <c r="AI347" i="9"/>
  <c r="AP347" i="9" s="1"/>
  <c r="AC331" i="9" a="1"/>
  <c r="AC331" i="9" s="1"/>
  <c r="AJ331" i="9" s="1"/>
  <c r="AC311" i="9" a="1"/>
  <c r="AC311" i="9" s="1"/>
  <c r="AJ311" i="9" s="1"/>
  <c r="AE299" i="9"/>
  <c r="AL299" i="9" s="1"/>
  <c r="AC275" i="9" a="1"/>
  <c r="AC275" i="9" s="1"/>
  <c r="AJ275" i="9" s="1"/>
  <c r="AC271" i="9" a="1"/>
  <c r="AC271" i="9" s="1"/>
  <c r="AJ271" i="9" s="1"/>
  <c r="AE267" i="9"/>
  <c r="AL267" i="9" s="1"/>
  <c r="AI251" i="9"/>
  <c r="AP251" i="9" s="1"/>
  <c r="AE235" i="9"/>
  <c r="AL235" i="9" s="1"/>
  <c r="AG231" i="9"/>
  <c r="AN231" i="9" s="1"/>
  <c r="AE227" i="9"/>
  <c r="AL227" i="9" s="1"/>
  <c r="AG215" i="9"/>
  <c r="AN215" i="9" s="1"/>
  <c r="AE175" i="9"/>
  <c r="AL175" i="9" s="1"/>
  <c r="AG139" i="9"/>
  <c r="AN139" i="9" s="1"/>
  <c r="AG131" i="9"/>
  <c r="AN131" i="9" s="1"/>
  <c r="AE123" i="9"/>
  <c r="AL123" i="9" s="1"/>
  <c r="AC107" i="9" a="1"/>
  <c r="AC107" i="9" s="1"/>
  <c r="AJ107" i="9" s="1"/>
  <c r="AQ222" i="9"/>
  <c r="AC3" i="5"/>
  <c r="AC8" i="5"/>
  <c r="AC9" i="5"/>
  <c r="AC6" i="5"/>
  <c r="AC7" i="5"/>
  <c r="H453" i="21"/>
  <c r="H199" i="21"/>
  <c r="I199" i="21" s="1"/>
  <c r="H171" i="21"/>
  <c r="J171" i="21" s="1" a="1"/>
  <c r="J171" i="21" s="1"/>
  <c r="H143" i="21"/>
  <c r="H88" i="21"/>
  <c r="I88" i="21" s="1"/>
  <c r="AD31" i="9"/>
  <c r="AK31" i="9" s="1"/>
  <c r="AV31" i="9" s="1"/>
  <c r="AD80" i="9"/>
  <c r="AQ80" i="9" s="1"/>
  <c r="AD81" i="9"/>
  <c r="AQ81" i="9" s="1"/>
  <c r="AR255" i="9"/>
  <c r="H12" i="9"/>
  <c r="K866" i="21" a="1"/>
  <c r="K866" i="21" s="1"/>
  <c r="P866" i="21" s="1"/>
  <c r="I481" i="21"/>
  <c r="K1028" i="21" a="1"/>
  <c r="K1028" i="21" s="1"/>
  <c r="P1028" i="21" s="1"/>
  <c r="K508" i="21" a="1"/>
  <c r="K508" i="21" s="1"/>
  <c r="P508" i="21" s="1"/>
  <c r="K643" i="21" a="1"/>
  <c r="K643" i="21" s="1"/>
  <c r="P643" i="21" s="1"/>
  <c r="K839" i="21" a="1"/>
  <c r="K839" i="21" s="1"/>
  <c r="P144" i="21"/>
  <c r="P45" i="21"/>
  <c r="AE331" i="9"/>
  <c r="AL331" i="9" s="1"/>
  <c r="AE471" i="9"/>
  <c r="AL471" i="9" s="1"/>
  <c r="AE209" i="9"/>
  <c r="AL209" i="9" s="1"/>
  <c r="AE107" i="9"/>
  <c r="AL107" i="9" s="1"/>
  <c r="AE156" i="9"/>
  <c r="AL156" i="9" s="1"/>
  <c r="AC215" i="9" a="1"/>
  <c r="AC215" i="9" s="1"/>
  <c r="AJ215" i="9" s="1"/>
  <c r="AI275" i="9"/>
  <c r="AP275" i="9" s="1"/>
  <c r="J46" i="21" a="1"/>
  <c r="J46" i="21" s="1"/>
  <c r="F674" i="21"/>
  <c r="D288" i="21" a="1"/>
  <c r="D288" i="21" s="1"/>
  <c r="H115" i="21"/>
  <c r="L115" i="21" s="1"/>
  <c r="H838" i="21"/>
  <c r="H58" i="21"/>
  <c r="D1086" i="21" a="1"/>
  <c r="D1086" i="21" s="1"/>
  <c r="H62" i="21"/>
  <c r="J62" i="21" s="1" a="1"/>
  <c r="J62" i="21" s="1"/>
  <c r="AC58" i="9" a="1"/>
  <c r="AC58" i="9" s="1"/>
  <c r="AJ58" i="9" s="1"/>
  <c r="D673" i="21" a="1"/>
  <c r="D673" i="21" s="1"/>
  <c r="I59" i="21"/>
  <c r="AE76" i="9"/>
  <c r="AL76" i="9" s="1"/>
  <c r="AE72" i="9"/>
  <c r="AL72" i="9" s="1"/>
  <c r="AG66" i="9"/>
  <c r="AN66" i="9" s="1"/>
  <c r="AC56" i="9" a="1"/>
  <c r="AC56" i="9" s="1"/>
  <c r="AJ56" i="9" s="1"/>
  <c r="AB4" i="5"/>
  <c r="AB17" i="5" a="1"/>
  <c r="AB17" i="5" s="1"/>
  <c r="AB21" i="5" s="1"/>
  <c r="J42" i="21" a="1"/>
  <c r="J42" i="21" s="1"/>
  <c r="I42" i="21"/>
  <c r="J38" i="21" a="1"/>
  <c r="J38" i="21" s="1"/>
  <c r="I38" i="21"/>
  <c r="J43" i="21" a="1"/>
  <c r="J43" i="21" s="1"/>
  <c r="L41" i="21"/>
  <c r="J44" i="21" a="1"/>
  <c r="J44" i="21" s="1"/>
  <c r="J562" i="21" a="1"/>
  <c r="J562" i="21" s="1"/>
  <c r="L562" i="21"/>
  <c r="L642" i="21"/>
  <c r="J642" i="21" a="1"/>
  <c r="J642" i="21" s="1"/>
  <c r="J588" i="21" a="1"/>
  <c r="J588" i="21" s="1"/>
  <c r="L588" i="21"/>
  <c r="I642" i="21"/>
  <c r="K561" i="21" a="1"/>
  <c r="K561" i="21" s="1"/>
  <c r="P561" i="21" s="1"/>
  <c r="I866" i="21"/>
  <c r="I562" i="21"/>
  <c r="K481" i="21" a="1"/>
  <c r="K481" i="21" s="1"/>
  <c r="P481" i="21" s="1"/>
  <c r="K588" i="21" a="1"/>
  <c r="K588" i="21" s="1"/>
  <c r="P588" i="21" s="1"/>
  <c r="I535" i="21"/>
  <c r="I1028" i="21"/>
  <c r="I920" i="21"/>
  <c r="I508" i="21"/>
  <c r="K1001" i="21" a="1"/>
  <c r="K1001" i="21" s="1"/>
  <c r="P1001" i="21" s="1"/>
  <c r="I643" i="21"/>
  <c r="K893" i="21" a="1"/>
  <c r="K893" i="21" s="1"/>
  <c r="P893" i="21" s="1"/>
  <c r="I839" i="21"/>
  <c r="P839" i="21"/>
  <c r="I40" i="21"/>
  <c r="P46" i="21"/>
  <c r="P49" i="21"/>
  <c r="AC4" i="5"/>
  <c r="AC17" i="5" a="1"/>
  <c r="AC17" i="5" s="1"/>
  <c r="AC21" i="5" s="1"/>
  <c r="AC16" i="5"/>
  <c r="AC20" i="5" s="1"/>
  <c r="I57" i="21"/>
  <c r="J12" i="9"/>
  <c r="D13" i="9"/>
  <c r="AG80" i="9"/>
  <c r="AN80" i="9" s="1"/>
  <c r="AG56" i="9"/>
  <c r="AN56" i="9" s="1"/>
  <c r="AC24" i="9" a="1"/>
  <c r="AC24" i="9" s="1"/>
  <c r="AJ24" i="9" s="1"/>
  <c r="AE61" i="9"/>
  <c r="AL61" i="9" s="1"/>
  <c r="AE90" i="9"/>
  <c r="AL90" i="9" s="1"/>
  <c r="AE97" i="9"/>
  <c r="AL97" i="9" s="1"/>
  <c r="AE101" i="9"/>
  <c r="AL101" i="9" s="1"/>
  <c r="AG85" i="9"/>
  <c r="AN85" i="9" s="1"/>
  <c r="AG490" i="9"/>
  <c r="AN490" i="9" s="1"/>
  <c r="AG480" i="9"/>
  <c r="AN480" i="9" s="1"/>
  <c r="AE466" i="9"/>
  <c r="AL466" i="9" s="1"/>
  <c r="AC460" i="9" a="1"/>
  <c r="AC460" i="9" s="1"/>
  <c r="AJ460" i="9" s="1"/>
  <c r="AE454" i="9"/>
  <c r="AL454" i="9" s="1"/>
  <c r="AE448" i="9"/>
  <c r="AL448" i="9" s="1"/>
  <c r="AG440" i="9"/>
  <c r="AN440" i="9" s="1"/>
  <c r="AC424" i="9" a="1"/>
  <c r="AC424" i="9" s="1"/>
  <c r="AJ424" i="9" s="1"/>
  <c r="AI420" i="9"/>
  <c r="AP420" i="9" s="1"/>
  <c r="F261" i="21"/>
  <c r="AE74" i="9"/>
  <c r="AL74" i="9" s="1"/>
  <c r="AC34" i="9" a="1"/>
  <c r="AC34" i="9" s="1"/>
  <c r="AJ34" i="9" s="1"/>
  <c r="AC81" i="9" a="1"/>
  <c r="AC81" i="9" s="1"/>
  <c r="AJ81" i="9" s="1"/>
  <c r="AG73" i="9"/>
  <c r="AN73" i="9" s="1"/>
  <c r="AG57" i="9"/>
  <c r="AN57" i="9" s="1"/>
  <c r="AG17" i="9"/>
  <c r="AN17" i="9" s="1"/>
  <c r="AC54" i="9" a="1"/>
  <c r="AC54" i="9" s="1"/>
  <c r="AJ54" i="9" s="1"/>
  <c r="AC46" i="9" a="1"/>
  <c r="AC46" i="9" s="1"/>
  <c r="AJ46" i="9" s="1"/>
  <c r="AG36" i="9"/>
  <c r="AN36" i="9" s="1"/>
  <c r="AE14" i="9"/>
  <c r="AL14" i="9" s="1"/>
  <c r="AG12" i="9"/>
  <c r="AN12" i="9" s="1"/>
  <c r="AE79" i="9"/>
  <c r="AL79" i="9" s="1"/>
  <c r="AI75" i="9"/>
  <c r="AP75" i="9" s="1"/>
  <c r="AI71" i="9"/>
  <c r="AP71" i="9" s="1"/>
  <c r="AI51" i="9"/>
  <c r="AP51" i="9" s="1"/>
  <c r="AE39" i="9"/>
  <c r="AL39" i="9" s="1"/>
  <c r="AG83" i="9"/>
  <c r="AN83" i="9" s="1"/>
  <c r="AE462" i="9"/>
  <c r="AL462" i="9" s="1"/>
  <c r="AB16" i="5"/>
  <c r="AB20" i="5" s="1"/>
  <c r="AC19" i="5"/>
  <c r="AC23" i="5" s="1"/>
  <c r="F289" i="21"/>
  <c r="D1088" i="21" a="1"/>
  <c r="D1088" i="21" s="1"/>
  <c r="D1093" i="21" a="1"/>
  <c r="D1093" i="21" s="1"/>
  <c r="H1093" i="21" s="1"/>
  <c r="L1093" i="21" s="1"/>
  <c r="D674" i="21" a="1"/>
  <c r="D674" i="21" s="1"/>
  <c r="H674" i="21" s="1" a="1"/>
  <c r="H674" i="21" s="1"/>
  <c r="K674" i="21" s="1" a="1"/>
  <c r="K674" i="21" s="1"/>
  <c r="L674" i="21" s="1"/>
  <c r="D18" i="13"/>
  <c r="D20" i="13"/>
  <c r="D12" i="13"/>
  <c r="D17" i="13"/>
  <c r="D19" i="13"/>
  <c r="D21" i="13"/>
  <c r="D13" i="13"/>
  <c r="D15" i="13"/>
  <c r="D14" i="13"/>
  <c r="D16" i="13"/>
  <c r="F17" i="13"/>
  <c r="F19" i="13"/>
  <c r="F21" i="13"/>
  <c r="F12" i="13"/>
  <c r="F18" i="13"/>
  <c r="F20" i="13"/>
  <c r="F13" i="13"/>
  <c r="F15" i="13"/>
  <c r="F14" i="13"/>
  <c r="F16" i="13"/>
  <c r="H17" i="13"/>
  <c r="H19" i="13"/>
  <c r="H21" i="13"/>
  <c r="H12" i="13"/>
  <c r="H18" i="13"/>
  <c r="H20" i="13"/>
  <c r="H13" i="13"/>
  <c r="H15" i="13"/>
  <c r="H14" i="13"/>
  <c r="H16" i="13"/>
  <c r="J17" i="13"/>
  <c r="J19" i="13"/>
  <c r="J21" i="13"/>
  <c r="J12" i="13"/>
  <c r="J18" i="13"/>
  <c r="J20" i="13"/>
  <c r="J13" i="13"/>
  <c r="J15" i="13"/>
  <c r="J14" i="13"/>
  <c r="J16" i="13"/>
  <c r="L17" i="13"/>
  <c r="L19" i="13"/>
  <c r="L21" i="13"/>
  <c r="L12" i="13"/>
  <c r="L18" i="13"/>
  <c r="L20" i="13"/>
  <c r="L13" i="13"/>
  <c r="L15" i="13"/>
  <c r="L14" i="13"/>
  <c r="L16" i="13"/>
  <c r="N17" i="13"/>
  <c r="N19" i="13"/>
  <c r="N21" i="13"/>
  <c r="N12" i="13"/>
  <c r="N18" i="13"/>
  <c r="N20" i="13"/>
  <c r="N13" i="13"/>
  <c r="N15" i="13"/>
  <c r="N14" i="13"/>
  <c r="N16" i="13"/>
  <c r="P17" i="13"/>
  <c r="P19" i="13"/>
  <c r="P21" i="13"/>
  <c r="P12" i="13"/>
  <c r="P18" i="13"/>
  <c r="P20" i="13"/>
  <c r="P13" i="13"/>
  <c r="P15" i="13"/>
  <c r="P14" i="13"/>
  <c r="P16" i="13"/>
  <c r="R17" i="13"/>
  <c r="R19" i="13"/>
  <c r="R21" i="13"/>
  <c r="R12" i="13"/>
  <c r="R18" i="13"/>
  <c r="R20" i="13"/>
  <c r="R13" i="13"/>
  <c r="R15" i="13"/>
  <c r="R14" i="13"/>
  <c r="R16" i="13"/>
  <c r="T17" i="13"/>
  <c r="T19" i="13"/>
  <c r="T21" i="13"/>
  <c r="T12" i="13"/>
  <c r="T18" i="13"/>
  <c r="T20" i="13"/>
  <c r="T13" i="13"/>
  <c r="T15" i="13"/>
  <c r="T14" i="13"/>
  <c r="T16" i="13"/>
  <c r="V17" i="13"/>
  <c r="V19" i="13"/>
  <c r="V21" i="13"/>
  <c r="V12" i="13"/>
  <c r="V18" i="13"/>
  <c r="V20" i="13"/>
  <c r="V13" i="13"/>
  <c r="V15" i="13"/>
  <c r="V14" i="13"/>
  <c r="V16" i="13"/>
  <c r="X17" i="13"/>
  <c r="X19" i="13"/>
  <c r="X21" i="13"/>
  <c r="X12" i="13"/>
  <c r="X18" i="13"/>
  <c r="X20" i="13"/>
  <c r="X13" i="13"/>
  <c r="X15" i="13"/>
  <c r="X14" i="13"/>
  <c r="X16" i="13"/>
  <c r="Z17" i="13"/>
  <c r="Z19" i="13"/>
  <c r="Z21" i="13"/>
  <c r="Z12" i="13"/>
  <c r="Z18" i="13"/>
  <c r="Z20" i="13"/>
  <c r="Z13" i="13"/>
  <c r="Z15" i="13"/>
  <c r="Z14" i="13"/>
  <c r="Z16" i="13"/>
  <c r="AB17" i="13"/>
  <c r="AB19" i="13"/>
  <c r="AB21" i="13"/>
  <c r="AB12" i="13"/>
  <c r="AB18" i="13"/>
  <c r="AB20" i="13"/>
  <c r="AB13" i="13"/>
  <c r="AB15" i="13"/>
  <c r="AB14" i="13"/>
  <c r="AB16" i="13"/>
  <c r="C11" i="5"/>
  <c r="C13" i="5"/>
  <c r="C15" i="5"/>
  <c r="C12" i="5"/>
  <c r="C14" i="5"/>
  <c r="E11" i="5"/>
  <c r="E13" i="5"/>
  <c r="E15" i="5"/>
  <c r="E12" i="5"/>
  <c r="E14" i="5"/>
  <c r="G11" i="5"/>
  <c r="G13" i="5"/>
  <c r="G15" i="5"/>
  <c r="G12" i="5"/>
  <c r="G14" i="5"/>
  <c r="I11" i="5"/>
  <c r="I13" i="5"/>
  <c r="I15" i="5"/>
  <c r="I12" i="5"/>
  <c r="I14" i="5"/>
  <c r="K11" i="5"/>
  <c r="K13" i="5"/>
  <c r="K15" i="5"/>
  <c r="K12" i="5"/>
  <c r="K14" i="5"/>
  <c r="M11" i="5"/>
  <c r="M12" i="5"/>
  <c r="M14" i="5"/>
  <c r="M13" i="5"/>
  <c r="M15" i="5"/>
  <c r="O11" i="5"/>
  <c r="O12" i="5"/>
  <c r="O14" i="5"/>
  <c r="O13" i="5"/>
  <c r="O15" i="5"/>
  <c r="Q11" i="5"/>
  <c r="Q12" i="5"/>
  <c r="Q14" i="5"/>
  <c r="Q13" i="5"/>
  <c r="Q15" i="5"/>
  <c r="S11" i="5"/>
  <c r="S12" i="5"/>
  <c r="S14" i="5"/>
  <c r="S13" i="5"/>
  <c r="S15" i="5"/>
  <c r="U11" i="5"/>
  <c r="U12" i="5"/>
  <c r="U14" i="5"/>
  <c r="U13" i="5"/>
  <c r="U15" i="5"/>
  <c r="W11" i="5"/>
  <c r="W12" i="5"/>
  <c r="W14" i="5"/>
  <c r="W13" i="5"/>
  <c r="W15" i="5"/>
  <c r="Y11" i="5"/>
  <c r="Y12" i="5"/>
  <c r="Y14" i="5"/>
  <c r="Y13" i="5"/>
  <c r="Y15" i="5"/>
  <c r="AA11" i="5"/>
  <c r="AA12" i="5"/>
  <c r="AA14" i="5"/>
  <c r="AA13" i="5"/>
  <c r="AA15" i="5"/>
  <c r="AC11" i="5"/>
  <c r="AC12" i="5"/>
  <c r="AC14" i="5"/>
  <c r="AC13" i="5"/>
  <c r="AC15" i="5"/>
  <c r="C12" i="13"/>
  <c r="C18" i="13"/>
  <c r="C20" i="13"/>
  <c r="C13" i="13"/>
  <c r="C15" i="13"/>
  <c r="C17" i="13"/>
  <c r="C19" i="13"/>
  <c r="C21" i="13"/>
  <c r="C14" i="13"/>
  <c r="C16" i="13"/>
  <c r="E12" i="13"/>
  <c r="E17" i="13"/>
  <c r="E19" i="13"/>
  <c r="E21" i="13"/>
  <c r="E18" i="13"/>
  <c r="E20" i="13"/>
  <c r="E14" i="13"/>
  <c r="E16" i="13"/>
  <c r="E13" i="13"/>
  <c r="E15" i="13"/>
  <c r="G12" i="13"/>
  <c r="G18" i="13"/>
  <c r="G20" i="13"/>
  <c r="G17" i="13"/>
  <c r="G19" i="13"/>
  <c r="G21" i="13"/>
  <c r="G13" i="13"/>
  <c r="G15" i="13"/>
  <c r="G14" i="13"/>
  <c r="G16" i="13"/>
  <c r="I12" i="13"/>
  <c r="I18" i="13"/>
  <c r="I20" i="13"/>
  <c r="I17" i="13"/>
  <c r="I19" i="13"/>
  <c r="I21" i="13"/>
  <c r="I13" i="13"/>
  <c r="I15" i="13"/>
  <c r="I14" i="13"/>
  <c r="I16" i="13"/>
  <c r="K12" i="13"/>
  <c r="K18" i="13"/>
  <c r="K20" i="13"/>
  <c r="K17" i="13"/>
  <c r="K19" i="13"/>
  <c r="K21" i="13"/>
  <c r="K13" i="13"/>
  <c r="K15" i="13"/>
  <c r="K14" i="13"/>
  <c r="K16" i="13"/>
  <c r="M12" i="13"/>
  <c r="M18" i="13"/>
  <c r="M20" i="13"/>
  <c r="M17" i="13"/>
  <c r="M19" i="13"/>
  <c r="M21" i="13"/>
  <c r="M13" i="13"/>
  <c r="M15" i="13"/>
  <c r="M14" i="13"/>
  <c r="M16" i="13"/>
  <c r="O12" i="13"/>
  <c r="O18" i="13"/>
  <c r="O20" i="13"/>
  <c r="O17" i="13"/>
  <c r="O19" i="13"/>
  <c r="O21" i="13"/>
  <c r="O13" i="13"/>
  <c r="O15" i="13"/>
  <c r="O14" i="13"/>
  <c r="O16" i="13"/>
  <c r="Q12" i="13"/>
  <c r="Q18" i="13"/>
  <c r="Q20" i="13"/>
  <c r="Q17" i="13"/>
  <c r="Q19" i="13"/>
  <c r="Q21" i="13"/>
  <c r="Q13" i="13"/>
  <c r="Q15" i="13"/>
  <c r="Q14" i="13"/>
  <c r="Q16" i="13"/>
  <c r="S12" i="13"/>
  <c r="S18" i="13"/>
  <c r="S20" i="13"/>
  <c r="S17" i="13"/>
  <c r="S19" i="13"/>
  <c r="S21" i="13"/>
  <c r="S13" i="13"/>
  <c r="S15" i="13"/>
  <c r="S14" i="13"/>
  <c r="S16" i="13"/>
  <c r="U12" i="13"/>
  <c r="U18" i="13"/>
  <c r="U20" i="13"/>
  <c r="U17" i="13"/>
  <c r="U19" i="13"/>
  <c r="U21" i="13"/>
  <c r="U13" i="13"/>
  <c r="U15" i="13"/>
  <c r="U14" i="13"/>
  <c r="U16" i="13"/>
  <c r="W12" i="13"/>
  <c r="W18" i="13"/>
  <c r="W20" i="13"/>
  <c r="W17" i="13"/>
  <c r="W19" i="13"/>
  <c r="W21" i="13"/>
  <c r="W13" i="13"/>
  <c r="W15" i="13"/>
  <c r="W14" i="13"/>
  <c r="W16" i="13"/>
  <c r="Y12" i="13"/>
  <c r="Y18" i="13"/>
  <c r="Y20" i="13"/>
  <c r="Y17" i="13"/>
  <c r="Y19" i="13"/>
  <c r="Y21" i="13"/>
  <c r="Y13" i="13"/>
  <c r="Y15" i="13"/>
  <c r="Y14" i="13"/>
  <c r="Y16" i="13"/>
  <c r="AA12" i="13"/>
  <c r="AA18" i="13"/>
  <c r="AA20" i="13"/>
  <c r="AA17" i="13"/>
  <c r="AA19" i="13"/>
  <c r="AD19" i="13" s="1"/>
  <c r="AA21" i="13"/>
  <c r="AA13" i="13"/>
  <c r="AA15" i="13"/>
  <c r="AA14" i="13"/>
  <c r="AA16" i="13"/>
  <c r="AC12" i="13"/>
  <c r="AC18" i="13"/>
  <c r="AC20" i="13"/>
  <c r="AF20" i="13" s="1"/>
  <c r="AC17" i="13"/>
  <c r="AC19" i="13"/>
  <c r="AF19" i="13" s="1"/>
  <c r="AC21" i="13"/>
  <c r="AC13" i="13"/>
  <c r="AC15" i="13"/>
  <c r="AC14" i="13"/>
  <c r="AC16" i="13"/>
  <c r="D13" i="5"/>
  <c r="D15" i="5"/>
  <c r="D11" i="5"/>
  <c r="D12" i="5"/>
  <c r="D14" i="5"/>
  <c r="F13" i="5"/>
  <c r="F15" i="5"/>
  <c r="F11" i="5"/>
  <c r="F12" i="5"/>
  <c r="F14" i="5"/>
  <c r="H13" i="5"/>
  <c r="H15" i="5"/>
  <c r="H11" i="5"/>
  <c r="H12" i="5"/>
  <c r="H14" i="5"/>
  <c r="J13" i="5"/>
  <c r="J15" i="5"/>
  <c r="J11" i="5"/>
  <c r="J12" i="5"/>
  <c r="J14" i="5"/>
  <c r="L13" i="5"/>
  <c r="L15" i="5"/>
  <c r="L11" i="5"/>
  <c r="L12" i="5"/>
  <c r="L14" i="5"/>
  <c r="N11" i="5"/>
  <c r="N12" i="5"/>
  <c r="N14" i="5"/>
  <c r="N13" i="5"/>
  <c r="N15" i="5"/>
  <c r="P11" i="5"/>
  <c r="P12" i="5"/>
  <c r="P14" i="5"/>
  <c r="P13" i="5"/>
  <c r="P15" i="5"/>
  <c r="R11" i="5"/>
  <c r="R12" i="5"/>
  <c r="R14" i="5"/>
  <c r="R13" i="5"/>
  <c r="R15" i="5"/>
  <c r="T11" i="5"/>
  <c r="T12" i="5"/>
  <c r="T14" i="5"/>
  <c r="T13" i="5"/>
  <c r="T15" i="5"/>
  <c r="V11" i="5"/>
  <c r="V12" i="5"/>
  <c r="V14" i="5"/>
  <c r="V13" i="5"/>
  <c r="V15" i="5"/>
  <c r="X11" i="5"/>
  <c r="X12" i="5"/>
  <c r="X14" i="5"/>
  <c r="X13" i="5"/>
  <c r="X15" i="5"/>
  <c r="Z11" i="5"/>
  <c r="Z12" i="5"/>
  <c r="Z14" i="5"/>
  <c r="Z13" i="5"/>
  <c r="Z15" i="5"/>
  <c r="AB11" i="5"/>
  <c r="AB12" i="5"/>
  <c r="AB14" i="5"/>
  <c r="AB13" i="5"/>
  <c r="AB15" i="5"/>
  <c r="AG46" i="9"/>
  <c r="AN46" i="9" s="1"/>
  <c r="I171" i="21"/>
  <c r="P59" i="21"/>
  <c r="I60" i="21"/>
  <c r="AE460" i="9"/>
  <c r="AL460" i="9" s="1"/>
  <c r="AD83" i="9"/>
  <c r="AQ83" i="9" s="1"/>
  <c r="H13" i="9"/>
  <c r="AC76" i="9" a="1"/>
  <c r="AC76" i="9" s="1"/>
  <c r="AJ76" i="9" s="1"/>
  <c r="AI60" i="9"/>
  <c r="AP60" i="9" s="1"/>
  <c r="AE54" i="9"/>
  <c r="AL54" i="9" s="1"/>
  <c r="AC52" i="9" a="1"/>
  <c r="AC52" i="9" s="1"/>
  <c r="AJ52" i="9" s="1"/>
  <c r="AE44" i="9"/>
  <c r="AL44" i="9" s="1"/>
  <c r="AC6" i="9" a="1"/>
  <c r="AC6" i="9" s="1"/>
  <c r="AJ6" i="9" s="1"/>
  <c r="AC4" i="9" a="1"/>
  <c r="AC4" i="9" s="1"/>
  <c r="AJ4" i="9" s="1"/>
  <c r="AG77" i="9"/>
  <c r="AN77" i="9" s="1"/>
  <c r="AC53" i="9" a="1"/>
  <c r="AC53" i="9" s="1"/>
  <c r="AJ53" i="9" s="1"/>
  <c r="AI49" i="9"/>
  <c r="AP49" i="9" s="1"/>
  <c r="AE43" i="9"/>
  <c r="AL43" i="9" s="1"/>
  <c r="AG41" i="9"/>
  <c r="AN41" i="9" s="1"/>
  <c r="AI39" i="9"/>
  <c r="AP39" i="9" s="1"/>
  <c r="AE35" i="9"/>
  <c r="AL35" i="9" s="1"/>
  <c r="AC33" i="9" a="1"/>
  <c r="AC33" i="9" s="1"/>
  <c r="AJ33" i="9" s="1"/>
  <c r="AC31" i="9" a="1"/>
  <c r="AC31" i="9" s="1"/>
  <c r="AJ31" i="9" s="1"/>
  <c r="AE29" i="9"/>
  <c r="AL29" i="9" s="1"/>
  <c r="AC25" i="9" a="1"/>
  <c r="AC25" i="9" s="1"/>
  <c r="AJ25" i="9" s="1"/>
  <c r="AI21" i="9"/>
  <c r="AP21" i="9" s="1"/>
  <c r="AE17" i="9"/>
  <c r="AL17" i="9" s="1"/>
  <c r="AC72" i="9" a="1"/>
  <c r="AC72" i="9" s="1"/>
  <c r="AJ72" i="9" s="1"/>
  <c r="AG64" i="9"/>
  <c r="AN64" i="9" s="1"/>
  <c r="AI58" i="9"/>
  <c r="AP58" i="9" s="1"/>
  <c r="AI56" i="9"/>
  <c r="AP56" i="9" s="1"/>
  <c r="AG48" i="9"/>
  <c r="AN48" i="9" s="1"/>
  <c r="AE42" i="9"/>
  <c r="AL42" i="9" s="1"/>
  <c r="AF40" i="9"/>
  <c r="AM40" i="9" s="1"/>
  <c r="AI34" i="9"/>
  <c r="AP34" i="9" s="1"/>
  <c r="AG26" i="9"/>
  <c r="AN26" i="9" s="1"/>
  <c r="AG24" i="9"/>
  <c r="AN24" i="9" s="1"/>
  <c r="AG10" i="9"/>
  <c r="AN10" i="9" s="1"/>
  <c r="AG79" i="9"/>
  <c r="AN79" i="9" s="1"/>
  <c r="AC63" i="9" a="1"/>
  <c r="AC63" i="9" s="1"/>
  <c r="AJ63" i="9" s="1"/>
  <c r="F283" i="21"/>
  <c r="F271" i="21"/>
  <c r="AE31" i="9"/>
  <c r="AL31" i="9" s="1"/>
  <c r="AE40" i="9"/>
  <c r="AL40" i="9" s="1"/>
  <c r="AH72" i="9"/>
  <c r="AO72" i="9" s="1"/>
  <c r="AG58" i="9"/>
  <c r="AN58" i="9" s="1"/>
  <c r="AG4" i="9"/>
  <c r="AN4" i="9" s="1"/>
  <c r="P57" i="21"/>
  <c r="I144" i="21"/>
  <c r="P60" i="21"/>
  <c r="N13" i="9"/>
  <c r="F274" i="21"/>
  <c r="F276" i="21"/>
  <c r="F272" i="21"/>
  <c r="P199" i="21"/>
  <c r="P40" i="21"/>
  <c r="I44" i="21"/>
  <c r="P41" i="21"/>
  <c r="I46" i="21"/>
  <c r="P43" i="21"/>
  <c r="I43" i="21"/>
  <c r="L43" i="21" s="1"/>
  <c r="I45" i="21"/>
  <c r="P38" i="21"/>
  <c r="I49" i="21"/>
  <c r="P42" i="21"/>
  <c r="P52" i="21"/>
  <c r="L535" i="21"/>
  <c r="J920" i="21" a="1"/>
  <c r="J920" i="21" s="1"/>
  <c r="L643" i="21"/>
  <c r="L171" i="21"/>
  <c r="L42" i="21"/>
  <c r="J1028" i="21" a="1"/>
  <c r="J1028" i="21" s="1"/>
  <c r="J59" i="21" a="1"/>
  <c r="J59" i="21" s="1"/>
  <c r="AE80" i="9"/>
  <c r="AL80" i="9" s="1"/>
  <c r="AI72" i="9"/>
  <c r="AP72" i="9" s="1"/>
  <c r="AE64" i="9"/>
  <c r="AL64" i="9" s="1"/>
  <c r="AE56" i="9"/>
  <c r="AL56" i="9" s="1"/>
  <c r="AI24" i="9"/>
  <c r="AP24" i="9" s="1"/>
  <c r="AE53" i="9"/>
  <c r="AL53" i="9" s="1"/>
  <c r="AG29" i="9"/>
  <c r="AN29" i="9" s="1"/>
  <c r="AC84" i="9" a="1"/>
  <c r="AC84" i="9" s="1"/>
  <c r="AJ84" i="9" s="1"/>
  <c r="AE468" i="9"/>
  <c r="AL468" i="9" s="1"/>
  <c r="AG420" i="9"/>
  <c r="AN420" i="9" s="1"/>
  <c r="AI280" i="9"/>
  <c r="AP280" i="9" s="1"/>
  <c r="AI272" i="9"/>
  <c r="AP272" i="9" s="1"/>
  <c r="AC266" i="9" a="1"/>
  <c r="AC266" i="9" s="1"/>
  <c r="AJ266" i="9" s="1"/>
  <c r="AD264" i="9"/>
  <c r="AQ264" i="9" s="1"/>
  <c r="AE258" i="9"/>
  <c r="AL258" i="9" s="1"/>
  <c r="AE256" i="9"/>
  <c r="AL256" i="9" s="1"/>
  <c r="AF250" i="9"/>
  <c r="AM250" i="9" s="1"/>
  <c r="AC240" i="9" a="1"/>
  <c r="AC240" i="9" s="1"/>
  <c r="AJ240" i="9" s="1"/>
  <c r="AH234" i="9"/>
  <c r="AO234" i="9" s="1"/>
  <c r="AG232" i="9"/>
  <c r="AN232" i="9" s="1"/>
  <c r="AD226" i="9"/>
  <c r="AR226" i="9" s="1"/>
  <c r="AI224" i="9"/>
  <c r="AP224" i="9" s="1"/>
  <c r="AG218" i="9"/>
  <c r="AN218" i="9" s="1"/>
  <c r="AI216" i="9"/>
  <c r="AP216" i="9" s="1"/>
  <c r="AD208" i="9"/>
  <c r="AK208" i="9" s="1"/>
  <c r="AV208" i="9" s="1"/>
  <c r="AD200" i="9"/>
  <c r="AQ200" i="9" s="1"/>
  <c r="AC194" i="9" a="1"/>
  <c r="AC194" i="9" s="1"/>
  <c r="AJ194" i="9" s="1"/>
  <c r="AG192" i="9"/>
  <c r="AN192" i="9" s="1"/>
  <c r="AD186" i="9"/>
  <c r="AQ186" i="9" s="1"/>
  <c r="AH184" i="9"/>
  <c r="AO184" i="9" s="1"/>
  <c r="AD178" i="9"/>
  <c r="AR178" i="9" s="1"/>
  <c r="AD176" i="9"/>
  <c r="AR176" i="9" s="1"/>
  <c r="AG170" i="9"/>
  <c r="AN170" i="9" s="1"/>
  <c r="AD168" i="9"/>
  <c r="AK168" i="9" s="1"/>
  <c r="AV168" i="9" s="1"/>
  <c r="AH162" i="9"/>
  <c r="AO162" i="9" s="1"/>
  <c r="AC154" i="9" a="1"/>
  <c r="AC154" i="9" s="1"/>
  <c r="AJ154" i="9" s="1"/>
  <c r="AE146" i="9"/>
  <c r="AL146" i="9" s="1"/>
  <c r="AG138" i="9"/>
  <c r="AN138" i="9" s="1"/>
  <c r="AG136" i="9"/>
  <c r="AN136" i="9" s="1"/>
  <c r="AH130" i="9"/>
  <c r="AO130" i="9" s="1"/>
  <c r="AE122" i="9"/>
  <c r="AL122" i="9" s="1"/>
  <c r="AD120" i="9"/>
  <c r="AR120" i="9" s="1"/>
  <c r="AD112" i="9"/>
  <c r="AQ112" i="9" s="1"/>
  <c r="AE106" i="9"/>
  <c r="AL106" i="9" s="1"/>
  <c r="AD104" i="9"/>
  <c r="AQ104" i="9" s="1"/>
  <c r="AG495" i="9"/>
  <c r="AN495" i="9" s="1"/>
  <c r="AI491" i="9"/>
  <c r="AP491" i="9" s="1"/>
  <c r="AD487" i="9"/>
  <c r="AK487" i="9" s="1"/>
  <c r="AV487" i="9" s="1"/>
  <c r="AD483" i="9"/>
  <c r="AK483" i="9" s="1"/>
  <c r="AV483" i="9" s="1"/>
  <c r="AF475" i="9"/>
  <c r="AM475" i="9" s="1"/>
  <c r="AC467" i="9" a="1"/>
  <c r="AC467" i="9" s="1"/>
  <c r="AJ467" i="9" s="1"/>
  <c r="AE459" i="9"/>
  <c r="AL459" i="9" s="1"/>
  <c r="AH455" i="9"/>
  <c r="AO455" i="9" s="1"/>
  <c r="AC447" i="9" a="1"/>
  <c r="AC447" i="9" s="1"/>
  <c r="AJ447" i="9" s="1"/>
  <c r="AE443" i="9"/>
  <c r="AL443" i="9" s="1"/>
  <c r="AG439" i="9"/>
  <c r="AN439" i="9" s="1"/>
  <c r="AI427" i="9"/>
  <c r="AP427" i="9" s="1"/>
  <c r="AE419" i="9"/>
  <c r="AL419" i="9" s="1"/>
  <c r="AE415" i="9"/>
  <c r="AL415" i="9" s="1"/>
  <c r="AD407" i="9"/>
  <c r="AK407" i="9" s="1"/>
  <c r="AV407" i="9" s="1"/>
  <c r="AF403" i="9"/>
  <c r="AM403" i="9" s="1"/>
  <c r="AF399" i="9"/>
  <c r="AM399" i="9" s="1"/>
  <c r="AD391" i="9"/>
  <c r="AK391" i="9" s="1"/>
  <c r="AV391" i="9" s="1"/>
  <c r="AH387" i="9"/>
  <c r="AO387" i="9" s="1"/>
  <c r="AD383" i="9"/>
  <c r="AR383" i="9" s="1"/>
  <c r="AF375" i="9"/>
  <c r="AM375" i="9" s="1"/>
  <c r="AC371" i="9" a="1"/>
  <c r="AC371" i="9" s="1"/>
  <c r="AJ371" i="9" s="1"/>
  <c r="AD367" i="9"/>
  <c r="AR367" i="9" s="1"/>
  <c r="AD359" i="9"/>
  <c r="AK359" i="9" s="1"/>
  <c r="AV359" i="9" s="1"/>
  <c r="AF351" i="9"/>
  <c r="AM351" i="9" s="1"/>
  <c r="AG339" i="9"/>
  <c r="AN339" i="9" s="1"/>
  <c r="AG335" i="9"/>
  <c r="AN335" i="9" s="1"/>
  <c r="AD327" i="9"/>
  <c r="AR327" i="9" s="1"/>
  <c r="AG323" i="9"/>
  <c r="AN323" i="9" s="1"/>
  <c r="AG311" i="9"/>
  <c r="AN311" i="9" s="1"/>
  <c r="AI307" i="9"/>
  <c r="AP307" i="9" s="1"/>
  <c r="AH303" i="9"/>
  <c r="AO303" i="9" s="1"/>
  <c r="AF299" i="9"/>
  <c r="AM299" i="9" s="1"/>
  <c r="AD295" i="9"/>
  <c r="AQ295" i="9" s="1"/>
  <c r="AE291" i="9"/>
  <c r="AL291" i="9" s="1"/>
  <c r="AC287" i="9" a="1"/>
  <c r="AC287" i="9" s="1"/>
  <c r="AJ287" i="9" s="1"/>
  <c r="AD279" i="9"/>
  <c r="AR279" i="9" s="1"/>
  <c r="AD263" i="9"/>
  <c r="AR263" i="9" s="1"/>
  <c r="AI255" i="9"/>
  <c r="AP255" i="9" s="1"/>
  <c r="AD247" i="9"/>
  <c r="AQ247" i="9" s="1"/>
  <c r="AD231" i="9"/>
  <c r="AQ231" i="9" s="1"/>
  <c r="AG223" i="9"/>
  <c r="AN223" i="9" s="1"/>
  <c r="AH215" i="9"/>
  <c r="AO215" i="9" s="1"/>
  <c r="AD199" i="9"/>
  <c r="AK199" i="9" s="1"/>
  <c r="AV199" i="9" s="1"/>
  <c r="F281" i="21"/>
  <c r="F277" i="21"/>
  <c r="F279" i="21"/>
  <c r="F273" i="21"/>
  <c r="F265" i="21"/>
  <c r="F269" i="21"/>
  <c r="F267" i="21"/>
  <c r="F263" i="21"/>
  <c r="H95" i="21"/>
  <c r="H153" i="21"/>
  <c r="H125" i="21"/>
  <c r="P125" i="21" s="1"/>
  <c r="H156" i="21"/>
  <c r="H149" i="21"/>
  <c r="P149" i="21" s="1"/>
  <c r="H102" i="21"/>
  <c r="J102" i="21" s="1" a="1"/>
  <c r="J102" i="21" s="1"/>
  <c r="AB10" i="13"/>
  <c r="AB9" i="13"/>
  <c r="AB8" i="13"/>
  <c r="AB7" i="13"/>
  <c r="AB6" i="13"/>
  <c r="AB5" i="13"/>
  <c r="H183" i="21"/>
  <c r="L183" i="21" s="1"/>
  <c r="H178" i="21"/>
  <c r="M9" i="9"/>
  <c r="H9" i="9"/>
  <c r="AC10" i="13"/>
  <c r="AC9" i="13"/>
  <c r="AC8" i="13"/>
  <c r="AC7" i="13"/>
  <c r="AC6" i="13"/>
  <c r="AC5" i="13"/>
  <c r="H63" i="21"/>
  <c r="H94" i="21"/>
  <c r="H64" i="21"/>
  <c r="H175" i="21"/>
  <c r="L175" i="21" s="1"/>
  <c r="H147" i="21"/>
  <c r="J147" i="21" s="1" a="1"/>
  <c r="J147" i="21" s="1"/>
  <c r="H152" i="21"/>
  <c r="J152" i="21" s="1" a="1"/>
  <c r="J152" i="21" s="1"/>
  <c r="H123" i="21"/>
  <c r="H179" i="21"/>
  <c r="J179" i="21" s="1" a="1"/>
  <c r="J179" i="21" s="1"/>
  <c r="H182" i="21"/>
  <c r="H154" i="21"/>
  <c r="L154" i="21" s="1"/>
  <c r="AH58" i="9"/>
  <c r="AO58" i="9" s="1"/>
  <c r="AG33" i="9"/>
  <c r="AN33" i="9" s="1"/>
  <c r="AI4" i="9"/>
  <c r="AP4" i="9" s="1"/>
  <c r="AF43" i="9"/>
  <c r="AM43" i="9" s="1"/>
  <c r="AE325" i="9"/>
  <c r="AL325" i="9" s="1"/>
  <c r="AH275" i="9"/>
  <c r="AO275" i="9" s="1"/>
  <c r="AE259" i="9"/>
  <c r="AL259" i="9" s="1"/>
  <c r="AG251" i="9"/>
  <c r="AN251" i="9" s="1"/>
  <c r="AC243" i="9" a="1"/>
  <c r="AC243" i="9" s="1"/>
  <c r="AJ243" i="9" s="1"/>
  <c r="AC235" i="9" a="1"/>
  <c r="AC235" i="9" s="1"/>
  <c r="AJ235" i="9" s="1"/>
  <c r="AG227" i="9"/>
  <c r="AN227" i="9" s="1"/>
  <c r="AE219" i="9"/>
  <c r="AL219" i="9" s="1"/>
  <c r="AG203" i="9"/>
  <c r="AN203" i="9" s="1"/>
  <c r="AD195" i="9"/>
  <c r="AR195" i="9" s="1"/>
  <c r="AC191" i="9" a="1"/>
  <c r="AC191" i="9" s="1"/>
  <c r="AJ191" i="9" s="1"/>
  <c r="AH187" i="9"/>
  <c r="AO187" i="9" s="1"/>
  <c r="AI183" i="9"/>
  <c r="AP183" i="9" s="1"/>
  <c r="AE179" i="9"/>
  <c r="AL179" i="9" s="1"/>
  <c r="AC175" i="9" a="1"/>
  <c r="AC175" i="9" s="1"/>
  <c r="AJ175" i="9" s="1"/>
  <c r="AD155" i="9"/>
  <c r="AR155" i="9" s="1"/>
  <c r="AC143" i="9" a="1"/>
  <c r="AC143" i="9" s="1"/>
  <c r="AJ143" i="9" s="1"/>
  <c r="AD139" i="9"/>
  <c r="AK139" i="9" s="1"/>
  <c r="AV139" i="9" s="1"/>
  <c r="AG135" i="9"/>
  <c r="AN135" i="9" s="1"/>
  <c r="AE131" i="9"/>
  <c r="AL131" i="9" s="1"/>
  <c r="AH127" i="9"/>
  <c r="AO127" i="9" s="1"/>
  <c r="AF123" i="9"/>
  <c r="AM123" i="9" s="1"/>
  <c r="AC119" i="9" a="1"/>
  <c r="AC119" i="9" s="1"/>
  <c r="AJ119" i="9" s="1"/>
  <c r="AE115" i="9"/>
  <c r="AL115" i="9" s="1"/>
  <c r="AG107" i="9"/>
  <c r="AN107" i="9" s="1"/>
  <c r="AF458" i="9"/>
  <c r="AM458" i="9" s="1"/>
  <c r="AH103" i="9"/>
  <c r="AO103" i="9" s="1"/>
  <c r="AD262" i="9"/>
  <c r="AQ262" i="9" s="1"/>
  <c r="O10" i="9"/>
  <c r="N12" i="9"/>
  <c r="J13" i="9"/>
  <c r="AA17" i="5" a="1"/>
  <c r="AA17" i="5" s="1"/>
  <c r="AA21" i="5" s="1"/>
  <c r="AD21" i="13"/>
  <c r="AF78" i="9"/>
  <c r="AM78" i="9" s="1"/>
  <c r="AF52" i="9"/>
  <c r="AM52" i="9" s="1"/>
  <c r="AH51" i="9"/>
  <c r="AO51" i="9" s="1"/>
  <c r="AF10" i="9"/>
  <c r="AM10" i="9" s="1"/>
  <c r="AF55" i="9"/>
  <c r="AM55" i="9" s="1"/>
  <c r="AH24" i="9"/>
  <c r="AO24" i="9" s="1"/>
  <c r="AF65" i="9"/>
  <c r="AM65" i="9" s="1"/>
  <c r="AH43" i="9"/>
  <c r="AO43" i="9" s="1"/>
  <c r="AD363" i="9"/>
  <c r="AQ363" i="9" s="1"/>
  <c r="AD376" i="9"/>
  <c r="AR376" i="9" s="1"/>
  <c r="AD266" i="9"/>
  <c r="AK266" i="9" s="1"/>
  <c r="AV266" i="9" s="1"/>
  <c r="AD451" i="9"/>
  <c r="AQ451" i="9" s="1"/>
  <c r="AD159" i="9"/>
  <c r="AQ159" i="9" s="1"/>
  <c r="AD413" i="9"/>
  <c r="AK413" i="9" s="1"/>
  <c r="AV413" i="9" s="1"/>
  <c r="AD118" i="9"/>
  <c r="AR118" i="9" s="1"/>
  <c r="AF170" i="9"/>
  <c r="AM170" i="9" s="1"/>
  <c r="AF390" i="9"/>
  <c r="AM390" i="9" s="1"/>
  <c r="AF339" i="9"/>
  <c r="AM339" i="9" s="1"/>
  <c r="AF303" i="9"/>
  <c r="AM303" i="9" s="1"/>
  <c r="AF481" i="9"/>
  <c r="AM481" i="9" s="1"/>
  <c r="AF484" i="9"/>
  <c r="AM484" i="9" s="1"/>
  <c r="N14" i="9"/>
  <c r="J14" i="9"/>
  <c r="O14" i="9"/>
  <c r="K14" i="9"/>
  <c r="O12" i="9"/>
  <c r="AR434" i="9"/>
  <c r="AQ434" i="9"/>
  <c r="AR363" i="9"/>
  <c r="E13" i="9"/>
  <c r="F13" i="9"/>
  <c r="G13" i="9"/>
  <c r="J36" i="21" a="1"/>
  <c r="J36" i="21" s="1"/>
  <c r="P36" i="21"/>
  <c r="J838" i="21" a="1"/>
  <c r="J838" i="21" s="1"/>
  <c r="P838" i="21"/>
  <c r="K13" i="9"/>
  <c r="L13" i="9"/>
  <c r="O13" i="9"/>
  <c r="AF487" i="9"/>
  <c r="AM487" i="9" s="1"/>
  <c r="AF279" i="9"/>
  <c r="AM279" i="9" s="1"/>
  <c r="AF193" i="9"/>
  <c r="AM193" i="9" s="1"/>
  <c r="AF249" i="9"/>
  <c r="AM249" i="9" s="1"/>
  <c r="AF425" i="9"/>
  <c r="AM425" i="9" s="1"/>
  <c r="AF465" i="9"/>
  <c r="AM465" i="9" s="1"/>
  <c r="AF327" i="9"/>
  <c r="AM327" i="9" s="1"/>
  <c r="AF374" i="9"/>
  <c r="AM374" i="9" s="1"/>
  <c r="AF99" i="9"/>
  <c r="AM99" i="9" s="1"/>
  <c r="AF244" i="9"/>
  <c r="AM244" i="9" s="1"/>
  <c r="AF256" i="9"/>
  <c r="AM256" i="9" s="1"/>
  <c r="AF320" i="9"/>
  <c r="AM320" i="9" s="1"/>
  <c r="AF384" i="9"/>
  <c r="AM384" i="9" s="1"/>
  <c r="AF466" i="9"/>
  <c r="AM466" i="9" s="1"/>
  <c r="AF434" i="9"/>
  <c r="AM434" i="9" s="1"/>
  <c r="AF105" i="9"/>
  <c r="AM105" i="9" s="1"/>
  <c r="AF392" i="9"/>
  <c r="AM392" i="9" s="1"/>
  <c r="AF197" i="9"/>
  <c r="AM197" i="9" s="1"/>
  <c r="AF419" i="9"/>
  <c r="AM419" i="9" s="1"/>
  <c r="AF151" i="9"/>
  <c r="AM151" i="9" s="1"/>
  <c r="AF288" i="9"/>
  <c r="AM288" i="9" s="1"/>
  <c r="AF389" i="9"/>
  <c r="AM389" i="9" s="1"/>
  <c r="AF29" i="9"/>
  <c r="AM29" i="9" s="1"/>
  <c r="AF11" i="9"/>
  <c r="AM11" i="9" s="1"/>
  <c r="AF37" i="9"/>
  <c r="AM37" i="9" s="1"/>
  <c r="AF12" i="9"/>
  <c r="AM12" i="9" s="1"/>
  <c r="AF39" i="9"/>
  <c r="AM39" i="9" s="1"/>
  <c r="AF49" i="9"/>
  <c r="AM49" i="9" s="1"/>
  <c r="AF19" i="9"/>
  <c r="AM19" i="9" s="1"/>
  <c r="AF72" i="9"/>
  <c r="AM72" i="9" s="1"/>
  <c r="AF28" i="9"/>
  <c r="AM28" i="9" s="1"/>
  <c r="AF38" i="9"/>
  <c r="AM38" i="9" s="1"/>
  <c r="AH178" i="9"/>
  <c r="AO178" i="9" s="1"/>
  <c r="AH384" i="9"/>
  <c r="AO384" i="9" s="1"/>
  <c r="AH323" i="9"/>
  <c r="AO323" i="9" s="1"/>
  <c r="AH413" i="9"/>
  <c r="AO413" i="9" s="1"/>
  <c r="AH149" i="9"/>
  <c r="AO149" i="9" s="1"/>
  <c r="AH414" i="9"/>
  <c r="AO414" i="9" s="1"/>
  <c r="AH453" i="9"/>
  <c r="AO453" i="9" s="1"/>
  <c r="AH377" i="9"/>
  <c r="AO377" i="9" s="1"/>
  <c r="AH126" i="9"/>
  <c r="AO126" i="9" s="1"/>
  <c r="AH155" i="9"/>
  <c r="AO155" i="9" s="1"/>
  <c r="AH198" i="9"/>
  <c r="AO198" i="9" s="1"/>
  <c r="AH330" i="9"/>
  <c r="AO330" i="9" s="1"/>
  <c r="AH353" i="9"/>
  <c r="AO353" i="9" s="1"/>
  <c r="AH437" i="9"/>
  <c r="AO437" i="9" s="1"/>
  <c r="AH482" i="9"/>
  <c r="AO482" i="9" s="1"/>
  <c r="AH415" i="9"/>
  <c r="AO415" i="9" s="1"/>
  <c r="AH196" i="9"/>
  <c r="AO196" i="9" s="1"/>
  <c r="AH274" i="9"/>
  <c r="AO274" i="9" s="1"/>
  <c r="AH279" i="9"/>
  <c r="AO279" i="9" s="1"/>
  <c r="AH450" i="9"/>
  <c r="AO450" i="9" s="1"/>
  <c r="AH84" i="9"/>
  <c r="AO84" i="9" s="1"/>
  <c r="AH370" i="9"/>
  <c r="AO370" i="9" s="1"/>
  <c r="AH452" i="9"/>
  <c r="AO452" i="9" s="1"/>
  <c r="AH33" i="9"/>
  <c r="AO33" i="9" s="1"/>
  <c r="AH50" i="9"/>
  <c r="AO50" i="9" s="1"/>
  <c r="AH19" i="9"/>
  <c r="AO19" i="9" s="1"/>
  <c r="AH21" i="9"/>
  <c r="AO21" i="9" s="1"/>
  <c r="AH13" i="9"/>
  <c r="AO13" i="9" s="1"/>
  <c r="AH15" i="9"/>
  <c r="AO15" i="9" s="1"/>
  <c r="AH4" i="9"/>
  <c r="AO4" i="9" s="1"/>
  <c r="AH16" i="9"/>
  <c r="AO16" i="9" s="1"/>
  <c r="AH8" i="9"/>
  <c r="AO8" i="9" s="1"/>
  <c r="AH22" i="9"/>
  <c r="AO22" i="9" s="1"/>
  <c r="AH54" i="9"/>
  <c r="AO54" i="9" s="1"/>
  <c r="AD488" i="9"/>
  <c r="AK488" i="9" s="1"/>
  <c r="AV488" i="9" s="1"/>
  <c r="AD423" i="9"/>
  <c r="AK423" i="9" s="1"/>
  <c r="AV423" i="9" s="1"/>
  <c r="AD370" i="9"/>
  <c r="AK370" i="9" s="1"/>
  <c r="AV370" i="9" s="1"/>
  <c r="AD294" i="9"/>
  <c r="AK294" i="9" s="1"/>
  <c r="AV294" i="9" s="1"/>
  <c r="AD230" i="9"/>
  <c r="AK230" i="9" s="1"/>
  <c r="AV230" i="9" s="1"/>
  <c r="AD130" i="9"/>
  <c r="AD224" i="9"/>
  <c r="AR224" i="9" s="1"/>
  <c r="AD335" i="9"/>
  <c r="AD303" i="9"/>
  <c r="AK303" i="9" s="1"/>
  <c r="AV303" i="9" s="1"/>
  <c r="AD271" i="9"/>
  <c r="AD239" i="9"/>
  <c r="AK239" i="9" s="1"/>
  <c r="AV239" i="9" s="1"/>
  <c r="AD229" i="9"/>
  <c r="AK229" i="9" s="1"/>
  <c r="AV229" i="9" s="1"/>
  <c r="AD177" i="9"/>
  <c r="AR177" i="9" s="1"/>
  <c r="AD472" i="9"/>
  <c r="AK472" i="9" s="1"/>
  <c r="AV472" i="9" s="1"/>
  <c r="AD417" i="9"/>
  <c r="AD364" i="9"/>
  <c r="AD280" i="9"/>
  <c r="AD202" i="9"/>
  <c r="AD154" i="9"/>
  <c r="AD210" i="9"/>
  <c r="AK210" i="9" s="1"/>
  <c r="AV210" i="9" s="1"/>
  <c r="AD353" i="9"/>
  <c r="AQ353" i="9" s="1"/>
  <c r="AD369" i="9"/>
  <c r="AD385" i="9"/>
  <c r="AQ385" i="9" s="1"/>
  <c r="AD401" i="9"/>
  <c r="AD157" i="9"/>
  <c r="AD414" i="9"/>
  <c r="AD382" i="9"/>
  <c r="AD298" i="9"/>
  <c r="AD234" i="9"/>
  <c r="AD166" i="9"/>
  <c r="AD220" i="9"/>
  <c r="AK220" i="9" s="1"/>
  <c r="AV220" i="9" s="1"/>
  <c r="AD163" i="9"/>
  <c r="AK163" i="9" s="1"/>
  <c r="AV163" i="9" s="1"/>
  <c r="AD223" i="9"/>
  <c r="AK223" i="9" s="1"/>
  <c r="AV223" i="9" s="1"/>
  <c r="AD161" i="9"/>
  <c r="AD468" i="9"/>
  <c r="AD406" i="9"/>
  <c r="AD332" i="9"/>
  <c r="AR332" i="9" s="1"/>
  <c r="AD268" i="9"/>
  <c r="AD182" i="9"/>
  <c r="AQ182" i="9" s="1"/>
  <c r="AD98" i="9"/>
  <c r="AD493" i="9"/>
  <c r="AD103" i="9"/>
  <c r="AD137" i="9"/>
  <c r="AD355" i="9"/>
  <c r="AD371" i="9"/>
  <c r="AD387" i="9"/>
  <c r="AD403" i="9"/>
  <c r="AD426" i="9"/>
  <c r="AD457" i="9"/>
  <c r="AD473" i="9"/>
  <c r="AD197" i="9"/>
  <c r="AD171" i="9"/>
  <c r="AK171" i="9" s="1"/>
  <c r="AV171" i="9" s="1"/>
  <c r="AD92" i="9"/>
  <c r="AD412" i="9"/>
  <c r="AQ412" i="9" s="1"/>
  <c r="AD144" i="9"/>
  <c r="AQ144" i="9" s="1"/>
  <c r="AD441" i="9"/>
  <c r="AD326" i="9"/>
  <c r="AK326" i="9" s="1"/>
  <c r="AV326" i="9" s="1"/>
  <c r="AD481" i="9"/>
  <c r="AQ481" i="9" s="1"/>
  <c r="AD287" i="9"/>
  <c r="AK287" i="9" s="1"/>
  <c r="AV287" i="9" s="1"/>
  <c r="AD187" i="9"/>
  <c r="AK187" i="9" s="1"/>
  <c r="AV187" i="9" s="1"/>
  <c r="AD499" i="9"/>
  <c r="AK499" i="9" s="1"/>
  <c r="AV499" i="9" s="1"/>
  <c r="AD502" i="9"/>
  <c r="AD396" i="9"/>
  <c r="AD248" i="9"/>
  <c r="AD94" i="9"/>
  <c r="AK94" i="9" s="1"/>
  <c r="AV94" i="9" s="1"/>
  <c r="AD361" i="9"/>
  <c r="AQ361" i="9" s="1"/>
  <c r="AD393" i="9"/>
  <c r="AQ393" i="9" s="1"/>
  <c r="AD458" i="9"/>
  <c r="AD330" i="9"/>
  <c r="AD184" i="9"/>
  <c r="AD489" i="9"/>
  <c r="AQ489" i="9" s="1"/>
  <c r="AD207" i="9"/>
  <c r="AK207" i="9" s="1"/>
  <c r="AV207" i="9" s="1"/>
  <c r="AD429" i="9"/>
  <c r="AK429" i="9" s="1"/>
  <c r="AV429" i="9" s="1"/>
  <c r="AD300" i="9"/>
  <c r="AR300" i="9" s="1"/>
  <c r="AD126" i="9"/>
  <c r="AK126" i="9" s="1"/>
  <c r="AV126" i="9" s="1"/>
  <c r="AD167" i="9"/>
  <c r="AD133" i="9"/>
  <c r="AD379" i="9"/>
  <c r="AD418" i="9"/>
  <c r="AD465" i="9"/>
  <c r="AD132" i="9"/>
  <c r="AD329" i="9"/>
  <c r="AQ329" i="9" s="1"/>
  <c r="AD297" i="9"/>
  <c r="AQ297" i="9" s="1"/>
  <c r="AD265" i="9"/>
  <c r="AQ265" i="9" s="1"/>
  <c r="AD233" i="9"/>
  <c r="AQ233" i="9" s="1"/>
  <c r="W17" i="5" a="1"/>
  <c r="W17" i="5" s="1"/>
  <c r="W21" i="5" s="1"/>
  <c r="W19" i="5"/>
  <c r="W23" i="5" s="1"/>
  <c r="U18" i="5"/>
  <c r="U22" i="5" s="1"/>
  <c r="U16" i="5"/>
  <c r="U20" i="5" s="1"/>
  <c r="S19" i="5"/>
  <c r="S23" i="5" s="1"/>
  <c r="Q18" i="5"/>
  <c r="Q22" i="5" s="1"/>
  <c r="Q19" i="5"/>
  <c r="Q23" i="5" s="1"/>
  <c r="O19" i="5"/>
  <c r="O23" i="5" s="1"/>
  <c r="M18" i="5"/>
  <c r="M22" i="5" s="1"/>
  <c r="I19" i="5"/>
  <c r="I23" i="5" s="1"/>
  <c r="G16" i="5"/>
  <c r="G20" i="5" s="1"/>
  <c r="E16" i="5"/>
  <c r="E20" i="5" s="1"/>
  <c r="C18" i="5"/>
  <c r="C22" i="5" s="1"/>
  <c r="AF16" i="13"/>
  <c r="AF17" i="13"/>
  <c r="AG17" i="13" s="1"/>
  <c r="AD4" i="9"/>
  <c r="AD11" i="9"/>
  <c r="AD19" i="9"/>
  <c r="AK19" i="9" s="1"/>
  <c r="AV19" i="9" s="1"/>
  <c r="AD27" i="9"/>
  <c r="AD35" i="9"/>
  <c r="AK35" i="9" s="1"/>
  <c r="AV35" i="9" s="1"/>
  <c r="AD43" i="9"/>
  <c r="AK43" i="9" s="1"/>
  <c r="AV43" i="9" s="1"/>
  <c r="AD51" i="9"/>
  <c r="AK51" i="9" s="1"/>
  <c r="AV51" i="9" s="1"/>
  <c r="AD60" i="9"/>
  <c r="AD68" i="9"/>
  <c r="AK68" i="9" s="1"/>
  <c r="AV68" i="9" s="1"/>
  <c r="AD76" i="9"/>
  <c r="AQ76" i="9" s="1"/>
  <c r="AD5" i="9"/>
  <c r="AD12" i="9"/>
  <c r="AK12" i="9" s="1"/>
  <c r="AV12" i="9" s="1"/>
  <c r="AD20" i="9"/>
  <c r="AK20" i="9" s="1"/>
  <c r="AV20" i="9" s="1"/>
  <c r="AD28" i="9"/>
  <c r="AK28" i="9" s="1"/>
  <c r="AV28" i="9" s="1"/>
  <c r="AD36" i="9"/>
  <c r="AK36" i="9" s="1"/>
  <c r="AV36" i="9" s="1"/>
  <c r="AD44" i="9"/>
  <c r="AK44" i="9" s="1"/>
  <c r="AV44" i="9" s="1"/>
  <c r="AD52" i="9"/>
  <c r="AD61" i="9"/>
  <c r="AK61" i="9" s="1"/>
  <c r="AV61" i="9" s="1"/>
  <c r="AD69" i="9"/>
  <c r="AD77" i="9"/>
  <c r="AQ77" i="9" s="1"/>
  <c r="AR213" i="9"/>
  <c r="AK312" i="9"/>
  <c r="AV312" i="9" s="1"/>
  <c r="AK222" i="9"/>
  <c r="AV222" i="9" s="1"/>
  <c r="AK434" i="9"/>
  <c r="AV434" i="9" s="1"/>
  <c r="AK281" i="9"/>
  <c r="AV281" i="9" s="1"/>
  <c r="G19" i="5"/>
  <c r="G23" i="5" s="1"/>
  <c r="M17" i="5" a="1"/>
  <c r="M17" i="5" s="1"/>
  <c r="M21" i="5" s="1"/>
  <c r="C17" i="5" a="1"/>
  <c r="C17" i="5" s="1"/>
  <c r="C21" i="5" s="1"/>
  <c r="G17" i="5" a="1"/>
  <c r="G17" i="5" s="1"/>
  <c r="G21" i="5" s="1"/>
  <c r="AD16" i="13"/>
  <c r="C13" i="9"/>
  <c r="AH68" i="9"/>
  <c r="AO68" i="9" s="1"/>
  <c r="U19" i="5"/>
  <c r="U23" i="5" s="1"/>
  <c r="AF64" i="9"/>
  <c r="AM64" i="9" s="1"/>
  <c r="AF54" i="9"/>
  <c r="AM54" i="9" s="1"/>
  <c r="AH26" i="9"/>
  <c r="AO26" i="9" s="1"/>
  <c r="AF66" i="9"/>
  <c r="AM66" i="9" s="1"/>
  <c r="AH30" i="9"/>
  <c r="AO30" i="9" s="1"/>
  <c r="AF51" i="9"/>
  <c r="AM51" i="9" s="1"/>
  <c r="AH9" i="9"/>
  <c r="AO9" i="9" s="1"/>
  <c r="AH57" i="9"/>
  <c r="AO57" i="9" s="1"/>
  <c r="AF7" i="9"/>
  <c r="AM7" i="9" s="1"/>
  <c r="AF67" i="9"/>
  <c r="AM67" i="9" s="1"/>
  <c r="AF26" i="9"/>
  <c r="AM26" i="9" s="1"/>
  <c r="AF24" i="9"/>
  <c r="AM24" i="9" s="1"/>
  <c r="B13" i="9"/>
  <c r="P54" i="21"/>
  <c r="I115" i="21"/>
  <c r="AH14" i="9"/>
  <c r="AO14" i="9" s="1"/>
  <c r="W16" i="5"/>
  <c r="W20" i="5" s="1"/>
  <c r="AD249" i="9"/>
  <c r="AQ249" i="9" s="1"/>
  <c r="AD313" i="9"/>
  <c r="AD172" i="9"/>
  <c r="AK172" i="9" s="1"/>
  <c r="AV172" i="9" s="1"/>
  <c r="AD111" i="9"/>
  <c r="AD87" i="9"/>
  <c r="AD395" i="9"/>
  <c r="AD411" i="9"/>
  <c r="AD236" i="9"/>
  <c r="AR236" i="9" s="1"/>
  <c r="AD480" i="9"/>
  <c r="AD114" i="9"/>
  <c r="AD348" i="9"/>
  <c r="AD377" i="9"/>
  <c r="AQ377" i="9" s="1"/>
  <c r="AD174" i="9"/>
  <c r="AD319" i="9"/>
  <c r="AK319" i="9" s="1"/>
  <c r="AV319" i="9" s="1"/>
  <c r="AD402" i="9"/>
  <c r="AK402" i="9" s="1"/>
  <c r="AV402" i="9" s="1"/>
  <c r="AF229" i="9"/>
  <c r="AM229" i="9" s="1"/>
  <c r="AH500" i="9"/>
  <c r="AO500" i="9" s="1"/>
  <c r="AH266" i="9"/>
  <c r="AO266" i="9" s="1"/>
  <c r="AF371" i="9"/>
  <c r="AM371" i="9" s="1"/>
  <c r="AH237" i="9"/>
  <c r="AO237" i="9" s="1"/>
  <c r="AH144" i="9"/>
  <c r="AO144" i="9" s="1"/>
  <c r="I10" i="9"/>
  <c r="G14" i="9"/>
  <c r="G12" i="9"/>
  <c r="B14" i="9"/>
  <c r="E14" i="9"/>
  <c r="M10" i="9"/>
  <c r="L12" i="9"/>
  <c r="I12" i="9"/>
  <c r="K12" i="9"/>
  <c r="J51" i="21" a="1"/>
  <c r="J51" i="21" s="1"/>
  <c r="I51" i="21"/>
  <c r="J47" i="21" a="1"/>
  <c r="J47" i="21" s="1"/>
  <c r="I47" i="21"/>
  <c r="J50" i="21" a="1"/>
  <c r="J50" i="21" s="1"/>
  <c r="J48" i="21" a="1"/>
  <c r="J48" i="21" s="1"/>
  <c r="P48" i="21"/>
  <c r="J39" i="21" a="1"/>
  <c r="J39" i="21" s="1"/>
  <c r="I39" i="21"/>
  <c r="P53" i="21"/>
  <c r="J53" i="21" a="1"/>
  <c r="J53" i="21" s="1"/>
  <c r="J37" i="21" a="1"/>
  <c r="J37" i="21" s="1"/>
  <c r="I37" i="21"/>
  <c r="L37" i="21"/>
  <c r="L58" i="21"/>
  <c r="I58" i="21"/>
  <c r="J143" i="21" a="1"/>
  <c r="J143" i="21" s="1"/>
  <c r="I143" i="21"/>
  <c r="J172" i="21" a="1"/>
  <c r="J172" i="21" s="1"/>
  <c r="P172" i="21"/>
  <c r="L55" i="21"/>
  <c r="J55" i="21" a="1"/>
  <c r="J55" i="21" s="1"/>
  <c r="L56" i="21"/>
  <c r="I56" i="21"/>
  <c r="J453" i="21" a="1"/>
  <c r="J453" i="21" s="1"/>
  <c r="K453" i="21" a="1"/>
  <c r="K453" i="21" s="1"/>
  <c r="L534" i="21"/>
  <c r="K534" i="21" a="1"/>
  <c r="K534" i="21" s="1"/>
  <c r="P534" i="21" s="1"/>
  <c r="J480" i="21" a="1"/>
  <c r="J480" i="21" s="1"/>
  <c r="L480" i="21"/>
  <c r="L974" i="21"/>
  <c r="K974" i="21" a="1"/>
  <c r="K974" i="21" s="1"/>
  <c r="P974" i="21" s="1"/>
  <c r="L589" i="21"/>
  <c r="I589" i="21"/>
  <c r="L454" i="21"/>
  <c r="J454" i="21" a="1"/>
  <c r="J454" i="21" s="1"/>
  <c r="I454" i="21"/>
  <c r="L507" i="21"/>
  <c r="J507" i="21" a="1"/>
  <c r="J507" i="21" s="1"/>
  <c r="I507" i="21"/>
  <c r="J616" i="21" a="1"/>
  <c r="J616" i="21" s="1"/>
  <c r="I616" i="21"/>
  <c r="AC82" i="9" a="1"/>
  <c r="AC82" i="9" s="1"/>
  <c r="AJ82" i="9" s="1"/>
  <c r="AI82" i="9"/>
  <c r="AP82" i="9" s="1"/>
  <c r="AE82" i="9"/>
  <c r="AL82" i="9" s="1"/>
  <c r="AC74" i="9" a="1"/>
  <c r="AC74" i="9" s="1"/>
  <c r="AJ74" i="9" s="1"/>
  <c r="AI74" i="9"/>
  <c r="AP74" i="9" s="1"/>
  <c r="AG74" i="9"/>
  <c r="AN74" i="9" s="1"/>
  <c r="AC66" i="9" a="1"/>
  <c r="AC66" i="9" s="1"/>
  <c r="AJ66" i="9" s="1"/>
  <c r="AE66" i="9"/>
  <c r="AL66" i="9" s="1"/>
  <c r="AC50" i="9" a="1"/>
  <c r="AC50" i="9" s="1"/>
  <c r="AJ50" i="9" s="1"/>
  <c r="AE50" i="9"/>
  <c r="AL50" i="9" s="1"/>
  <c r="AC48" i="9" a="1"/>
  <c r="AC48" i="9" s="1"/>
  <c r="AJ48" i="9" s="1"/>
  <c r="AI48" i="9"/>
  <c r="AP48" i="9" s="1"/>
  <c r="AE48" i="9"/>
  <c r="AL48" i="9" s="1"/>
  <c r="AC42" i="9" a="1"/>
  <c r="AC42" i="9" s="1"/>
  <c r="AJ42" i="9" s="1"/>
  <c r="AI42" i="9"/>
  <c r="AP42" i="9" s="1"/>
  <c r="AG42" i="9"/>
  <c r="AN42" i="9" s="1"/>
  <c r="AC40" i="9" a="1"/>
  <c r="AC40" i="9" s="1"/>
  <c r="AJ40" i="9" s="1"/>
  <c r="AG40" i="9"/>
  <c r="AN40" i="9" s="1"/>
  <c r="AE34" i="9"/>
  <c r="AL34" i="9" s="1"/>
  <c r="AC32" i="9" a="1"/>
  <c r="AC32" i="9" s="1"/>
  <c r="AJ32" i="9" s="1"/>
  <c r="AI32" i="9"/>
  <c r="AP32" i="9" s="1"/>
  <c r="AG32" i="9"/>
  <c r="AN32" i="9" s="1"/>
  <c r="AE32" i="9"/>
  <c r="AL32" i="9" s="1"/>
  <c r="AC26" i="9" a="1"/>
  <c r="AC26" i="9" s="1"/>
  <c r="AJ26" i="9" s="1"/>
  <c r="AI26" i="9"/>
  <c r="AP26" i="9" s="1"/>
  <c r="AC18" i="9" a="1"/>
  <c r="AC18" i="9" s="1"/>
  <c r="AJ18" i="9" s="1"/>
  <c r="AI18" i="9"/>
  <c r="AP18" i="9" s="1"/>
  <c r="AE18" i="9"/>
  <c r="AL18" i="9" s="1"/>
  <c r="AE16" i="9"/>
  <c r="AL16" i="9" s="1"/>
  <c r="AG16" i="9"/>
  <c r="AN16" i="9" s="1"/>
  <c r="AI16" i="9"/>
  <c r="AP16" i="9" s="1"/>
  <c r="AC10" i="9" a="1"/>
  <c r="AC10" i="9" s="1"/>
  <c r="AJ10" i="9" s="1"/>
  <c r="AI10" i="9"/>
  <c r="AP10" i="9" s="1"/>
  <c r="AE10" i="9"/>
  <c r="AL10" i="9" s="1"/>
  <c r="AC8" i="9" a="1"/>
  <c r="AC8" i="9" s="1"/>
  <c r="AJ8" i="9" s="1"/>
  <c r="AG8" i="9"/>
  <c r="AN8" i="9" s="1"/>
  <c r="AI8" i="9"/>
  <c r="AP8" i="9" s="1"/>
  <c r="AE8" i="9"/>
  <c r="AL8" i="9" s="1"/>
  <c r="AI81" i="9"/>
  <c r="AP81" i="9" s="1"/>
  <c r="AC77" i="9" a="1"/>
  <c r="AC77" i="9" s="1"/>
  <c r="AJ77" i="9" s="1"/>
  <c r="AI77" i="9"/>
  <c r="AP77" i="9" s="1"/>
  <c r="AC73" i="9" a="1"/>
  <c r="AC73" i="9" s="1"/>
  <c r="AJ73" i="9" s="1"/>
  <c r="AI73" i="9"/>
  <c r="AP73" i="9" s="1"/>
  <c r="AE73" i="9"/>
  <c r="AL73" i="9" s="1"/>
  <c r="AG69" i="9"/>
  <c r="AN69" i="9" s="1"/>
  <c r="AE69" i="9"/>
  <c r="AL69" i="9" s="1"/>
  <c r="AG65" i="9"/>
  <c r="AN65" i="9" s="1"/>
  <c r="AI65" i="9"/>
  <c r="AP65" i="9" s="1"/>
  <c r="AC61" i="9" a="1"/>
  <c r="AC61" i="9" s="1"/>
  <c r="AJ61" i="9" s="1"/>
  <c r="AG61" i="9"/>
  <c r="AN61" i="9" s="1"/>
  <c r="AI61" i="9"/>
  <c r="AP61" i="9" s="1"/>
  <c r="AC57" i="9" a="1"/>
  <c r="AC57" i="9" s="1"/>
  <c r="AJ57" i="9" s="1"/>
  <c r="AI57" i="9"/>
  <c r="AP57" i="9" s="1"/>
  <c r="AE57" i="9"/>
  <c r="AL57" i="9" s="1"/>
  <c r="AC49" i="9" a="1"/>
  <c r="AC49" i="9" s="1"/>
  <c r="AJ49" i="9" s="1"/>
  <c r="AC45" i="9" a="1"/>
  <c r="AC45" i="9" s="1"/>
  <c r="AJ45" i="9" s="1"/>
  <c r="AI45" i="9"/>
  <c r="AP45" i="9" s="1"/>
  <c r="AI41" i="9"/>
  <c r="AP41" i="9" s="1"/>
  <c r="AE41" i="9"/>
  <c r="AL41" i="9" s="1"/>
  <c r="AC37" i="9" a="1"/>
  <c r="AC37" i="9" s="1"/>
  <c r="AJ37" i="9" s="1"/>
  <c r="AG37" i="9"/>
  <c r="AN37" i="9" s="1"/>
  <c r="AE37" i="9"/>
  <c r="AL37" i="9" s="1"/>
  <c r="AI25" i="9"/>
  <c r="AP25" i="9" s="1"/>
  <c r="AE25" i="9"/>
  <c r="AL25" i="9" s="1"/>
  <c r="AG21" i="9"/>
  <c r="AN21" i="9" s="1"/>
  <c r="AE21" i="9"/>
  <c r="AL21" i="9" s="1"/>
  <c r="AC17" i="9" a="1"/>
  <c r="AC17" i="9" s="1"/>
  <c r="AJ17" i="9" s="1"/>
  <c r="AC13" i="9" a="1"/>
  <c r="AC13" i="9" s="1"/>
  <c r="AJ13" i="9" s="1"/>
  <c r="AG13" i="9"/>
  <c r="AN13" i="9" s="1"/>
  <c r="AE13" i="9"/>
  <c r="AL13" i="9" s="1"/>
  <c r="AC9" i="9" a="1"/>
  <c r="AC9" i="9" s="1"/>
  <c r="AJ9" i="9" s="1"/>
  <c r="AG9" i="9"/>
  <c r="AN9" i="9" s="1"/>
  <c r="AI9" i="9"/>
  <c r="AP9" i="9" s="1"/>
  <c r="AC5" i="9" a="1"/>
  <c r="AC5" i="9" s="1"/>
  <c r="AJ5" i="9" s="1"/>
  <c r="AI5" i="9"/>
  <c r="AP5" i="9" s="1"/>
  <c r="AC78" i="9" a="1"/>
  <c r="AC78" i="9" s="1"/>
  <c r="AJ78" i="9" s="1"/>
  <c r="AI78" i="9"/>
  <c r="AP78" i="9" s="1"/>
  <c r="AE78" i="9"/>
  <c r="AL78" i="9" s="1"/>
  <c r="AG76" i="9"/>
  <c r="AN76" i="9" s="1"/>
  <c r="AI70" i="9"/>
  <c r="AP70" i="9" s="1"/>
  <c r="AG70" i="9"/>
  <c r="AN70" i="9" s="1"/>
  <c r="AC68" i="9" a="1"/>
  <c r="AC68" i="9" s="1"/>
  <c r="AJ68" i="9" s="1"/>
  <c r="AI68" i="9"/>
  <c r="AP68" i="9" s="1"/>
  <c r="AG68" i="9"/>
  <c r="AN68" i="9" s="1"/>
  <c r="AE68" i="9"/>
  <c r="AL68" i="9" s="1"/>
  <c r="AC62" i="9" a="1"/>
  <c r="AC62" i="9" s="1"/>
  <c r="AJ62" i="9" s="1"/>
  <c r="AI62" i="9"/>
  <c r="AP62" i="9" s="1"/>
  <c r="AG62" i="9"/>
  <c r="AN62" i="9" s="1"/>
  <c r="AE62" i="9"/>
  <c r="AL62" i="9" s="1"/>
  <c r="AC60" i="9" a="1"/>
  <c r="AC60" i="9" s="1"/>
  <c r="AJ60" i="9" s="1"/>
  <c r="AG60" i="9"/>
  <c r="AN60" i="9" s="1"/>
  <c r="AI54" i="9"/>
  <c r="AP54" i="9" s="1"/>
  <c r="AG54" i="9"/>
  <c r="AN54" i="9" s="1"/>
  <c r="AG52" i="9"/>
  <c r="AN52" i="9" s="1"/>
  <c r="AI52" i="9"/>
  <c r="AP52" i="9" s="1"/>
  <c r="AE52" i="9"/>
  <c r="AL52" i="9" s="1"/>
  <c r="AE46" i="9"/>
  <c r="AL46" i="9" s="1"/>
  <c r="AI44" i="9"/>
  <c r="AP44" i="9" s="1"/>
  <c r="AC38" i="9" a="1"/>
  <c r="AC38" i="9" s="1"/>
  <c r="AJ38" i="9" s="1"/>
  <c r="AI38" i="9"/>
  <c r="AP38" i="9" s="1"/>
  <c r="AI36" i="9"/>
  <c r="AP36" i="9" s="1"/>
  <c r="AE36" i="9"/>
  <c r="AL36" i="9" s="1"/>
  <c r="AC30" i="9" a="1"/>
  <c r="AC30" i="9" s="1"/>
  <c r="AJ30" i="9" s="1"/>
  <c r="AI30" i="9"/>
  <c r="AP30" i="9" s="1"/>
  <c r="AG30" i="9"/>
  <c r="AN30" i="9" s="1"/>
  <c r="AE30" i="9"/>
  <c r="AL30" i="9" s="1"/>
  <c r="AI28" i="9"/>
  <c r="AP28" i="9" s="1"/>
  <c r="AG22" i="9"/>
  <c r="AN22" i="9" s="1"/>
  <c r="AI22" i="9"/>
  <c r="AP22" i="9" s="1"/>
  <c r="AC20" i="9" a="1"/>
  <c r="AC20" i="9" s="1"/>
  <c r="AJ20" i="9" s="1"/>
  <c r="AG20" i="9"/>
  <c r="AN20" i="9" s="1"/>
  <c r="AI14" i="9"/>
  <c r="AP14" i="9" s="1"/>
  <c r="AG14" i="9"/>
  <c r="AN14" i="9" s="1"/>
  <c r="AI12" i="9"/>
  <c r="AP12" i="9" s="1"/>
  <c r="AE12" i="9"/>
  <c r="AL12" i="9" s="1"/>
  <c r="AI6" i="9"/>
  <c r="AP6" i="9" s="1"/>
  <c r="AE6" i="9"/>
  <c r="AL6" i="9" s="1"/>
  <c r="AC79" i="9" a="1"/>
  <c r="AC79" i="9" s="1"/>
  <c r="AJ79" i="9" s="1"/>
  <c r="AI79" i="9"/>
  <c r="AP79" i="9" s="1"/>
  <c r="AC75" i="9" a="1"/>
  <c r="AC75" i="9" s="1"/>
  <c r="AJ75" i="9" s="1"/>
  <c r="AG75" i="9"/>
  <c r="AN75" i="9" s="1"/>
  <c r="AE75" i="9"/>
  <c r="AL75" i="9" s="1"/>
  <c r="AG71" i="9"/>
  <c r="AN71" i="9" s="1"/>
  <c r="AE71" i="9"/>
  <c r="AL71" i="9" s="1"/>
  <c r="AC67" i="9" a="1"/>
  <c r="AC67" i="9" s="1"/>
  <c r="AJ67" i="9" s="1"/>
  <c r="AG67" i="9"/>
  <c r="AN67" i="9" s="1"/>
  <c r="AI67" i="9"/>
  <c r="AP67" i="9" s="1"/>
  <c r="AI63" i="9"/>
  <c r="AP63" i="9" s="1"/>
  <c r="AG59" i="9"/>
  <c r="AN59" i="9" s="1"/>
  <c r="AE59" i="9"/>
  <c r="AL59" i="9" s="1"/>
  <c r="AC55" i="9" a="1"/>
  <c r="AC55" i="9" s="1"/>
  <c r="AJ55" i="9" s="1"/>
  <c r="AI55" i="9"/>
  <c r="AP55" i="9" s="1"/>
  <c r="AG55" i="9"/>
  <c r="AN55" i="9" s="1"/>
  <c r="AE55" i="9"/>
  <c r="AL55" i="9" s="1"/>
  <c r="AC51" i="9" a="1"/>
  <c r="AC51" i="9" s="1"/>
  <c r="AJ51" i="9" s="1"/>
  <c r="AE51" i="9"/>
  <c r="AL51" i="9" s="1"/>
  <c r="AI47" i="9"/>
  <c r="AP47" i="9" s="1"/>
  <c r="AE47" i="9"/>
  <c r="AL47" i="9" s="1"/>
  <c r="AC39" i="9" a="1"/>
  <c r="AC39" i="9" s="1"/>
  <c r="AJ39" i="9" s="1"/>
  <c r="AG39" i="9"/>
  <c r="AN39" i="9" s="1"/>
  <c r="AC35" i="9" a="1"/>
  <c r="AC35" i="9" s="1"/>
  <c r="AJ35" i="9" s="1"/>
  <c r="AG35" i="9"/>
  <c r="AN35" i="9" s="1"/>
  <c r="AG31" i="9"/>
  <c r="AN31" i="9" s="1"/>
  <c r="AC27" i="9" a="1"/>
  <c r="AC27" i="9" s="1"/>
  <c r="AJ27" i="9" s="1"/>
  <c r="AI27" i="9"/>
  <c r="AP27" i="9" s="1"/>
  <c r="AE27" i="9"/>
  <c r="AL27" i="9" s="1"/>
  <c r="AI23" i="9"/>
  <c r="AP23" i="9" s="1"/>
  <c r="AG23" i="9"/>
  <c r="AN23" i="9" s="1"/>
  <c r="AE23" i="9"/>
  <c r="AL23" i="9" s="1"/>
  <c r="AI19" i="9"/>
  <c r="AP19" i="9" s="1"/>
  <c r="AE19" i="9"/>
  <c r="AL19" i="9" s="1"/>
  <c r="AC15" i="9" a="1"/>
  <c r="AC15" i="9" s="1"/>
  <c r="AJ15" i="9" s="1"/>
  <c r="AG15" i="9"/>
  <c r="AN15" i="9" s="1"/>
  <c r="AE15" i="9"/>
  <c r="AL15" i="9" s="1"/>
  <c r="AI11" i="9"/>
  <c r="AP11" i="9" s="1"/>
  <c r="AG11" i="9"/>
  <c r="AN11" i="9" s="1"/>
  <c r="AC7" i="9" a="1"/>
  <c r="AC7" i="9" s="1"/>
  <c r="AJ7" i="9" s="1"/>
  <c r="AI7" i="9"/>
  <c r="AP7" i="9" s="1"/>
  <c r="AG7" i="9"/>
  <c r="AN7" i="9" s="1"/>
  <c r="AG3" i="9"/>
  <c r="AN3" i="9" s="1"/>
  <c r="AI3" i="9"/>
  <c r="AP3" i="9" s="1"/>
  <c r="AE3" i="9"/>
  <c r="AL3" i="9" s="1"/>
  <c r="AG100" i="9"/>
  <c r="AN100" i="9" s="1"/>
  <c r="AI100" i="9"/>
  <c r="AP100" i="9" s="1"/>
  <c r="AI90" i="9"/>
  <c r="AP90" i="9" s="1"/>
  <c r="AC90" i="9" a="1"/>
  <c r="AC90" i="9" s="1"/>
  <c r="AJ90" i="9" s="1"/>
  <c r="AI97" i="9"/>
  <c r="AP97" i="9" s="1"/>
  <c r="AG97" i="9"/>
  <c r="AN97" i="9" s="1"/>
  <c r="AG93" i="9"/>
  <c r="AN93" i="9" s="1"/>
  <c r="AI93" i="9"/>
  <c r="AP93" i="9" s="1"/>
  <c r="AC93" i="9" a="1"/>
  <c r="AC93" i="9" s="1"/>
  <c r="AJ93" i="9" s="1"/>
  <c r="AI98" i="9"/>
  <c r="AP98" i="9" s="1"/>
  <c r="AG98" i="9"/>
  <c r="AN98" i="9" s="1"/>
  <c r="AE98" i="9"/>
  <c r="AL98" i="9" s="1"/>
  <c r="AI92" i="9"/>
  <c r="AP92" i="9" s="1"/>
  <c r="AG92" i="9"/>
  <c r="AN92" i="9" s="1"/>
  <c r="AC92" i="9" a="1"/>
  <c r="AC92" i="9" s="1"/>
  <c r="AJ92" i="9" s="1"/>
  <c r="AE92" i="9"/>
  <c r="AL92" i="9" s="1"/>
  <c r="AG88" i="9"/>
  <c r="AN88" i="9" s="1"/>
  <c r="AI88" i="9"/>
  <c r="AP88" i="9" s="1"/>
  <c r="AG101" i="9"/>
  <c r="AN101" i="9" s="1"/>
  <c r="AI101" i="9"/>
  <c r="AP101" i="9" s="1"/>
  <c r="AC101" i="9" a="1"/>
  <c r="AC101" i="9" s="1"/>
  <c r="AJ101" i="9" s="1"/>
  <c r="AI95" i="9"/>
  <c r="AP95" i="9" s="1"/>
  <c r="AG95" i="9"/>
  <c r="AN95" i="9" s="1"/>
  <c r="AC95" i="9" a="1"/>
  <c r="AC95" i="9" s="1"/>
  <c r="AJ95" i="9" s="1"/>
  <c r="AC91" i="9" a="1"/>
  <c r="AC91" i="9" s="1"/>
  <c r="AJ91" i="9" s="1"/>
  <c r="AI91" i="9"/>
  <c r="AP91" i="9" s="1"/>
  <c r="AC85" i="9" a="1"/>
  <c r="AC85" i="9" s="1"/>
  <c r="AJ85" i="9" s="1"/>
  <c r="AI85" i="9"/>
  <c r="AP85" i="9" s="1"/>
  <c r="AE85" i="9"/>
  <c r="AL85" i="9" s="1"/>
  <c r="AC102" i="9" a="1"/>
  <c r="AC102" i="9" s="1"/>
  <c r="AJ102" i="9" s="1"/>
  <c r="AI102" i="9"/>
  <c r="AP102" i="9" s="1"/>
  <c r="AG102" i="9"/>
  <c r="AN102" i="9" s="1"/>
  <c r="AG96" i="9"/>
  <c r="AN96" i="9" s="1"/>
  <c r="AC96" i="9" a="1"/>
  <c r="AC96" i="9" s="1"/>
  <c r="AJ96" i="9" s="1"/>
  <c r="AI96" i="9"/>
  <c r="AP96" i="9" s="1"/>
  <c r="AC86" i="9" a="1"/>
  <c r="AC86" i="9" s="1"/>
  <c r="AJ86" i="9" s="1"/>
  <c r="AG86" i="9"/>
  <c r="AN86" i="9" s="1"/>
  <c r="AI86" i="9"/>
  <c r="AP86" i="9" s="1"/>
  <c r="AG99" i="9"/>
  <c r="AN99" i="9" s="1"/>
  <c r="AC99" i="9" a="1"/>
  <c r="AC99" i="9" s="1"/>
  <c r="AJ99" i="9" s="1"/>
  <c r="AI89" i="9"/>
  <c r="AP89" i="9" s="1"/>
  <c r="AG89" i="9"/>
  <c r="AN89" i="9" s="1"/>
  <c r="AC89" i="9" a="1"/>
  <c r="AC89" i="9" s="1"/>
  <c r="AJ89" i="9" s="1"/>
  <c r="AI83" i="9"/>
  <c r="AP83" i="9" s="1"/>
  <c r="AC83" i="9" a="1"/>
  <c r="AC83" i="9" s="1"/>
  <c r="AJ83" i="9" s="1"/>
  <c r="AE83" i="9"/>
  <c r="AL83" i="9" s="1"/>
  <c r="AI94" i="9"/>
  <c r="AP94" i="9" s="1"/>
  <c r="AG94" i="9"/>
  <c r="AN94" i="9" s="1"/>
  <c r="AC94" i="9" a="1"/>
  <c r="AC94" i="9" s="1"/>
  <c r="AJ94" i="9" s="1"/>
  <c r="AE94" i="9"/>
  <c r="AL94" i="9" s="1"/>
  <c r="AG87" i="9"/>
  <c r="AN87" i="9" s="1"/>
  <c r="AI87" i="9"/>
  <c r="AP87" i="9" s="1"/>
  <c r="AE87" i="9"/>
  <c r="AL87" i="9" s="1"/>
  <c r="AC502" i="9" a="1"/>
  <c r="AC502" i="9" s="1"/>
  <c r="AJ502" i="9" s="1"/>
  <c r="AI502" i="9"/>
  <c r="AP502" i="9" s="1"/>
  <c r="AE502" i="9"/>
  <c r="AL502" i="9" s="1"/>
  <c r="AC500" i="9" a="1"/>
  <c r="AC500" i="9" s="1"/>
  <c r="AJ500" i="9" s="1"/>
  <c r="AG500" i="9"/>
  <c r="AN500" i="9" s="1"/>
  <c r="AC494" i="9" a="1"/>
  <c r="AC494" i="9" s="1"/>
  <c r="AJ494" i="9" s="1"/>
  <c r="AG494" i="9"/>
  <c r="AN494" i="9" s="1"/>
  <c r="AE494" i="9"/>
  <c r="AL494" i="9" s="1"/>
  <c r="AI492" i="9"/>
  <c r="AP492" i="9" s="1"/>
  <c r="AC492" i="9" a="1"/>
  <c r="AC492" i="9" s="1"/>
  <c r="AJ492" i="9" s="1"/>
  <c r="AG492" i="9"/>
  <c r="AN492" i="9" s="1"/>
  <c r="AI486" i="9"/>
  <c r="AP486" i="9" s="1"/>
  <c r="AG486" i="9"/>
  <c r="AN486" i="9" s="1"/>
  <c r="AC484" i="9" a="1"/>
  <c r="AC484" i="9" s="1"/>
  <c r="AJ484" i="9" s="1"/>
  <c r="AI484" i="9"/>
  <c r="AP484" i="9" s="1"/>
  <c r="AG484" i="9"/>
  <c r="AN484" i="9" s="1"/>
  <c r="AI478" i="9"/>
  <c r="AP478" i="9" s="1"/>
  <c r="AI476" i="9"/>
  <c r="AP476" i="9" s="1"/>
  <c r="AC476" i="9" a="1"/>
  <c r="AC476" i="9" s="1"/>
  <c r="AJ476" i="9" s="1"/>
  <c r="AI470" i="9"/>
  <c r="AP470" i="9" s="1"/>
  <c r="AC470" i="9" a="1"/>
  <c r="AC470" i="9" s="1"/>
  <c r="AJ470" i="9" s="1"/>
  <c r="AE470" i="9"/>
  <c r="AL470" i="9" s="1"/>
  <c r="AC462" i="9" a="1"/>
  <c r="AC462" i="9" s="1"/>
  <c r="AJ462" i="9" s="1"/>
  <c r="AI462" i="9"/>
  <c r="AP462" i="9" s="1"/>
  <c r="AG462" i="9"/>
  <c r="AN462" i="9" s="1"/>
  <c r="AI460" i="9"/>
  <c r="AP460" i="9" s="1"/>
  <c r="AG460" i="9"/>
  <c r="AN460" i="9" s="1"/>
  <c r="AI454" i="9"/>
  <c r="AP454" i="9" s="1"/>
  <c r="AG454" i="9"/>
  <c r="AN454" i="9" s="1"/>
  <c r="AG452" i="9"/>
  <c r="AN452" i="9" s="1"/>
  <c r="AC452" i="9" a="1"/>
  <c r="AC452" i="9" s="1"/>
  <c r="AJ452" i="9" s="1"/>
  <c r="AI446" i="9"/>
  <c r="AP446" i="9" s="1"/>
  <c r="AG446" i="9"/>
  <c r="AN446" i="9" s="1"/>
  <c r="AC446" i="9" a="1"/>
  <c r="AC446" i="9" s="1"/>
  <c r="AJ446" i="9" s="1"/>
  <c r="AI444" i="9"/>
  <c r="AP444" i="9" s="1"/>
  <c r="AC444" i="9" a="1"/>
  <c r="AC444" i="9" s="1"/>
  <c r="AJ444" i="9" s="1"/>
  <c r="AG444" i="9"/>
  <c r="AN444" i="9" s="1"/>
  <c r="AE444" i="9"/>
  <c r="AL444" i="9" s="1"/>
  <c r="AI438" i="9"/>
  <c r="AP438" i="9" s="1"/>
  <c r="AG438" i="9"/>
  <c r="AN438" i="9" s="1"/>
  <c r="AC438" i="9" a="1"/>
  <c r="AC438" i="9" s="1"/>
  <c r="AJ438" i="9" s="1"/>
  <c r="AE438" i="9"/>
  <c r="AL438" i="9" s="1"/>
  <c r="AI436" i="9"/>
  <c r="AP436" i="9" s="1"/>
  <c r="AG436" i="9"/>
  <c r="AN436" i="9" s="1"/>
  <c r="AI430" i="9"/>
  <c r="AP430" i="9" s="1"/>
  <c r="AG430" i="9"/>
  <c r="AN430" i="9" s="1"/>
  <c r="AE430" i="9"/>
  <c r="AL430" i="9" s="1"/>
  <c r="AC428" i="9" a="1"/>
  <c r="AC428" i="9" s="1"/>
  <c r="AJ428" i="9" s="1"/>
  <c r="AI428" i="9"/>
  <c r="AP428" i="9" s="1"/>
  <c r="AG428" i="9"/>
  <c r="AN428" i="9" s="1"/>
  <c r="AC422" i="9" a="1"/>
  <c r="AC422" i="9" s="1"/>
  <c r="AJ422" i="9" s="1"/>
  <c r="AE422" i="9"/>
  <c r="AL422" i="9" s="1"/>
  <c r="AC414" i="9" a="1"/>
  <c r="AC414" i="9" s="1"/>
  <c r="AJ414" i="9" s="1"/>
  <c r="AG414" i="9"/>
  <c r="AN414" i="9" s="1"/>
  <c r="AE414" i="9"/>
  <c r="AL414" i="9" s="1"/>
  <c r="AG412" i="9"/>
  <c r="AN412" i="9" s="1"/>
  <c r="AI412" i="9"/>
  <c r="AP412" i="9" s="1"/>
  <c r="AE412" i="9"/>
  <c r="AL412" i="9" s="1"/>
  <c r="AG406" i="9"/>
  <c r="AN406" i="9" s="1"/>
  <c r="AI406" i="9"/>
  <c r="AP406" i="9" s="1"/>
  <c r="AC406" i="9" a="1"/>
  <c r="AC406" i="9" s="1"/>
  <c r="AJ406" i="9" s="1"/>
  <c r="AE406" i="9"/>
  <c r="AL406" i="9" s="1"/>
  <c r="AG404" i="9"/>
  <c r="AN404" i="9" s="1"/>
  <c r="AC404" i="9" a="1"/>
  <c r="AC404" i="9" s="1"/>
  <c r="AJ404" i="9" s="1"/>
  <c r="AC398" i="9" a="1"/>
  <c r="AC398" i="9" s="1"/>
  <c r="AJ398" i="9" s="1"/>
  <c r="AI398" i="9"/>
  <c r="AP398" i="9" s="1"/>
  <c r="AG398" i="9"/>
  <c r="AN398" i="9" s="1"/>
  <c r="AE398" i="9"/>
  <c r="AL398" i="9" s="1"/>
  <c r="AC396" i="9" a="1"/>
  <c r="AC396" i="9" s="1"/>
  <c r="AJ396" i="9" s="1"/>
  <c r="AI396" i="9"/>
  <c r="AP396" i="9" s="1"/>
  <c r="AE396" i="9"/>
  <c r="AL396" i="9" s="1"/>
  <c r="AG390" i="9"/>
  <c r="AN390" i="9" s="1"/>
  <c r="AC390" i="9" a="1"/>
  <c r="AC390" i="9" s="1"/>
  <c r="AJ390" i="9" s="1"/>
  <c r="AG388" i="9"/>
  <c r="AN388" i="9" s="1"/>
  <c r="AI388" i="9"/>
  <c r="AP388" i="9" s="1"/>
  <c r="AC388" i="9" a="1"/>
  <c r="AC388" i="9" s="1"/>
  <c r="AJ388" i="9" s="1"/>
  <c r="AC382" i="9" a="1"/>
  <c r="AC382" i="9" s="1"/>
  <c r="AJ382" i="9" s="1"/>
  <c r="AG382" i="9"/>
  <c r="AN382" i="9" s="1"/>
  <c r="AI382" i="9"/>
  <c r="AP382" i="9" s="1"/>
  <c r="AE382" i="9"/>
  <c r="AL382" i="9" s="1"/>
  <c r="AG380" i="9"/>
  <c r="AN380" i="9" s="1"/>
  <c r="AI380" i="9"/>
  <c r="AP380" i="9" s="1"/>
  <c r="AE380" i="9"/>
  <c r="AL380" i="9" s="1"/>
  <c r="AC374" i="9" a="1"/>
  <c r="AC374" i="9" s="1"/>
  <c r="AJ374" i="9" s="1"/>
  <c r="AI374" i="9"/>
  <c r="AP374" i="9" s="1"/>
  <c r="AG372" i="9"/>
  <c r="AN372" i="9" s="1"/>
  <c r="AI372" i="9"/>
  <c r="AP372" i="9" s="1"/>
  <c r="AI366" i="9"/>
  <c r="AP366" i="9" s="1"/>
  <c r="AC366" i="9" a="1"/>
  <c r="AC366" i="9" s="1"/>
  <c r="AJ366" i="9" s="1"/>
  <c r="AE366" i="9"/>
  <c r="AL366" i="9" s="1"/>
  <c r="AG364" i="9"/>
  <c r="AN364" i="9" s="1"/>
  <c r="AI364" i="9"/>
  <c r="AP364" i="9" s="1"/>
  <c r="AE364" i="9"/>
  <c r="AL364" i="9" s="1"/>
  <c r="AC358" i="9" a="1"/>
  <c r="AC358" i="9" s="1"/>
  <c r="AJ358" i="9" s="1"/>
  <c r="AI358" i="9"/>
  <c r="AP358" i="9" s="1"/>
  <c r="AG356" i="9"/>
  <c r="AN356" i="9" s="1"/>
  <c r="AC356" i="9" a="1"/>
  <c r="AC356" i="9" s="1"/>
  <c r="AJ356" i="9" s="1"/>
  <c r="AG350" i="9"/>
  <c r="AN350" i="9" s="1"/>
  <c r="AC350" i="9" a="1"/>
  <c r="AC350" i="9" s="1"/>
  <c r="AJ350" i="9" s="1"/>
  <c r="AI350" i="9"/>
  <c r="AP350" i="9" s="1"/>
  <c r="AE350" i="9"/>
  <c r="AL350" i="9" s="1"/>
  <c r="AI348" i="9"/>
  <c r="AP348" i="9" s="1"/>
  <c r="AG348" i="9"/>
  <c r="AN348" i="9" s="1"/>
  <c r="AE348" i="9"/>
  <c r="AL348" i="9" s="1"/>
  <c r="AC342" i="9" a="1"/>
  <c r="AC342" i="9" s="1"/>
  <c r="AJ342" i="9" s="1"/>
  <c r="AC340" i="9" a="1"/>
  <c r="AC340" i="9" s="1"/>
  <c r="AJ340" i="9" s="1"/>
  <c r="AI340" i="9"/>
  <c r="AP340" i="9" s="1"/>
  <c r="AG340" i="9"/>
  <c r="AN340" i="9" s="1"/>
  <c r="AC334" i="9" a="1"/>
  <c r="AC334" i="9" s="1"/>
  <c r="AJ334" i="9" s="1"/>
  <c r="AI334" i="9"/>
  <c r="AP334" i="9" s="1"/>
  <c r="AG332" i="9"/>
  <c r="AN332" i="9" s="1"/>
  <c r="AC332" i="9" a="1"/>
  <c r="AC332" i="9" s="1"/>
  <c r="AJ332" i="9" s="1"/>
  <c r="AE332" i="9"/>
  <c r="AL332" i="9" s="1"/>
  <c r="AI326" i="9"/>
  <c r="AP326" i="9" s="1"/>
  <c r="AC326" i="9" a="1"/>
  <c r="AC326" i="9" s="1"/>
  <c r="AJ326" i="9" s="1"/>
  <c r="AG326" i="9"/>
  <c r="AN326" i="9" s="1"/>
  <c r="AE326" i="9"/>
  <c r="AL326" i="9" s="1"/>
  <c r="AC324" i="9" a="1"/>
  <c r="AC324" i="9" s="1"/>
  <c r="AJ324" i="9" s="1"/>
  <c r="AI324" i="9"/>
  <c r="AP324" i="9" s="1"/>
  <c r="AG324" i="9"/>
  <c r="AN324" i="9" s="1"/>
  <c r="AG318" i="9"/>
  <c r="AN318" i="9" s="1"/>
  <c r="AI318" i="9"/>
  <c r="AP318" i="9" s="1"/>
  <c r="AC318" i="9" a="1"/>
  <c r="AC318" i="9" s="1"/>
  <c r="AJ318" i="9" s="1"/>
  <c r="AC316" i="9" a="1"/>
  <c r="AC316" i="9" s="1"/>
  <c r="AJ316" i="9" s="1"/>
  <c r="AI316" i="9"/>
  <c r="AP316" i="9" s="1"/>
  <c r="AG316" i="9"/>
  <c r="AN316" i="9" s="1"/>
  <c r="AE316" i="9"/>
  <c r="AL316" i="9" s="1"/>
  <c r="AI310" i="9"/>
  <c r="AP310" i="9" s="1"/>
  <c r="AG310" i="9"/>
  <c r="AN310" i="9" s="1"/>
  <c r="AC310" i="9" a="1"/>
  <c r="AC310" i="9" s="1"/>
  <c r="AJ310" i="9" s="1"/>
  <c r="AE310" i="9"/>
  <c r="AL310" i="9" s="1"/>
  <c r="AC308" i="9" a="1"/>
  <c r="AC308" i="9" s="1"/>
  <c r="AJ308" i="9" s="1"/>
  <c r="AI308" i="9"/>
  <c r="AP308" i="9" s="1"/>
  <c r="AG302" i="9"/>
  <c r="AN302" i="9" s="1"/>
  <c r="AC302" i="9" a="1"/>
  <c r="AC302" i="9" s="1"/>
  <c r="AJ302" i="9" s="1"/>
  <c r="AG300" i="9"/>
  <c r="AN300" i="9" s="1"/>
  <c r="AI300" i="9"/>
  <c r="AP300" i="9" s="1"/>
  <c r="AE300" i="9"/>
  <c r="AL300" i="9" s="1"/>
  <c r="AI294" i="9"/>
  <c r="AP294" i="9" s="1"/>
  <c r="AC294" i="9" a="1"/>
  <c r="AC294" i="9" s="1"/>
  <c r="AJ294" i="9" s="1"/>
  <c r="AE294" i="9"/>
  <c r="AL294" i="9" s="1"/>
  <c r="AC292" i="9" a="1"/>
  <c r="AC292" i="9" s="1"/>
  <c r="AJ292" i="9" s="1"/>
  <c r="AI292" i="9"/>
  <c r="AP292" i="9" s="1"/>
  <c r="AI286" i="9"/>
  <c r="AP286" i="9" s="1"/>
  <c r="AG286" i="9"/>
  <c r="AN286" i="9" s="1"/>
  <c r="AC286" i="9" a="1"/>
  <c r="AC286" i="9" s="1"/>
  <c r="AJ286" i="9" s="1"/>
  <c r="AC284" i="9" a="1"/>
  <c r="AC284" i="9" s="1"/>
  <c r="AJ284" i="9" s="1"/>
  <c r="AI284" i="9"/>
  <c r="AP284" i="9" s="1"/>
  <c r="AE284" i="9"/>
  <c r="AL284" i="9" s="1"/>
  <c r="AI278" i="9"/>
  <c r="AP278" i="9" s="1"/>
  <c r="AG278" i="9"/>
  <c r="AN278" i="9" s="1"/>
  <c r="AE278" i="9"/>
  <c r="AL278" i="9" s="1"/>
  <c r="AC276" i="9" a="1"/>
  <c r="AC276" i="9" s="1"/>
  <c r="AJ276" i="9" s="1"/>
  <c r="AI276" i="9"/>
  <c r="AP276" i="9" s="1"/>
  <c r="AG276" i="9"/>
  <c r="AN276" i="9" s="1"/>
  <c r="AC270" i="9" a="1"/>
  <c r="AC270" i="9" s="1"/>
  <c r="AJ270" i="9" s="1"/>
  <c r="AI270" i="9"/>
  <c r="AP270" i="9" s="1"/>
  <c r="AG270" i="9"/>
  <c r="AN270" i="9" s="1"/>
  <c r="AG268" i="9"/>
  <c r="AN268" i="9" s="1"/>
  <c r="AC268" i="9" a="1"/>
  <c r="AC268" i="9" s="1"/>
  <c r="AJ268" i="9" s="1"/>
  <c r="AE268" i="9"/>
  <c r="AL268" i="9" s="1"/>
  <c r="AI262" i="9"/>
  <c r="AP262" i="9" s="1"/>
  <c r="AC262" i="9" a="1"/>
  <c r="AC262" i="9" s="1"/>
  <c r="AJ262" i="9" s="1"/>
  <c r="AG262" i="9"/>
  <c r="AN262" i="9" s="1"/>
  <c r="AE262" i="9"/>
  <c r="AL262" i="9" s="1"/>
  <c r="AG260" i="9"/>
  <c r="AN260" i="9" s="1"/>
  <c r="AI260" i="9"/>
  <c r="AP260" i="9" s="1"/>
  <c r="AI254" i="9"/>
  <c r="AP254" i="9" s="1"/>
  <c r="AC254" i="9" a="1"/>
  <c r="AC254" i="9" s="1"/>
  <c r="AJ254" i="9" s="1"/>
  <c r="AC252" i="9" a="1"/>
  <c r="AC252" i="9" s="1"/>
  <c r="AJ252" i="9" s="1"/>
  <c r="AI252" i="9"/>
  <c r="AP252" i="9" s="1"/>
  <c r="AG252" i="9"/>
  <c r="AN252" i="9" s="1"/>
  <c r="AE252" i="9"/>
  <c r="AL252" i="9" s="1"/>
  <c r="AI246" i="9"/>
  <c r="AP246" i="9" s="1"/>
  <c r="AG246" i="9"/>
  <c r="AN246" i="9" s="1"/>
  <c r="AC246" i="9" a="1"/>
  <c r="AC246" i="9" s="1"/>
  <c r="AJ246" i="9" s="1"/>
  <c r="AE246" i="9"/>
  <c r="AL246" i="9" s="1"/>
  <c r="AC244" i="9" a="1"/>
  <c r="AC244" i="9" s="1"/>
  <c r="AJ244" i="9" s="1"/>
  <c r="AI244" i="9"/>
  <c r="AP244" i="9" s="1"/>
  <c r="AG238" i="9"/>
  <c r="AN238" i="9" s="1"/>
  <c r="AI238" i="9"/>
  <c r="AP238" i="9" s="1"/>
  <c r="AC238" i="9" a="1"/>
  <c r="AC238" i="9" s="1"/>
  <c r="AJ238" i="9" s="1"/>
  <c r="AI236" i="9"/>
  <c r="AP236" i="9" s="1"/>
  <c r="AE236" i="9"/>
  <c r="AL236" i="9" s="1"/>
  <c r="AI230" i="9"/>
  <c r="AP230" i="9" s="1"/>
  <c r="AC230" i="9" a="1"/>
  <c r="AC230" i="9" s="1"/>
  <c r="AJ230" i="9" s="1"/>
  <c r="AE230" i="9"/>
  <c r="AL230" i="9" s="1"/>
  <c r="AG228" i="9"/>
  <c r="AN228" i="9" s="1"/>
  <c r="AI228" i="9"/>
  <c r="AP228" i="9" s="1"/>
  <c r="AI222" i="9"/>
  <c r="AP222" i="9" s="1"/>
  <c r="AG222" i="9"/>
  <c r="AN222" i="9" s="1"/>
  <c r="AE222" i="9"/>
  <c r="AL222" i="9" s="1"/>
  <c r="AG220" i="9"/>
  <c r="AN220" i="9" s="1"/>
  <c r="AI220" i="9"/>
  <c r="AP220" i="9" s="1"/>
  <c r="AC220" i="9" a="1"/>
  <c r="AC220" i="9" s="1"/>
  <c r="AJ220" i="9" s="1"/>
  <c r="AE220" i="9"/>
  <c r="AL220" i="9" s="1"/>
  <c r="AC214" i="9" a="1"/>
  <c r="AC214" i="9" s="1"/>
  <c r="AJ214" i="9" s="1"/>
  <c r="AC212" i="9" a="1"/>
  <c r="AC212" i="9" s="1"/>
  <c r="AJ212" i="9" s="1"/>
  <c r="AI212" i="9"/>
  <c r="AP212" i="9" s="1"/>
  <c r="AG212" i="9"/>
  <c r="AN212" i="9" s="1"/>
  <c r="AC206" i="9" a="1"/>
  <c r="AC206" i="9" s="1"/>
  <c r="AJ206" i="9" s="1"/>
  <c r="AI206" i="9"/>
  <c r="AP206" i="9" s="1"/>
  <c r="AG206" i="9"/>
  <c r="AN206" i="9" s="1"/>
  <c r="AE206" i="9"/>
  <c r="AL206" i="9" s="1"/>
  <c r="AG204" i="9"/>
  <c r="AN204" i="9" s="1"/>
  <c r="AI204" i="9"/>
  <c r="AP204" i="9" s="1"/>
  <c r="AE204" i="9"/>
  <c r="AL204" i="9" s="1"/>
  <c r="AC198" i="9" a="1"/>
  <c r="AC198" i="9" s="1"/>
  <c r="AJ198" i="9" s="1"/>
  <c r="AI198" i="9"/>
  <c r="AP198" i="9" s="1"/>
  <c r="AG198" i="9"/>
  <c r="AN198" i="9" s="1"/>
  <c r="AE198" i="9"/>
  <c r="AL198" i="9" s="1"/>
  <c r="AC196" i="9" a="1"/>
  <c r="AC196" i="9" s="1"/>
  <c r="AJ196" i="9" s="1"/>
  <c r="AG196" i="9"/>
  <c r="AN196" i="9" s="1"/>
  <c r="AI196" i="9"/>
  <c r="AP196" i="9" s="1"/>
  <c r="AI190" i="9"/>
  <c r="AP190" i="9" s="1"/>
  <c r="AG190" i="9"/>
  <c r="AN190" i="9" s="1"/>
  <c r="AC190" i="9" a="1"/>
  <c r="AC190" i="9" s="1"/>
  <c r="AJ190" i="9" s="1"/>
  <c r="AI188" i="9"/>
  <c r="AP188" i="9" s="1"/>
  <c r="AC188" i="9" a="1"/>
  <c r="AC188" i="9" s="1"/>
  <c r="AJ188" i="9" s="1"/>
  <c r="AG188" i="9"/>
  <c r="AN188" i="9" s="1"/>
  <c r="AE188" i="9"/>
  <c r="AL188" i="9" s="1"/>
  <c r="AI182" i="9"/>
  <c r="AP182" i="9" s="1"/>
  <c r="AG182" i="9"/>
  <c r="AN182" i="9" s="1"/>
  <c r="AE182" i="9"/>
  <c r="AL182" i="9" s="1"/>
  <c r="AC180" i="9" a="1"/>
  <c r="AC180" i="9" s="1"/>
  <c r="AJ180" i="9" s="1"/>
  <c r="AG180" i="9"/>
  <c r="AN180" i="9" s="1"/>
  <c r="AI174" i="9"/>
  <c r="AP174" i="9" s="1"/>
  <c r="AG174" i="9"/>
  <c r="AN174" i="9" s="1"/>
  <c r="AE174" i="9"/>
  <c r="AL174" i="9" s="1"/>
  <c r="AC172" i="9" a="1"/>
  <c r="AC172" i="9" s="1"/>
  <c r="AJ172" i="9" s="1"/>
  <c r="AI172" i="9"/>
  <c r="AP172" i="9" s="1"/>
  <c r="AE172" i="9"/>
  <c r="AL172" i="9" s="1"/>
  <c r="AI166" i="9"/>
  <c r="AP166" i="9" s="1"/>
  <c r="AG166" i="9"/>
  <c r="AN166" i="9" s="1"/>
  <c r="AC166" i="9" a="1"/>
  <c r="AC166" i="9" s="1"/>
  <c r="AJ166" i="9" s="1"/>
  <c r="AE166" i="9"/>
  <c r="AL166" i="9" s="1"/>
  <c r="AI164" i="9"/>
  <c r="AP164" i="9" s="1"/>
  <c r="AG164" i="9"/>
  <c r="AN164" i="9" s="1"/>
  <c r="AI158" i="9"/>
  <c r="AP158" i="9" s="1"/>
  <c r="AG158" i="9"/>
  <c r="AN158" i="9" s="1"/>
  <c r="AC158" i="9" a="1"/>
  <c r="AC158" i="9" s="1"/>
  <c r="AJ158" i="9" s="1"/>
  <c r="AC156" i="9" a="1"/>
  <c r="AC156" i="9" s="1"/>
  <c r="AJ156" i="9" s="1"/>
  <c r="AI156" i="9"/>
  <c r="AP156" i="9" s="1"/>
  <c r="AG156" i="9"/>
  <c r="AN156" i="9" s="1"/>
  <c r="AI150" i="9"/>
  <c r="AP150" i="9" s="1"/>
  <c r="AG150" i="9"/>
  <c r="AN150" i="9" s="1"/>
  <c r="AC150" i="9" a="1"/>
  <c r="AC150" i="9" s="1"/>
  <c r="AJ150" i="9" s="1"/>
  <c r="AE150" i="9"/>
  <c r="AL150" i="9" s="1"/>
  <c r="AG148" i="9"/>
  <c r="AN148" i="9" s="1"/>
  <c r="AI148" i="9"/>
  <c r="AP148" i="9" s="1"/>
  <c r="AC148" i="9" a="1"/>
  <c r="AC148" i="9" s="1"/>
  <c r="AJ148" i="9" s="1"/>
  <c r="AC142" i="9" a="1"/>
  <c r="AC142" i="9" s="1"/>
  <c r="AJ142" i="9" s="1"/>
  <c r="AG142" i="9"/>
  <c r="AN142" i="9" s="1"/>
  <c r="AI142" i="9"/>
  <c r="AP142" i="9" s="1"/>
  <c r="AE142" i="9"/>
  <c r="AL142" i="9" s="1"/>
  <c r="AG140" i="9"/>
  <c r="AN140" i="9" s="1"/>
  <c r="AI140" i="9"/>
  <c r="AP140" i="9" s="1"/>
  <c r="AC140" i="9" a="1"/>
  <c r="AC140" i="9" s="1"/>
  <c r="AJ140" i="9" s="1"/>
  <c r="AI134" i="9"/>
  <c r="AP134" i="9" s="1"/>
  <c r="AG134" i="9"/>
  <c r="AN134" i="9" s="1"/>
  <c r="AC134" i="9" a="1"/>
  <c r="AC134" i="9" s="1"/>
  <c r="AJ134" i="9" s="1"/>
  <c r="AG132" i="9"/>
  <c r="AN132" i="9" s="1"/>
  <c r="AI132" i="9"/>
  <c r="AP132" i="9" s="1"/>
  <c r="AC132" i="9" a="1"/>
  <c r="AC132" i="9" s="1"/>
  <c r="AJ132" i="9" s="1"/>
  <c r="AE132" i="9"/>
  <c r="AL132" i="9" s="1"/>
  <c r="AG126" i="9"/>
  <c r="AN126" i="9" s="1"/>
  <c r="AI126" i="9"/>
  <c r="AP126" i="9" s="1"/>
  <c r="AC126" i="9" a="1"/>
  <c r="AC126" i="9" s="1"/>
  <c r="AJ126" i="9" s="1"/>
  <c r="AE126" i="9"/>
  <c r="AL126" i="9" s="1"/>
  <c r="AC124" i="9" a="1"/>
  <c r="AC124" i="9" s="1"/>
  <c r="AJ124" i="9" s="1"/>
  <c r="AG124" i="9"/>
  <c r="AN124" i="9" s="1"/>
  <c r="AE124" i="9"/>
  <c r="AL124" i="9" s="1"/>
  <c r="AI118" i="9"/>
  <c r="AP118" i="9" s="1"/>
  <c r="AC118" i="9" a="1"/>
  <c r="AC118" i="9" s="1"/>
  <c r="AJ118" i="9" s="1"/>
  <c r="AE118" i="9"/>
  <c r="AL118" i="9" s="1"/>
  <c r="AC116" i="9" a="1"/>
  <c r="AC116" i="9" s="1"/>
  <c r="AJ116" i="9" s="1"/>
  <c r="AG116" i="9"/>
  <c r="AN116" i="9" s="1"/>
  <c r="AI110" i="9"/>
  <c r="AP110" i="9" s="1"/>
  <c r="AC110" i="9" a="1"/>
  <c r="AC110" i="9" s="1"/>
  <c r="AJ110" i="9" s="1"/>
  <c r="AG110" i="9"/>
  <c r="AN110" i="9" s="1"/>
  <c r="AI108" i="9"/>
  <c r="AP108" i="9" s="1"/>
  <c r="AC108" i="9" a="1"/>
  <c r="AC108" i="9" s="1"/>
  <c r="AJ108" i="9" s="1"/>
  <c r="AG501" i="9"/>
  <c r="AN501" i="9" s="1"/>
  <c r="AI501" i="9"/>
  <c r="AP501" i="9" s="1"/>
  <c r="AI497" i="9"/>
  <c r="AP497" i="9" s="1"/>
  <c r="AG497" i="9"/>
  <c r="AN497" i="9" s="1"/>
  <c r="AC497" i="9" a="1"/>
  <c r="AC497" i="9" s="1"/>
  <c r="AJ497" i="9" s="1"/>
  <c r="AG493" i="9"/>
  <c r="AN493" i="9" s="1"/>
  <c r="AI493" i="9"/>
  <c r="AP493" i="9" s="1"/>
  <c r="AE493" i="9"/>
  <c r="AL493" i="9" s="1"/>
  <c r="AC489" i="9" a="1"/>
  <c r="AC489" i="9" s="1"/>
  <c r="AJ489" i="9" s="1"/>
  <c r="AE489" i="9"/>
  <c r="AL489" i="9" s="1"/>
  <c r="AC485" i="9" a="1"/>
  <c r="AC485" i="9" s="1"/>
  <c r="AJ485" i="9" s="1"/>
  <c r="AI485" i="9"/>
  <c r="AP485" i="9" s="1"/>
  <c r="AC481" i="9" a="1"/>
  <c r="AC481" i="9" s="1"/>
  <c r="AJ481" i="9" s="1"/>
  <c r="AI481" i="9"/>
  <c r="AP481" i="9" s="1"/>
  <c r="AG481" i="9"/>
  <c r="AN481" i="9" s="1"/>
  <c r="AE481" i="9"/>
  <c r="AL481" i="9" s="1"/>
  <c r="AG477" i="9"/>
  <c r="AN477" i="9" s="1"/>
  <c r="AI477" i="9"/>
  <c r="AP477" i="9" s="1"/>
  <c r="AC477" i="9" a="1"/>
  <c r="AC477" i="9" s="1"/>
  <c r="AJ477" i="9" s="1"/>
  <c r="AE477" i="9"/>
  <c r="AL477" i="9" s="1"/>
  <c r="AC473" i="9" a="1"/>
  <c r="AC473" i="9" s="1"/>
  <c r="AJ473" i="9" s="1"/>
  <c r="AI473" i="9"/>
  <c r="AP473" i="9" s="1"/>
  <c r="AG473" i="9"/>
  <c r="AN473" i="9" s="1"/>
  <c r="AE473" i="9"/>
  <c r="AL473" i="9" s="1"/>
  <c r="AC469" i="9" a="1"/>
  <c r="AC469" i="9" s="1"/>
  <c r="AJ469" i="9" s="1"/>
  <c r="AG469" i="9"/>
  <c r="AN469" i="9" s="1"/>
  <c r="AI469" i="9"/>
  <c r="AP469" i="9" s="1"/>
  <c r="AE469" i="9"/>
  <c r="AL469" i="9" s="1"/>
  <c r="AC465" i="9" a="1"/>
  <c r="AC465" i="9" s="1"/>
  <c r="AJ465" i="9" s="1"/>
  <c r="AI465" i="9"/>
  <c r="AP465" i="9" s="1"/>
  <c r="AG465" i="9"/>
  <c r="AN465" i="9" s="1"/>
  <c r="AE465" i="9"/>
  <c r="AL465" i="9" s="1"/>
  <c r="AG461" i="9"/>
  <c r="AN461" i="9" s="1"/>
  <c r="AI461" i="9"/>
  <c r="AP461" i="9" s="1"/>
  <c r="AC461" i="9" a="1"/>
  <c r="AC461" i="9" s="1"/>
  <c r="AJ461" i="9" s="1"/>
  <c r="AE461" i="9"/>
  <c r="AL461" i="9" s="1"/>
  <c r="AC457" i="9" a="1"/>
  <c r="AC457" i="9" s="1"/>
  <c r="AJ457" i="9" s="1"/>
  <c r="AI457" i="9"/>
  <c r="AP457" i="9" s="1"/>
  <c r="AG457" i="9"/>
  <c r="AN457" i="9" s="1"/>
  <c r="AE457" i="9"/>
  <c r="AL457" i="9" s="1"/>
  <c r="AI453" i="9"/>
  <c r="AP453" i="9" s="1"/>
  <c r="AC449" i="9" a="1"/>
  <c r="AC449" i="9" s="1"/>
  <c r="AJ449" i="9" s="1"/>
  <c r="AI449" i="9"/>
  <c r="AP449" i="9" s="1"/>
  <c r="AE449" i="9"/>
  <c r="AL449" i="9" s="1"/>
  <c r="AI445" i="9"/>
  <c r="AP445" i="9" s="1"/>
  <c r="AG445" i="9"/>
  <c r="AN445" i="9" s="1"/>
  <c r="AC445" i="9" a="1"/>
  <c r="AC445" i="9" s="1"/>
  <c r="AJ445" i="9" s="1"/>
  <c r="AI441" i="9"/>
  <c r="AP441" i="9" s="1"/>
  <c r="AG441" i="9"/>
  <c r="AN441" i="9" s="1"/>
  <c r="AE441" i="9"/>
  <c r="AL441" i="9" s="1"/>
  <c r="AG437" i="9"/>
  <c r="AN437" i="9" s="1"/>
  <c r="AG433" i="9"/>
  <c r="AN433" i="9" s="1"/>
  <c r="AI433" i="9"/>
  <c r="AP433" i="9" s="1"/>
  <c r="AE433" i="9"/>
  <c r="AL433" i="9" s="1"/>
  <c r="AG429" i="9"/>
  <c r="AN429" i="9" s="1"/>
  <c r="AC429" i="9" a="1"/>
  <c r="AC429" i="9" s="1"/>
  <c r="AJ429" i="9" s="1"/>
  <c r="AI429" i="9"/>
  <c r="AP429" i="9" s="1"/>
  <c r="AE429" i="9"/>
  <c r="AL429" i="9" s="1"/>
  <c r="AI425" i="9"/>
  <c r="AP425" i="9" s="1"/>
  <c r="AG425" i="9"/>
  <c r="AN425" i="9" s="1"/>
  <c r="AG421" i="9"/>
  <c r="AN421" i="9" s="1"/>
  <c r="AI421" i="9"/>
  <c r="AP421" i="9" s="1"/>
  <c r="AG417" i="9"/>
  <c r="AN417" i="9" s="1"/>
  <c r="AC417" i="9" a="1"/>
  <c r="AC417" i="9" s="1"/>
  <c r="AJ417" i="9" s="1"/>
  <c r="AE417" i="9"/>
  <c r="AL417" i="9" s="1"/>
  <c r="AI413" i="9"/>
  <c r="AP413" i="9" s="1"/>
  <c r="AC413" i="9" a="1"/>
  <c r="AC413" i="9" s="1"/>
  <c r="AJ413" i="9" s="1"/>
  <c r="AG413" i="9"/>
  <c r="AN413" i="9" s="1"/>
  <c r="AE413" i="9"/>
  <c r="AL413" i="9" s="1"/>
  <c r="AI409" i="9"/>
  <c r="AP409" i="9" s="1"/>
  <c r="AG409" i="9"/>
  <c r="AN409" i="9" s="1"/>
  <c r="AC409" i="9" a="1"/>
  <c r="AC409" i="9" s="1"/>
  <c r="AJ409" i="9" s="1"/>
  <c r="AE409" i="9"/>
  <c r="AL409" i="9" s="1"/>
  <c r="AI405" i="9"/>
  <c r="AP405" i="9" s="1"/>
  <c r="AC405" i="9" a="1"/>
  <c r="AC405" i="9" s="1"/>
  <c r="AJ405" i="9" s="1"/>
  <c r="AE405" i="9"/>
  <c r="AL405" i="9" s="1"/>
  <c r="AI401" i="9"/>
  <c r="AP401" i="9" s="1"/>
  <c r="AC401" i="9" a="1"/>
  <c r="AC401" i="9" s="1"/>
  <c r="AJ401" i="9" s="1"/>
  <c r="AG401" i="9"/>
  <c r="AN401" i="9" s="1"/>
  <c r="AE401" i="9"/>
  <c r="AL401" i="9" s="1"/>
  <c r="AI397" i="9"/>
  <c r="AP397" i="9" s="1"/>
  <c r="AC397" i="9" a="1"/>
  <c r="AC397" i="9" s="1"/>
  <c r="AJ397" i="9" s="1"/>
  <c r="AE397" i="9"/>
  <c r="AL397" i="9" s="1"/>
  <c r="AI393" i="9"/>
  <c r="AP393" i="9" s="1"/>
  <c r="AE393" i="9"/>
  <c r="AL393" i="9" s="1"/>
  <c r="AI389" i="9"/>
  <c r="AP389" i="9" s="1"/>
  <c r="AC389" i="9" a="1"/>
  <c r="AC389" i="9" s="1"/>
  <c r="AJ389" i="9" s="1"/>
  <c r="AG389" i="9"/>
  <c r="AN389" i="9" s="1"/>
  <c r="AE389" i="9"/>
  <c r="AL389" i="9" s="1"/>
  <c r="AI385" i="9"/>
  <c r="AP385" i="9" s="1"/>
  <c r="AC385" i="9" a="1"/>
  <c r="AC385" i="9" s="1"/>
  <c r="AJ385" i="9" s="1"/>
  <c r="AE385" i="9"/>
  <c r="AL385" i="9" s="1"/>
  <c r="AI381" i="9"/>
  <c r="AP381" i="9" s="1"/>
  <c r="AC381" i="9" a="1"/>
  <c r="AC381" i="9" s="1"/>
  <c r="AJ381" i="9" s="1"/>
  <c r="AE381" i="9"/>
  <c r="AL381" i="9" s="1"/>
  <c r="AI377" i="9"/>
  <c r="AP377" i="9" s="1"/>
  <c r="AG377" i="9"/>
  <c r="AN377" i="9" s="1"/>
  <c r="AE377" i="9"/>
  <c r="AL377" i="9" s="1"/>
  <c r="AC373" i="9" a="1"/>
  <c r="AC373" i="9" s="1"/>
  <c r="AJ373" i="9" s="1"/>
  <c r="AE373" i="9"/>
  <c r="AL373" i="9" s="1"/>
  <c r="AI369" i="9"/>
  <c r="AP369" i="9" s="1"/>
  <c r="AC369" i="9" a="1"/>
  <c r="AC369" i="9" s="1"/>
  <c r="AJ369" i="9" s="1"/>
  <c r="AG369" i="9"/>
  <c r="AN369" i="9" s="1"/>
  <c r="AE369" i="9"/>
  <c r="AL369" i="9" s="1"/>
  <c r="AI365" i="9"/>
  <c r="AP365" i="9" s="1"/>
  <c r="AC365" i="9" a="1"/>
  <c r="AC365" i="9" s="1"/>
  <c r="AJ365" i="9" s="1"/>
  <c r="AE365" i="9"/>
  <c r="AL365" i="9" s="1"/>
  <c r="AI361" i="9"/>
  <c r="AP361" i="9" s="1"/>
  <c r="AE361" i="9"/>
  <c r="AL361" i="9" s="1"/>
  <c r="AI357" i="9"/>
  <c r="AP357" i="9" s="1"/>
  <c r="AC357" i="9" a="1"/>
  <c r="AC357" i="9" s="1"/>
  <c r="AJ357" i="9" s="1"/>
  <c r="AG357" i="9"/>
  <c r="AN357" i="9" s="1"/>
  <c r="AE357" i="9"/>
  <c r="AL357" i="9" s="1"/>
  <c r="AI353" i="9"/>
  <c r="AP353" i="9" s="1"/>
  <c r="AC353" i="9" a="1"/>
  <c r="AC353" i="9" s="1"/>
  <c r="AJ353" i="9" s="1"/>
  <c r="AE353" i="9"/>
  <c r="AL353" i="9" s="1"/>
  <c r="AC349" i="9" a="1"/>
  <c r="AC349" i="9" s="1"/>
  <c r="AJ349" i="9" s="1"/>
  <c r="AE349" i="9"/>
  <c r="AL349" i="9" s="1"/>
  <c r="AG345" i="9"/>
  <c r="AN345" i="9" s="1"/>
  <c r="AC345" i="9" a="1"/>
  <c r="AC345" i="9" s="1"/>
  <c r="AJ345" i="9" s="1"/>
  <c r="AI341" i="9"/>
  <c r="AP341" i="9" s="1"/>
  <c r="AG341" i="9"/>
  <c r="AN341" i="9" s="1"/>
  <c r="AC341" i="9" a="1"/>
  <c r="AC341" i="9" s="1"/>
  <c r="AJ341" i="9" s="1"/>
  <c r="AE341" i="9"/>
  <c r="AL341" i="9" s="1"/>
  <c r="AG337" i="9"/>
  <c r="AN337" i="9" s="1"/>
  <c r="AC337" i="9" a="1"/>
  <c r="AC337" i="9" s="1"/>
  <c r="AJ337" i="9" s="1"/>
  <c r="AI337" i="9"/>
  <c r="AP337" i="9" s="1"/>
  <c r="AE337" i="9"/>
  <c r="AL337" i="9" s="1"/>
  <c r="AC333" i="9" a="1"/>
  <c r="AC333" i="9" s="1"/>
  <c r="AJ333" i="9" s="1"/>
  <c r="AI333" i="9"/>
  <c r="AP333" i="9" s="1"/>
  <c r="AG333" i="9"/>
  <c r="AN333" i="9" s="1"/>
  <c r="AC329" i="9" a="1"/>
  <c r="AC329" i="9" s="1"/>
  <c r="AJ329" i="9" s="1"/>
  <c r="AI329" i="9"/>
  <c r="AP329" i="9" s="1"/>
  <c r="AE329" i="9"/>
  <c r="AL329" i="9" s="1"/>
  <c r="AC321" i="9" a="1"/>
  <c r="AC321" i="9" s="1"/>
  <c r="AJ321" i="9" s="1"/>
  <c r="AG321" i="9"/>
  <c r="AN321" i="9" s="1"/>
  <c r="AI321" i="9"/>
  <c r="AP321" i="9" s="1"/>
  <c r="AE321" i="9"/>
  <c r="AL321" i="9" s="1"/>
  <c r="AI317" i="9"/>
  <c r="AP317" i="9" s="1"/>
  <c r="AG317" i="9"/>
  <c r="AN317" i="9" s="1"/>
  <c r="AC313" i="9" a="1"/>
  <c r="AC313" i="9" s="1"/>
  <c r="AJ313" i="9" s="1"/>
  <c r="AI313" i="9"/>
  <c r="AP313" i="9" s="1"/>
  <c r="AG313" i="9"/>
  <c r="AN313" i="9" s="1"/>
  <c r="AE313" i="9"/>
  <c r="AL313" i="9" s="1"/>
  <c r="AI309" i="9"/>
  <c r="AP309" i="9" s="1"/>
  <c r="AC309" i="9" a="1"/>
  <c r="AC309" i="9" s="1"/>
  <c r="AJ309" i="9" s="1"/>
  <c r="AI305" i="9"/>
  <c r="AP305" i="9" s="1"/>
  <c r="AG305" i="9"/>
  <c r="AN305" i="9" s="1"/>
  <c r="AC305" i="9" a="1"/>
  <c r="AC305" i="9" s="1"/>
  <c r="AJ305" i="9" s="1"/>
  <c r="AE305" i="9"/>
  <c r="AL305" i="9" s="1"/>
  <c r="AC301" i="9" a="1"/>
  <c r="AC301" i="9" s="1"/>
  <c r="AJ301" i="9" s="1"/>
  <c r="AI301" i="9"/>
  <c r="AP301" i="9" s="1"/>
  <c r="AG301" i="9"/>
  <c r="AN301" i="9" s="1"/>
  <c r="AG297" i="9"/>
  <c r="AN297" i="9" s="1"/>
  <c r="AI297" i="9"/>
  <c r="AP297" i="9" s="1"/>
  <c r="AE297" i="9"/>
  <c r="AL297" i="9" s="1"/>
  <c r="AI293" i="9"/>
  <c r="AP293" i="9" s="1"/>
  <c r="AI289" i="9"/>
  <c r="AP289" i="9" s="1"/>
  <c r="AC289" i="9" a="1"/>
  <c r="AC289" i="9" s="1"/>
  <c r="AJ289" i="9" s="1"/>
  <c r="AG289" i="9"/>
  <c r="AN289" i="9" s="1"/>
  <c r="AE289" i="9"/>
  <c r="AL289" i="9" s="1"/>
  <c r="AI285" i="9"/>
  <c r="AP285" i="9" s="1"/>
  <c r="AC285" i="9" a="1"/>
  <c r="AC285" i="9" s="1"/>
  <c r="AJ285" i="9" s="1"/>
  <c r="AG285" i="9"/>
  <c r="AN285" i="9" s="1"/>
  <c r="AC281" i="9" a="1"/>
  <c r="AC281" i="9" s="1"/>
  <c r="AJ281" i="9" s="1"/>
  <c r="AI281" i="9"/>
  <c r="AP281" i="9" s="1"/>
  <c r="AG281" i="9"/>
  <c r="AN281" i="9" s="1"/>
  <c r="AE281" i="9"/>
  <c r="AL281" i="9" s="1"/>
  <c r="AI277" i="9"/>
  <c r="AP277" i="9" s="1"/>
  <c r="AC277" i="9" a="1"/>
  <c r="AC277" i="9" s="1"/>
  <c r="AJ277" i="9" s="1"/>
  <c r="AC273" i="9" a="1"/>
  <c r="AC273" i="9" s="1"/>
  <c r="AJ273" i="9" s="1"/>
  <c r="AG273" i="9"/>
  <c r="AN273" i="9" s="1"/>
  <c r="AE273" i="9"/>
  <c r="AL273" i="9" s="1"/>
  <c r="AI269" i="9"/>
  <c r="AP269" i="9" s="1"/>
  <c r="AC269" i="9" a="1"/>
  <c r="AC269" i="9" s="1"/>
  <c r="AJ269" i="9" s="1"/>
  <c r="AG269" i="9"/>
  <c r="AN269" i="9" s="1"/>
  <c r="AC265" i="9" a="1"/>
  <c r="AC265" i="9" s="1"/>
  <c r="AJ265" i="9" s="1"/>
  <c r="AI265" i="9"/>
  <c r="AP265" i="9" s="1"/>
  <c r="AG265" i="9"/>
  <c r="AN265" i="9" s="1"/>
  <c r="AE265" i="9"/>
  <c r="AL265" i="9" s="1"/>
  <c r="AI261" i="9"/>
  <c r="AP261" i="9" s="1"/>
  <c r="AC257" i="9" a="1"/>
  <c r="AC257" i="9" s="1"/>
  <c r="AJ257" i="9" s="1"/>
  <c r="AI257" i="9"/>
  <c r="AP257" i="9" s="1"/>
  <c r="AG257" i="9"/>
  <c r="AN257" i="9" s="1"/>
  <c r="AE257" i="9"/>
  <c r="AL257" i="9" s="1"/>
  <c r="AI253" i="9"/>
  <c r="AP253" i="9" s="1"/>
  <c r="AG253" i="9"/>
  <c r="AN253" i="9" s="1"/>
  <c r="AG249" i="9"/>
  <c r="AN249" i="9" s="1"/>
  <c r="AI249" i="9"/>
  <c r="AP249" i="9" s="1"/>
  <c r="AC249" i="9" a="1"/>
  <c r="AC249" i="9" s="1"/>
  <c r="AJ249" i="9" s="1"/>
  <c r="AE249" i="9"/>
  <c r="AL249" i="9" s="1"/>
  <c r="AI245" i="9"/>
  <c r="AP245" i="9" s="1"/>
  <c r="AC245" i="9" a="1"/>
  <c r="AC245" i="9" s="1"/>
  <c r="AJ245" i="9" s="1"/>
  <c r="AG241" i="9"/>
  <c r="AN241" i="9" s="1"/>
  <c r="AI241" i="9"/>
  <c r="AP241" i="9" s="1"/>
  <c r="AC241" i="9" a="1"/>
  <c r="AC241" i="9" s="1"/>
  <c r="AJ241" i="9" s="1"/>
  <c r="AE241" i="9"/>
  <c r="AL241" i="9" s="1"/>
  <c r="AI237" i="9"/>
  <c r="AP237" i="9" s="1"/>
  <c r="AC237" i="9" a="1"/>
  <c r="AC237" i="9" s="1"/>
  <c r="AJ237" i="9" s="1"/>
  <c r="AG237" i="9"/>
  <c r="AN237" i="9" s="1"/>
  <c r="AG233" i="9"/>
  <c r="AN233" i="9" s="1"/>
  <c r="AC233" i="9" a="1"/>
  <c r="AC233" i="9" s="1"/>
  <c r="AJ233" i="9" s="1"/>
  <c r="AI233" i="9"/>
  <c r="AP233" i="9" s="1"/>
  <c r="AE233" i="9"/>
  <c r="AL233" i="9" s="1"/>
  <c r="AG229" i="9"/>
  <c r="AN229" i="9" s="1"/>
  <c r="AC229" i="9" a="1"/>
  <c r="AC229" i="9" s="1"/>
  <c r="AJ229" i="9" s="1"/>
  <c r="AE229" i="9"/>
  <c r="AL229" i="9" s="1"/>
  <c r="AI225" i="9"/>
  <c r="AP225" i="9" s="1"/>
  <c r="AG225" i="9"/>
  <c r="AN225" i="9" s="1"/>
  <c r="AC225" i="9" a="1"/>
  <c r="AC225" i="9" s="1"/>
  <c r="AJ225" i="9" s="1"/>
  <c r="AC221" i="9" a="1"/>
  <c r="AC221" i="9" s="1"/>
  <c r="AJ221" i="9" s="1"/>
  <c r="AI221" i="9"/>
  <c r="AP221" i="9" s="1"/>
  <c r="AG221" i="9"/>
  <c r="AN221" i="9" s="1"/>
  <c r="AE221" i="9"/>
  <c r="AL221" i="9" s="1"/>
  <c r="AG217" i="9"/>
  <c r="AN217" i="9" s="1"/>
  <c r="AC217" i="9" a="1"/>
  <c r="AC217" i="9" s="1"/>
  <c r="AJ217" i="9" s="1"/>
  <c r="AG213" i="9"/>
  <c r="AN213" i="9" s="1"/>
  <c r="AI213" i="9"/>
  <c r="AP213" i="9" s="1"/>
  <c r="AE213" i="9"/>
  <c r="AL213" i="9" s="1"/>
  <c r="AG209" i="9"/>
  <c r="AN209" i="9" s="1"/>
  <c r="AI209" i="9"/>
  <c r="AP209" i="9" s="1"/>
  <c r="AC205" i="9" a="1"/>
  <c r="AC205" i="9" s="1"/>
  <c r="AJ205" i="9" s="1"/>
  <c r="AI205" i="9"/>
  <c r="AP205" i="9" s="1"/>
  <c r="AE205" i="9"/>
  <c r="AL205" i="9" s="1"/>
  <c r="AI201" i="9"/>
  <c r="AP201" i="9" s="1"/>
  <c r="AC201" i="9" a="1"/>
  <c r="AC201" i="9" s="1"/>
  <c r="AJ201" i="9" s="1"/>
  <c r="AG197" i="9"/>
  <c r="AN197" i="9" s="1"/>
  <c r="AI197" i="9"/>
  <c r="AP197" i="9" s="1"/>
  <c r="AC197" i="9" a="1"/>
  <c r="AC197" i="9" s="1"/>
  <c r="AJ197" i="9" s="1"/>
  <c r="AE197" i="9"/>
  <c r="AL197" i="9" s="1"/>
  <c r="AC193" i="9" a="1"/>
  <c r="AC193" i="9" s="1"/>
  <c r="AJ193" i="9" s="1"/>
  <c r="AI193" i="9"/>
  <c r="AP193" i="9" s="1"/>
  <c r="AE193" i="9"/>
  <c r="AL193" i="9" s="1"/>
  <c r="AC189" i="9" a="1"/>
  <c r="AC189" i="9" s="1"/>
  <c r="AJ189" i="9" s="1"/>
  <c r="AI189" i="9"/>
  <c r="AP189" i="9" s="1"/>
  <c r="AG189" i="9"/>
  <c r="AN189" i="9" s="1"/>
  <c r="AE189" i="9"/>
  <c r="AL189" i="9" s="1"/>
  <c r="AI185" i="9"/>
  <c r="AP185" i="9" s="1"/>
  <c r="AG185" i="9"/>
  <c r="AN185" i="9" s="1"/>
  <c r="AC185" i="9" a="1"/>
  <c r="AC185" i="9" s="1"/>
  <c r="AJ185" i="9" s="1"/>
  <c r="AI181" i="9"/>
  <c r="AP181" i="9" s="1"/>
  <c r="AC181" i="9" a="1"/>
  <c r="AC181" i="9" s="1"/>
  <c r="AJ181" i="9" s="1"/>
  <c r="AG177" i="9"/>
  <c r="AN177" i="9" s="1"/>
  <c r="AC177" i="9" a="1"/>
  <c r="AC177" i="9" s="1"/>
  <c r="AJ177" i="9" s="1"/>
  <c r="AE177" i="9"/>
  <c r="AL177" i="9" s="1"/>
  <c r="AI173" i="9"/>
  <c r="AP173" i="9" s="1"/>
  <c r="AC173" i="9" a="1"/>
  <c r="AC173" i="9" s="1"/>
  <c r="AJ173" i="9" s="1"/>
  <c r="AG173" i="9"/>
  <c r="AN173" i="9" s="1"/>
  <c r="AG169" i="9"/>
  <c r="AN169" i="9" s="1"/>
  <c r="AI169" i="9"/>
  <c r="AP169" i="9" s="1"/>
  <c r="AC165" i="9" a="1"/>
  <c r="AC165" i="9" s="1"/>
  <c r="AJ165" i="9" s="1"/>
  <c r="AG165" i="9"/>
  <c r="AN165" i="9" s="1"/>
  <c r="AI165" i="9"/>
  <c r="AP165" i="9" s="1"/>
  <c r="AG161" i="9"/>
  <c r="AN161" i="9" s="1"/>
  <c r="AC161" i="9" a="1"/>
  <c r="AC161" i="9" s="1"/>
  <c r="AJ161" i="9" s="1"/>
  <c r="AE161" i="9"/>
  <c r="AL161" i="9" s="1"/>
  <c r="AG157" i="9"/>
  <c r="AN157" i="9" s="1"/>
  <c r="AE157" i="9"/>
  <c r="AL157" i="9" s="1"/>
  <c r="AG153" i="9"/>
  <c r="AN153" i="9" s="1"/>
  <c r="AI153" i="9"/>
  <c r="AP153" i="9" s="1"/>
  <c r="AI149" i="9"/>
  <c r="AP149" i="9" s="1"/>
  <c r="AC149" i="9" a="1"/>
  <c r="AC149" i="9" s="1"/>
  <c r="AJ149" i="9" s="1"/>
  <c r="AE149" i="9"/>
  <c r="AL149" i="9" s="1"/>
  <c r="AI145" i="9"/>
  <c r="AP145" i="9" s="1"/>
  <c r="AG145" i="9"/>
  <c r="AN145" i="9" s="1"/>
  <c r="AI141" i="9"/>
  <c r="AP141" i="9" s="1"/>
  <c r="AC141" i="9" a="1"/>
  <c r="AC141" i="9" s="1"/>
  <c r="AJ141" i="9" s="1"/>
  <c r="AG141" i="9"/>
  <c r="AN141" i="9" s="1"/>
  <c r="AI137" i="9"/>
  <c r="AP137" i="9" s="1"/>
  <c r="AE137" i="9"/>
  <c r="AL137" i="9" s="1"/>
  <c r="AG133" i="9"/>
  <c r="AN133" i="9" s="1"/>
  <c r="AI133" i="9"/>
  <c r="AP133" i="9" s="1"/>
  <c r="AE133" i="9"/>
  <c r="AL133" i="9" s="1"/>
  <c r="AC129" i="9" a="1"/>
  <c r="AC129" i="9" s="1"/>
  <c r="AJ129" i="9" s="1"/>
  <c r="AI129" i="9"/>
  <c r="AP129" i="9" s="1"/>
  <c r="AG129" i="9"/>
  <c r="AN129" i="9" s="1"/>
  <c r="AI125" i="9"/>
  <c r="AP125" i="9" s="1"/>
  <c r="AG125" i="9"/>
  <c r="AN125" i="9" s="1"/>
  <c r="AC125" i="9" a="1"/>
  <c r="AC125" i="9" s="1"/>
  <c r="AJ125" i="9" s="1"/>
  <c r="AE125" i="9"/>
  <c r="AL125" i="9" s="1"/>
  <c r="AI121" i="9"/>
  <c r="AP121" i="9" s="1"/>
  <c r="AG121" i="9"/>
  <c r="AN121" i="9" s="1"/>
  <c r="AC121" i="9" a="1"/>
  <c r="AC121" i="9" s="1"/>
  <c r="AJ121" i="9" s="1"/>
  <c r="AI117" i="9"/>
  <c r="AP117" i="9" s="1"/>
  <c r="AG117" i="9"/>
  <c r="AN117" i="9" s="1"/>
  <c r="AC117" i="9" a="1"/>
  <c r="AC117" i="9" s="1"/>
  <c r="AJ117" i="9" s="1"/>
  <c r="AE117" i="9"/>
  <c r="AL117" i="9" s="1"/>
  <c r="AC113" i="9" a="1"/>
  <c r="AC113" i="9" s="1"/>
  <c r="AJ113" i="9" s="1"/>
  <c r="AI113" i="9"/>
  <c r="AP113" i="9" s="1"/>
  <c r="AG109" i="9"/>
  <c r="AN109" i="9" s="1"/>
  <c r="AI109" i="9"/>
  <c r="AP109" i="9" s="1"/>
  <c r="AC109" i="9" a="1"/>
  <c r="AC109" i="9" s="1"/>
  <c r="AJ109" i="9" s="1"/>
  <c r="AG105" i="9"/>
  <c r="AN105" i="9" s="1"/>
  <c r="AI105" i="9"/>
  <c r="AP105" i="9" s="1"/>
  <c r="AC105" i="9" a="1"/>
  <c r="AC105" i="9" s="1"/>
  <c r="AJ105" i="9" s="1"/>
  <c r="AE105" i="9"/>
  <c r="AL105" i="9" s="1"/>
  <c r="AI498" i="9"/>
  <c r="AP498" i="9" s="1"/>
  <c r="AC498" i="9" a="1"/>
  <c r="AC498" i="9" s="1"/>
  <c r="AJ498" i="9" s="1"/>
  <c r="AG498" i="9"/>
  <c r="AN498" i="9" s="1"/>
  <c r="AC496" i="9" a="1"/>
  <c r="AC496" i="9" s="1"/>
  <c r="AJ496" i="9" s="1"/>
  <c r="AI496" i="9"/>
  <c r="AP496" i="9" s="1"/>
  <c r="AI490" i="9"/>
  <c r="AP490" i="9" s="1"/>
  <c r="AC490" i="9" a="1"/>
  <c r="AC490" i="9" s="1"/>
  <c r="AJ490" i="9" s="1"/>
  <c r="AE490" i="9"/>
  <c r="AL490" i="9" s="1"/>
  <c r="AG488" i="9"/>
  <c r="AN488" i="9" s="1"/>
  <c r="AI488" i="9"/>
  <c r="AP488" i="9" s="1"/>
  <c r="AE488" i="9"/>
  <c r="AL488" i="9" s="1"/>
  <c r="AC482" i="9" a="1"/>
  <c r="AC482" i="9" s="1"/>
  <c r="AJ482" i="9" s="1"/>
  <c r="AI482" i="9"/>
  <c r="AP482" i="9" s="1"/>
  <c r="AC480" i="9" a="1"/>
  <c r="AC480" i="9" s="1"/>
  <c r="AJ480" i="9" s="1"/>
  <c r="AI480" i="9"/>
  <c r="AP480" i="9" s="1"/>
  <c r="AE480" i="9"/>
  <c r="AL480" i="9" s="1"/>
  <c r="AC474" i="9" a="1"/>
  <c r="AC474" i="9" s="1"/>
  <c r="AJ474" i="9" s="1"/>
  <c r="AG474" i="9"/>
  <c r="AN474" i="9" s="1"/>
  <c r="AI474" i="9"/>
  <c r="AP474" i="9" s="1"/>
  <c r="AE474" i="9"/>
  <c r="AL474" i="9" s="1"/>
  <c r="AC472" i="9" a="1"/>
  <c r="AC472" i="9" s="1"/>
  <c r="AJ472" i="9" s="1"/>
  <c r="AG472" i="9"/>
  <c r="AN472" i="9" s="1"/>
  <c r="AE472" i="9"/>
  <c r="AL472" i="9" s="1"/>
  <c r="AG466" i="9"/>
  <c r="AN466" i="9" s="1"/>
  <c r="AI466" i="9"/>
  <c r="AP466" i="9" s="1"/>
  <c r="AI464" i="9"/>
  <c r="AP464" i="9" s="1"/>
  <c r="AG464" i="9"/>
  <c r="AN464" i="9" s="1"/>
  <c r="AI458" i="9"/>
  <c r="AP458" i="9" s="1"/>
  <c r="AG458" i="9"/>
  <c r="AN458" i="9" s="1"/>
  <c r="AE458" i="9"/>
  <c r="AL458" i="9" s="1"/>
  <c r="AC456" i="9" a="1"/>
  <c r="AC456" i="9" s="1"/>
  <c r="AJ456" i="9" s="1"/>
  <c r="AI456" i="9"/>
  <c r="AP456" i="9" s="1"/>
  <c r="AG456" i="9"/>
  <c r="AN456" i="9" s="1"/>
  <c r="AE456" i="9"/>
  <c r="AL456" i="9" s="1"/>
  <c r="AI450" i="9"/>
  <c r="AP450" i="9" s="1"/>
  <c r="AG450" i="9"/>
  <c r="AN450" i="9" s="1"/>
  <c r="AC450" i="9" a="1"/>
  <c r="AC450" i="9" s="1"/>
  <c r="AJ450" i="9" s="1"/>
  <c r="AE450" i="9"/>
  <c r="AL450" i="9" s="1"/>
  <c r="AC448" i="9" a="1"/>
  <c r="AC448" i="9" s="1"/>
  <c r="AJ448" i="9" s="1"/>
  <c r="AI448" i="9"/>
  <c r="AP448" i="9" s="1"/>
  <c r="AG448" i="9"/>
  <c r="AN448" i="9" s="1"/>
  <c r="AI442" i="9"/>
  <c r="AP442" i="9" s="1"/>
  <c r="AG442" i="9"/>
  <c r="AN442" i="9" s="1"/>
  <c r="AC442" i="9" a="1"/>
  <c r="AC442" i="9" s="1"/>
  <c r="AJ442" i="9" s="1"/>
  <c r="AI440" i="9"/>
  <c r="AP440" i="9" s="1"/>
  <c r="AC440" i="9" a="1"/>
  <c r="AC440" i="9" s="1"/>
  <c r="AJ440" i="9" s="1"/>
  <c r="AI434" i="9"/>
  <c r="AP434" i="9" s="1"/>
  <c r="AE434" i="9"/>
  <c r="AL434" i="9" s="1"/>
  <c r="AI432" i="9"/>
  <c r="AP432" i="9" s="1"/>
  <c r="AC432" i="9" a="1"/>
  <c r="AC432" i="9" s="1"/>
  <c r="AJ432" i="9" s="1"/>
  <c r="AG426" i="9"/>
  <c r="AN426" i="9" s="1"/>
  <c r="AI426" i="9"/>
  <c r="AP426" i="9" s="1"/>
  <c r="AC426" i="9" a="1"/>
  <c r="AC426" i="9" s="1"/>
  <c r="AJ426" i="9" s="1"/>
  <c r="AE426" i="9"/>
  <c r="AL426" i="9" s="1"/>
  <c r="AI424" i="9"/>
  <c r="AP424" i="9" s="1"/>
  <c r="AG424" i="9"/>
  <c r="AN424" i="9" s="1"/>
  <c r="AI418" i="9"/>
  <c r="AP418" i="9" s="1"/>
  <c r="AG418" i="9"/>
  <c r="AN418" i="9" s="1"/>
  <c r="AE418" i="9"/>
  <c r="AL418" i="9" s="1"/>
  <c r="AI416" i="9"/>
  <c r="AP416" i="9" s="1"/>
  <c r="AC416" i="9" a="1"/>
  <c r="AC416" i="9" s="1"/>
  <c r="AJ416" i="9" s="1"/>
  <c r="AG416" i="9"/>
  <c r="AN416" i="9" s="1"/>
  <c r="AG410" i="9"/>
  <c r="AN410" i="9" s="1"/>
  <c r="AI410" i="9"/>
  <c r="AP410" i="9" s="1"/>
  <c r="AG408" i="9"/>
  <c r="AN408" i="9" s="1"/>
  <c r="AI408" i="9"/>
  <c r="AP408" i="9" s="1"/>
  <c r="AE408" i="9"/>
  <c r="AL408" i="9" s="1"/>
  <c r="AI402" i="9"/>
  <c r="AP402" i="9" s="1"/>
  <c r="AG402" i="9"/>
  <c r="AN402" i="9" s="1"/>
  <c r="AE402" i="9"/>
  <c r="AL402" i="9" s="1"/>
  <c r="AG400" i="9"/>
  <c r="AN400" i="9" s="1"/>
  <c r="AI400" i="9"/>
  <c r="AP400" i="9" s="1"/>
  <c r="AC394" i="9" a="1"/>
  <c r="AC394" i="9" s="1"/>
  <c r="AJ394" i="9" s="1"/>
  <c r="AG394" i="9"/>
  <c r="AN394" i="9" s="1"/>
  <c r="AI392" i="9"/>
  <c r="AP392" i="9" s="1"/>
  <c r="AG392" i="9"/>
  <c r="AN392" i="9" s="1"/>
  <c r="AC392" i="9" a="1"/>
  <c r="AC392" i="9" s="1"/>
  <c r="AJ392" i="9" s="1"/>
  <c r="AE392" i="9"/>
  <c r="AL392" i="9" s="1"/>
  <c r="AG386" i="9"/>
  <c r="AN386" i="9" s="1"/>
  <c r="AC386" i="9" a="1"/>
  <c r="AC386" i="9" s="1"/>
  <c r="AJ386" i="9" s="1"/>
  <c r="AI386" i="9"/>
  <c r="AP386" i="9" s="1"/>
  <c r="AE386" i="9"/>
  <c r="AL386" i="9" s="1"/>
  <c r="AC384" i="9" a="1"/>
  <c r="AC384" i="9" s="1"/>
  <c r="AJ384" i="9" s="1"/>
  <c r="AI384" i="9"/>
  <c r="AP384" i="9" s="1"/>
  <c r="AG384" i="9"/>
  <c r="AN384" i="9" s="1"/>
  <c r="AC378" i="9" a="1"/>
  <c r="AC378" i="9" s="1"/>
  <c r="AJ378" i="9" s="1"/>
  <c r="AG378" i="9"/>
  <c r="AN378" i="9" s="1"/>
  <c r="AI376" i="9"/>
  <c r="AP376" i="9" s="1"/>
  <c r="AC376" i="9" a="1"/>
  <c r="AC376" i="9" s="1"/>
  <c r="AJ376" i="9" s="1"/>
  <c r="AG376" i="9"/>
  <c r="AN376" i="9" s="1"/>
  <c r="AE376" i="9"/>
  <c r="AL376" i="9" s="1"/>
  <c r="AI370" i="9"/>
  <c r="AP370" i="9" s="1"/>
  <c r="AC370" i="9" a="1"/>
  <c r="AC370" i="9" s="1"/>
  <c r="AJ370" i="9" s="1"/>
  <c r="AG370" i="9"/>
  <c r="AN370" i="9" s="1"/>
  <c r="AE370" i="9"/>
  <c r="AL370" i="9" s="1"/>
  <c r="AC368" i="9" a="1"/>
  <c r="AC368" i="9" s="1"/>
  <c r="AJ368" i="9" s="1"/>
  <c r="AI368" i="9"/>
  <c r="AP368" i="9" s="1"/>
  <c r="AG368" i="9"/>
  <c r="AN368" i="9" s="1"/>
  <c r="AC362" i="9" a="1"/>
  <c r="AC362" i="9" s="1"/>
  <c r="AJ362" i="9" s="1"/>
  <c r="AC360" i="9" a="1"/>
  <c r="AC360" i="9" s="1"/>
  <c r="AJ360" i="9" s="1"/>
  <c r="AI360" i="9"/>
  <c r="AP360" i="9" s="1"/>
  <c r="AG360" i="9"/>
  <c r="AN360" i="9" s="1"/>
  <c r="AE360" i="9"/>
  <c r="AL360" i="9" s="1"/>
  <c r="AG354" i="9"/>
  <c r="AN354" i="9" s="1"/>
  <c r="AE354" i="9"/>
  <c r="AL354" i="9" s="1"/>
  <c r="AG352" i="9"/>
  <c r="AN352" i="9" s="1"/>
  <c r="AC352" i="9" a="1"/>
  <c r="AC352" i="9" s="1"/>
  <c r="AJ352" i="9" s="1"/>
  <c r="AG346" i="9"/>
  <c r="AN346" i="9" s="1"/>
  <c r="AI346" i="9"/>
  <c r="AP346" i="9" s="1"/>
  <c r="AE346" i="9"/>
  <c r="AL346" i="9" s="1"/>
  <c r="AG344" i="9"/>
  <c r="AN344" i="9" s="1"/>
  <c r="AC344" i="9" a="1"/>
  <c r="AC344" i="9" s="1"/>
  <c r="AJ344" i="9" s="1"/>
  <c r="AE344" i="9"/>
  <c r="AL344" i="9" s="1"/>
  <c r="AG338" i="9"/>
  <c r="AN338" i="9" s="1"/>
  <c r="AI338" i="9"/>
  <c r="AP338" i="9" s="1"/>
  <c r="AC338" i="9" a="1"/>
  <c r="AC338" i="9" s="1"/>
  <c r="AJ338" i="9" s="1"/>
  <c r="AG336" i="9"/>
  <c r="AN336" i="9" s="1"/>
  <c r="AC336" i="9" a="1"/>
  <c r="AC336" i="9" s="1"/>
  <c r="AJ336" i="9" s="1"/>
  <c r="AG330" i="9"/>
  <c r="AN330" i="9" s="1"/>
  <c r="AE330" i="9"/>
  <c r="AL330" i="9" s="1"/>
  <c r="AG328" i="9"/>
  <c r="AN328" i="9" s="1"/>
  <c r="AC328" i="9" a="1"/>
  <c r="AC328" i="9" s="1"/>
  <c r="AJ328" i="9" s="1"/>
  <c r="AE328" i="9"/>
  <c r="AL328" i="9" s="1"/>
  <c r="AG322" i="9"/>
  <c r="AN322" i="9" s="1"/>
  <c r="AC322" i="9" a="1"/>
  <c r="AC322" i="9" s="1"/>
  <c r="AJ322" i="9" s="1"/>
  <c r="AI322" i="9"/>
  <c r="AP322" i="9" s="1"/>
  <c r="AC320" i="9" a="1"/>
  <c r="AC320" i="9" s="1"/>
  <c r="AJ320" i="9" s="1"/>
  <c r="AI320" i="9"/>
  <c r="AP320" i="9" s="1"/>
  <c r="AG314" i="9"/>
  <c r="AN314" i="9" s="1"/>
  <c r="AC314" i="9" a="1"/>
  <c r="AC314" i="9" s="1"/>
  <c r="AJ314" i="9" s="1"/>
  <c r="AI314" i="9"/>
  <c r="AP314" i="9" s="1"/>
  <c r="AE314" i="9"/>
  <c r="AL314" i="9" s="1"/>
  <c r="AG312" i="9"/>
  <c r="AN312" i="9" s="1"/>
  <c r="AI312" i="9"/>
  <c r="AP312" i="9" s="1"/>
  <c r="AE312" i="9"/>
  <c r="AL312" i="9" s="1"/>
  <c r="AG306" i="9"/>
  <c r="AN306" i="9" s="1"/>
  <c r="AI306" i="9"/>
  <c r="AP306" i="9" s="1"/>
  <c r="AG304" i="9"/>
  <c r="AN304" i="9" s="1"/>
  <c r="AI304" i="9"/>
  <c r="AP304" i="9" s="1"/>
  <c r="AI298" i="9"/>
  <c r="AP298" i="9" s="1"/>
  <c r="AC298" i="9" a="1"/>
  <c r="AC298" i="9" s="1"/>
  <c r="AJ298" i="9" s="1"/>
  <c r="AE298" i="9"/>
  <c r="AL298" i="9" s="1"/>
  <c r="AC296" i="9" a="1"/>
  <c r="AC296" i="9" s="1"/>
  <c r="AJ296" i="9" s="1"/>
  <c r="AI296" i="9"/>
  <c r="AP296" i="9" s="1"/>
  <c r="AE296" i="9"/>
  <c r="AL296" i="9" s="1"/>
  <c r="AC290" i="9" a="1"/>
  <c r="AC290" i="9" s="1"/>
  <c r="AJ290" i="9" s="1"/>
  <c r="AG290" i="9"/>
  <c r="AN290" i="9" s="1"/>
  <c r="AC288" i="9" a="1"/>
  <c r="AC288" i="9" s="1"/>
  <c r="AJ288" i="9" s="1"/>
  <c r="AI288" i="9"/>
  <c r="AP288" i="9" s="1"/>
  <c r="AG288" i="9"/>
  <c r="AN288" i="9" s="1"/>
  <c r="AG282" i="9"/>
  <c r="AN282" i="9" s="1"/>
  <c r="AC282" i="9" a="1"/>
  <c r="AC282" i="9" s="1"/>
  <c r="AJ282" i="9" s="1"/>
  <c r="AE282" i="9"/>
  <c r="AL282" i="9" s="1"/>
  <c r="AI258" i="9"/>
  <c r="AP258" i="9" s="1"/>
  <c r="AG184" i="9"/>
  <c r="AN184" i="9" s="1"/>
  <c r="AC491" i="9" a="1"/>
  <c r="AC491" i="9" s="1"/>
  <c r="AJ491" i="9" s="1"/>
  <c r="AG451" i="9"/>
  <c r="AN451" i="9" s="1"/>
  <c r="AC379" i="9" a="1"/>
  <c r="AC379" i="9" s="1"/>
  <c r="AJ379" i="9" s="1"/>
  <c r="AI283" i="9"/>
  <c r="AP283" i="9" s="1"/>
  <c r="AC251" i="9" a="1"/>
  <c r="AC251" i="9" s="1"/>
  <c r="AJ251" i="9" s="1"/>
  <c r="AC223" i="9" a="1"/>
  <c r="AC223" i="9" s="1"/>
  <c r="AJ223" i="9" s="1"/>
  <c r="AI139" i="9"/>
  <c r="AP139" i="9" s="1"/>
  <c r="AD148" i="9"/>
  <c r="AF53" i="9"/>
  <c r="AM53" i="9" s="1"/>
  <c r="AD53" i="9"/>
  <c r="AK53" i="9" s="1"/>
  <c r="AV53" i="9" s="1"/>
  <c r="AD7" i="9"/>
  <c r="AK7" i="9" s="1"/>
  <c r="AV7" i="9" s="1"/>
  <c r="AD9" i="9"/>
  <c r="AD13" i="9"/>
  <c r="AD17" i="9"/>
  <c r="AD21" i="9"/>
  <c r="AK21" i="9" s="1"/>
  <c r="AV21" i="9" s="1"/>
  <c r="AD25" i="9"/>
  <c r="AK25" i="9" s="1"/>
  <c r="AV25" i="9" s="1"/>
  <c r="AD29" i="9"/>
  <c r="AK29" i="9" s="1"/>
  <c r="AV29" i="9" s="1"/>
  <c r="AD33" i="9"/>
  <c r="AK33" i="9" s="1"/>
  <c r="AV33" i="9" s="1"/>
  <c r="AD37" i="9"/>
  <c r="AK37" i="9" s="1"/>
  <c r="AV37" i="9" s="1"/>
  <c r="AD41" i="9"/>
  <c r="AK41" i="9" s="1"/>
  <c r="AV41" i="9" s="1"/>
  <c r="AD45" i="9"/>
  <c r="AQ45" i="9" s="1"/>
  <c r="AD49" i="9"/>
  <c r="AD54" i="9"/>
  <c r="AK54" i="9" s="1"/>
  <c r="AV54" i="9" s="1"/>
  <c r="AD58" i="9"/>
  <c r="AK58" i="9" s="1"/>
  <c r="AV58" i="9" s="1"/>
  <c r="AD62" i="9"/>
  <c r="AQ62" i="9" s="1"/>
  <c r="AD66" i="9"/>
  <c r="AD70" i="9"/>
  <c r="AK70" i="9" s="1"/>
  <c r="AV70" i="9" s="1"/>
  <c r="AD74" i="9"/>
  <c r="AQ74" i="9" s="1"/>
  <c r="AD78" i="9"/>
  <c r="AK78" i="9" s="1"/>
  <c r="AV78" i="9" s="1"/>
  <c r="AD82" i="9"/>
  <c r="AQ82" i="9" s="1"/>
  <c r="AD6" i="9"/>
  <c r="AK6" i="9" s="1"/>
  <c r="AV6" i="9" s="1"/>
  <c r="AD10" i="9"/>
  <c r="AD14" i="9"/>
  <c r="AD18" i="9"/>
  <c r="AD22" i="9"/>
  <c r="AK22" i="9" s="1"/>
  <c r="AV22" i="9" s="1"/>
  <c r="AD26" i="9"/>
  <c r="AD30" i="9"/>
  <c r="AK30" i="9" s="1"/>
  <c r="AV30" i="9" s="1"/>
  <c r="AD34" i="9"/>
  <c r="AD38" i="9"/>
  <c r="AD42" i="9"/>
  <c r="AK42" i="9" s="1"/>
  <c r="AV42" i="9" s="1"/>
  <c r="AD46" i="9"/>
  <c r="AD50" i="9"/>
  <c r="AD55" i="9"/>
  <c r="AK55" i="9" s="1"/>
  <c r="AV55" i="9" s="1"/>
  <c r="AD59" i="9"/>
  <c r="AD63" i="9"/>
  <c r="AD67" i="9"/>
  <c r="AQ67" i="9" s="1"/>
  <c r="AD71" i="9"/>
  <c r="AR71" i="9" s="1"/>
  <c r="AD75" i="9"/>
  <c r="AQ75" i="9" s="1"/>
  <c r="AD79" i="9"/>
  <c r="AQ79" i="9" s="1"/>
  <c r="AK255" i="9"/>
  <c r="AV255" i="9" s="1"/>
  <c r="AQ213" i="9"/>
  <c r="AQ281" i="9"/>
  <c r="AE9" i="9"/>
  <c r="AL9" i="9" s="1"/>
  <c r="AE45" i="9"/>
  <c r="AL45" i="9" s="1"/>
  <c r="AE7" i="9"/>
  <c r="AL7" i="9" s="1"/>
  <c r="AE67" i="9"/>
  <c r="AL67" i="9" s="1"/>
  <c r="AE22" i="9"/>
  <c r="AL22" i="9" s="1"/>
  <c r="AE63" i="9"/>
  <c r="AL63" i="9" s="1"/>
  <c r="AE20" i="9"/>
  <c r="AL20" i="9" s="1"/>
  <c r="AE26" i="9"/>
  <c r="AL26" i="9" s="1"/>
  <c r="AE58" i="9"/>
  <c r="AL58" i="9" s="1"/>
  <c r="AE5" i="9"/>
  <c r="AL5" i="9" s="1"/>
  <c r="AE33" i="9"/>
  <c r="AL33" i="9" s="1"/>
  <c r="AE65" i="9"/>
  <c r="AL65" i="9" s="1"/>
  <c r="AE77" i="9"/>
  <c r="AL77" i="9" s="1"/>
  <c r="AE28" i="9"/>
  <c r="AL28" i="9" s="1"/>
  <c r="AE60" i="9"/>
  <c r="AL60" i="9" s="1"/>
  <c r="AE38" i="9"/>
  <c r="AL38" i="9" s="1"/>
  <c r="AE70" i="9"/>
  <c r="AL70" i="9" s="1"/>
  <c r="AG72" i="9"/>
  <c r="AN72" i="9" s="1"/>
  <c r="AF82" i="9"/>
  <c r="AM82" i="9" s="1"/>
  <c r="AF70" i="9"/>
  <c r="AM70" i="9" s="1"/>
  <c r="AI50" i="9"/>
  <c r="AP50" i="9" s="1"/>
  <c r="AF46" i="9"/>
  <c r="AM46" i="9" s="1"/>
  <c r="AH78" i="9"/>
  <c r="AO78" i="9" s="1"/>
  <c r="AH32" i="9"/>
  <c r="AO32" i="9" s="1"/>
  <c r="AH48" i="9"/>
  <c r="AO48" i="9" s="1"/>
  <c r="AH64" i="9"/>
  <c r="AO64" i="9" s="1"/>
  <c r="AH80" i="9"/>
  <c r="AO80" i="9" s="1"/>
  <c r="AH36" i="9"/>
  <c r="AO36" i="9" s="1"/>
  <c r="AG78" i="9"/>
  <c r="AN78" i="9" s="1"/>
  <c r="AG82" i="9"/>
  <c r="AN82" i="9" s="1"/>
  <c r="AE4" i="9"/>
  <c r="AL4" i="9" s="1"/>
  <c r="AE11" i="9"/>
  <c r="AL11" i="9" s="1"/>
  <c r="AH42" i="9"/>
  <c r="AO42" i="9" s="1"/>
  <c r="AF60" i="9"/>
  <c r="AM60" i="9" s="1"/>
  <c r="AI66" i="9"/>
  <c r="AP66" i="9" s="1"/>
  <c r="AF16" i="9"/>
  <c r="AM16" i="9" s="1"/>
  <c r="AG34" i="9"/>
  <c r="AN34" i="9" s="1"/>
  <c r="AI40" i="9"/>
  <c r="AP40" i="9" s="1"/>
  <c r="AF42" i="9"/>
  <c r="AM42" i="9" s="1"/>
  <c r="AI64" i="9"/>
  <c r="AP64" i="9" s="1"/>
  <c r="AH34" i="9"/>
  <c r="AO34" i="9" s="1"/>
  <c r="AG81" i="9"/>
  <c r="AN81" i="9" s="1"/>
  <c r="AG50" i="9"/>
  <c r="AN50" i="9" s="1"/>
  <c r="AF36" i="9"/>
  <c r="AM36" i="9" s="1"/>
  <c r="AI46" i="9"/>
  <c r="AP46" i="9" s="1"/>
  <c r="AG44" i="9"/>
  <c r="AN44" i="9" s="1"/>
  <c r="AI76" i="9"/>
  <c r="AP76" i="9" s="1"/>
  <c r="AI35" i="9"/>
  <c r="AP35" i="9" s="1"/>
  <c r="AF35" i="9"/>
  <c r="AM35" i="9" s="1"/>
  <c r="AH69" i="9"/>
  <c r="AO69" i="9" s="1"/>
  <c r="AH18" i="9"/>
  <c r="AO18" i="9" s="1"/>
  <c r="AH6" i="9"/>
  <c r="AO6" i="9" s="1"/>
  <c r="AG63" i="9"/>
  <c r="AN63" i="9" s="1"/>
  <c r="AG19" i="9"/>
  <c r="AN19" i="9" s="1"/>
  <c r="AI69" i="9"/>
  <c r="AP69" i="9" s="1"/>
  <c r="AI33" i="9"/>
  <c r="AP33" i="9" s="1"/>
  <c r="AF59" i="9"/>
  <c r="AM59" i="9" s="1"/>
  <c r="AF33" i="9"/>
  <c r="AM33" i="9" s="1"/>
  <c r="AH67" i="9"/>
  <c r="AO67" i="9" s="1"/>
  <c r="AH41" i="9"/>
  <c r="AO41" i="9" s="1"/>
  <c r="AH7" i="9"/>
  <c r="AO7" i="9" s="1"/>
  <c r="AG18" i="9"/>
  <c r="AN18" i="9" s="1"/>
  <c r="AI59" i="9"/>
  <c r="AP59" i="9" s="1"/>
  <c r="AI17" i="9"/>
  <c r="AP17" i="9" s="1"/>
  <c r="AF13" i="9"/>
  <c r="AM13" i="9" s="1"/>
  <c r="AH81" i="9"/>
  <c r="AO81" i="9" s="1"/>
  <c r="AH39" i="9"/>
  <c r="AO39" i="9" s="1"/>
  <c r="AG6" i="9"/>
  <c r="AN6" i="9" s="1"/>
  <c r="AG49" i="9"/>
  <c r="AN49" i="9" s="1"/>
  <c r="AI20" i="9"/>
  <c r="AP20" i="9" s="1"/>
  <c r="AH71" i="9"/>
  <c r="AO71" i="9" s="1"/>
  <c r="AI15" i="9"/>
  <c r="AP15" i="9" s="1"/>
  <c r="AG27" i="9"/>
  <c r="AN27" i="9" s="1"/>
  <c r="AF73" i="9"/>
  <c r="AM73" i="9" s="1"/>
  <c r="AH63" i="9"/>
  <c r="AO63" i="9" s="1"/>
  <c r="AF9" i="9"/>
  <c r="AM9" i="9" s="1"/>
  <c r="AG47" i="9"/>
  <c r="AN47" i="9" s="1"/>
  <c r="AH45" i="9"/>
  <c r="AO45" i="9" s="1"/>
  <c r="AI29" i="9"/>
  <c r="AP29" i="9" s="1"/>
  <c r="AF77" i="9"/>
  <c r="AM77" i="9" s="1"/>
  <c r="AI13" i="9"/>
  <c r="AP13" i="9" s="1"/>
  <c r="AG25" i="9"/>
  <c r="AN25" i="9" s="1"/>
  <c r="AG51" i="9"/>
  <c r="AN51" i="9" s="1"/>
  <c r="AF71" i="9"/>
  <c r="AM71" i="9" s="1"/>
  <c r="AF81" i="9"/>
  <c r="AM81" i="9" s="1"/>
  <c r="AI37" i="9"/>
  <c r="AP37" i="9" s="1"/>
  <c r="AH79" i="9"/>
  <c r="AO79" i="9" s="1"/>
  <c r="AF45" i="9"/>
  <c r="AM45" i="9" s="1"/>
  <c r="AI43" i="9"/>
  <c r="AP43" i="9" s="1"/>
  <c r="AF63" i="9"/>
  <c r="AM63" i="9" s="1"/>
  <c r="I947" i="21"/>
  <c r="K615" i="21" a="1"/>
  <c r="K615" i="21" s="1"/>
  <c r="P615" i="21" s="1"/>
  <c r="P89" i="21"/>
  <c r="I53" i="21"/>
  <c r="P50" i="21"/>
  <c r="I35" i="21"/>
  <c r="I453" i="21"/>
  <c r="I116" i="21"/>
  <c r="P200" i="21"/>
  <c r="I61" i="21"/>
  <c r="AH47" i="9"/>
  <c r="AO47" i="9" s="1"/>
  <c r="AG5" i="9"/>
  <c r="AN5" i="9" s="1"/>
  <c r="AG43" i="9"/>
  <c r="AN43" i="9" s="1"/>
  <c r="AC23" i="9" a="1"/>
  <c r="AC23" i="9" s="1"/>
  <c r="AJ23" i="9" s="1"/>
  <c r="AC12" i="9" a="1"/>
  <c r="AC12" i="9" s="1"/>
  <c r="AJ12" i="9" s="1"/>
  <c r="AC44" i="9" a="1"/>
  <c r="AC44" i="9" s="1"/>
  <c r="AJ44" i="9" s="1"/>
  <c r="AC65" i="9" a="1"/>
  <c r="AC65" i="9" s="1"/>
  <c r="AJ65" i="9" s="1"/>
  <c r="AC70" i="9" a="1"/>
  <c r="AC70" i="9" s="1"/>
  <c r="AJ70" i="9" s="1"/>
  <c r="AC11" i="9" a="1"/>
  <c r="AC11" i="9" s="1"/>
  <c r="AJ11" i="9" s="1"/>
  <c r="AC59" i="9" a="1"/>
  <c r="AC59" i="9" s="1"/>
  <c r="AJ59" i="9" s="1"/>
  <c r="AC16" i="9" a="1"/>
  <c r="AC16" i="9" s="1"/>
  <c r="AJ16" i="9" s="1"/>
  <c r="AC36" i="9" a="1"/>
  <c r="AC36" i="9" s="1"/>
  <c r="AJ36" i="9" s="1"/>
  <c r="AC29" i="9" a="1"/>
  <c r="AC29" i="9" s="1"/>
  <c r="AJ29" i="9" s="1"/>
  <c r="AC80" i="9" a="1"/>
  <c r="AC80" i="9" s="1"/>
  <c r="AJ80" i="9" s="1"/>
  <c r="AC14" i="9" a="1"/>
  <c r="AC14" i="9" s="1"/>
  <c r="AJ14" i="9" s="1"/>
  <c r="AC71" i="9" a="1"/>
  <c r="AC71" i="9" s="1"/>
  <c r="AJ71" i="9" s="1"/>
  <c r="AC41" i="9" a="1"/>
  <c r="AC41" i="9" s="1"/>
  <c r="AJ41" i="9" s="1"/>
  <c r="AC21" i="9" a="1"/>
  <c r="AC21" i="9" s="1"/>
  <c r="AJ21" i="9" s="1"/>
  <c r="AC69" i="9" a="1"/>
  <c r="AC69" i="9" s="1"/>
  <c r="AJ69" i="9" s="1"/>
  <c r="AC64" i="9" a="1"/>
  <c r="AC64" i="9" s="1"/>
  <c r="AJ64" i="9" s="1"/>
  <c r="AC3" i="9" a="1"/>
  <c r="AC3" i="9" s="1"/>
  <c r="AJ3" i="9" s="1"/>
  <c r="AC47" i="9" a="1"/>
  <c r="AC47" i="9" s="1"/>
  <c r="AJ47" i="9" s="1"/>
  <c r="AC22" i="9" a="1"/>
  <c r="AC22" i="9" s="1"/>
  <c r="AJ22" i="9" s="1"/>
  <c r="AE93" i="9"/>
  <c r="AL93" i="9" s="1"/>
  <c r="AE169" i="9"/>
  <c r="AL169" i="9" s="1"/>
  <c r="AD119" i="9"/>
  <c r="AE183" i="9"/>
  <c r="AL183" i="9" s="1"/>
  <c r="AD241" i="9"/>
  <c r="AD257" i="9"/>
  <c r="AD273" i="9"/>
  <c r="AD289" i="9"/>
  <c r="AD305" i="9"/>
  <c r="AD321" i="9"/>
  <c r="AD337" i="9"/>
  <c r="AE446" i="9"/>
  <c r="AL446" i="9" s="1"/>
  <c r="AE214" i="9"/>
  <c r="AL214" i="9" s="1"/>
  <c r="AE138" i="9"/>
  <c r="AL138" i="9" s="1"/>
  <c r="AE164" i="9"/>
  <c r="AL164" i="9" s="1"/>
  <c r="AE244" i="9"/>
  <c r="AL244" i="9" s="1"/>
  <c r="AE276" i="9"/>
  <c r="AL276" i="9" s="1"/>
  <c r="AE308" i="9"/>
  <c r="AL308" i="9" s="1"/>
  <c r="AE368" i="9"/>
  <c r="AL368" i="9" s="1"/>
  <c r="AE400" i="9"/>
  <c r="AL400" i="9" s="1"/>
  <c r="AE437" i="9"/>
  <c r="AL437" i="9" s="1"/>
  <c r="AE476" i="9"/>
  <c r="AL476" i="9" s="1"/>
  <c r="AE484" i="9"/>
  <c r="AL484" i="9" s="1"/>
  <c r="AE129" i="9"/>
  <c r="AL129" i="9" s="1"/>
  <c r="AE243" i="9"/>
  <c r="AL243" i="9" s="1"/>
  <c r="AE275" i="9"/>
  <c r="AL275" i="9" s="1"/>
  <c r="AE307" i="9"/>
  <c r="AL307" i="9" s="1"/>
  <c r="AE323" i="9"/>
  <c r="AL323" i="9" s="1"/>
  <c r="AE339" i="9"/>
  <c r="AL339" i="9" s="1"/>
  <c r="AE212" i="9"/>
  <c r="AL212" i="9" s="1"/>
  <c r="AE86" i="9"/>
  <c r="AL86" i="9" s="1"/>
  <c r="AE158" i="9"/>
  <c r="AL158" i="9" s="1"/>
  <c r="AE192" i="9"/>
  <c r="AL192" i="9" s="1"/>
  <c r="AE290" i="9"/>
  <c r="AL290" i="9" s="1"/>
  <c r="AE322" i="9"/>
  <c r="AL322" i="9" s="1"/>
  <c r="AE358" i="9"/>
  <c r="AL358" i="9" s="1"/>
  <c r="AE390" i="9"/>
  <c r="AL390" i="9" s="1"/>
  <c r="AE445" i="9"/>
  <c r="AL445" i="9" s="1"/>
  <c r="AE492" i="9"/>
  <c r="AL492" i="9" s="1"/>
  <c r="AE141" i="9"/>
  <c r="AL141" i="9" s="1"/>
  <c r="AE495" i="9"/>
  <c r="AL495" i="9" s="1"/>
  <c r="AE475" i="9"/>
  <c r="AL475" i="9" s="1"/>
  <c r="AE467" i="9"/>
  <c r="AL467" i="9" s="1"/>
  <c r="AE345" i="9"/>
  <c r="AL345" i="9" s="1"/>
  <c r="AE89" i="9"/>
  <c r="AL89" i="9" s="1"/>
  <c r="AE153" i="9"/>
  <c r="AL153" i="9" s="1"/>
  <c r="AE447" i="9"/>
  <c r="AL447" i="9" s="1"/>
  <c r="AD143" i="9"/>
  <c r="AE485" i="9"/>
  <c r="AL485" i="9" s="1"/>
  <c r="AE102" i="9"/>
  <c r="AL102" i="9" s="1"/>
  <c r="AE140" i="9"/>
  <c r="AL140" i="9" s="1"/>
  <c r="AE194" i="9"/>
  <c r="AL194" i="9" s="1"/>
  <c r="AE288" i="9"/>
  <c r="AL288" i="9" s="1"/>
  <c r="AE320" i="9"/>
  <c r="AL320" i="9" s="1"/>
  <c r="AE356" i="9"/>
  <c r="AL356" i="9" s="1"/>
  <c r="AE388" i="9"/>
  <c r="AL388" i="9" s="1"/>
  <c r="AE342" i="9"/>
  <c r="AL342" i="9" s="1"/>
  <c r="AD408" i="9"/>
  <c r="AE464" i="9"/>
  <c r="AL464" i="9" s="1"/>
  <c r="AE482" i="9"/>
  <c r="AL482" i="9" s="1"/>
  <c r="AE145" i="9"/>
  <c r="AL145" i="9" s="1"/>
  <c r="AE217" i="9"/>
  <c r="AL217" i="9" s="1"/>
  <c r="AD444" i="9"/>
  <c r="AE203" i="9"/>
  <c r="AL203" i="9" s="1"/>
  <c r="AE497" i="9"/>
  <c r="AL497" i="9" s="1"/>
  <c r="AE88" i="9"/>
  <c r="AL88" i="9" s="1"/>
  <c r="AE136" i="9"/>
  <c r="AL136" i="9" s="1"/>
  <c r="AE162" i="9"/>
  <c r="AL162" i="9" s="1"/>
  <c r="AE196" i="9"/>
  <c r="AL196" i="9" s="1"/>
  <c r="AE254" i="9"/>
  <c r="AL254" i="9" s="1"/>
  <c r="AE286" i="9"/>
  <c r="AL286" i="9" s="1"/>
  <c r="AE318" i="9"/>
  <c r="AL318" i="9" s="1"/>
  <c r="AE362" i="9"/>
  <c r="AL362" i="9" s="1"/>
  <c r="AE394" i="9"/>
  <c r="AL394" i="9" s="1"/>
  <c r="AE410" i="9"/>
  <c r="AL410" i="9" s="1"/>
  <c r="AE478" i="9"/>
  <c r="AL478" i="9" s="1"/>
  <c r="AD125" i="9"/>
  <c r="AD477" i="9"/>
  <c r="AD469" i="9"/>
  <c r="AD461" i="9"/>
  <c r="AD438" i="9"/>
  <c r="AD430" i="9"/>
  <c r="AD422" i="9"/>
  <c r="AD399" i="9"/>
  <c r="AD375" i="9"/>
  <c r="AD149" i="9"/>
  <c r="AD105" i="9"/>
  <c r="AD341" i="9"/>
  <c r="AD449" i="9"/>
  <c r="AD135" i="9"/>
  <c r="AD206" i="9"/>
  <c r="AE84" i="9"/>
  <c r="AL84" i="9" s="1"/>
  <c r="AD150" i="9"/>
  <c r="AD198" i="9"/>
  <c r="AD252" i="9"/>
  <c r="AD284" i="9"/>
  <c r="AD316" i="9"/>
  <c r="AD360" i="9"/>
  <c r="AD392" i="9"/>
  <c r="AD346" i="9"/>
  <c r="AE452" i="9"/>
  <c r="AL452" i="9" s="1"/>
  <c r="AD494" i="9"/>
  <c r="AE500" i="9"/>
  <c r="AL500" i="9" s="1"/>
  <c r="AD193" i="9"/>
  <c r="AD215" i="9"/>
  <c r="AD204" i="9"/>
  <c r="AE100" i="9"/>
  <c r="AL100" i="9" s="1"/>
  <c r="AD250" i="9"/>
  <c r="AD282" i="9"/>
  <c r="AD314" i="9"/>
  <c r="AD366" i="9"/>
  <c r="AD398" i="9"/>
  <c r="AD427" i="9"/>
  <c r="AD450" i="9"/>
  <c r="AD474" i="9"/>
  <c r="AD117" i="9"/>
  <c r="AE436" i="9"/>
  <c r="AL436" i="9" s="1"/>
  <c r="AE428" i="9"/>
  <c r="AL428" i="9" s="1"/>
  <c r="AE420" i="9"/>
  <c r="AL420" i="9" s="1"/>
  <c r="AD405" i="9"/>
  <c r="AD397" i="9"/>
  <c r="AD389" i="9"/>
  <c r="AD381" i="9"/>
  <c r="AD373" i="9"/>
  <c r="AD365" i="9"/>
  <c r="AD357" i="9"/>
  <c r="AD189" i="9"/>
  <c r="AD491" i="9"/>
  <c r="AE127" i="9"/>
  <c r="AL127" i="9" s="1"/>
  <c r="AD191" i="9"/>
  <c r="AE245" i="9"/>
  <c r="AL245" i="9" s="1"/>
  <c r="AE261" i="9"/>
  <c r="AL261" i="9" s="1"/>
  <c r="AE277" i="9"/>
  <c r="AL277" i="9" s="1"/>
  <c r="AE293" i="9"/>
  <c r="AL293" i="9" s="1"/>
  <c r="AE309" i="9"/>
  <c r="AL309" i="9" s="1"/>
  <c r="AD351" i="9"/>
  <c r="AE501" i="9"/>
  <c r="AL501" i="9" s="1"/>
  <c r="AE116" i="9"/>
  <c r="AL116" i="9" s="1"/>
  <c r="AD232" i="9"/>
  <c r="AD296" i="9"/>
  <c r="AD328" i="9"/>
  <c r="AD380" i="9"/>
  <c r="AD350" i="9"/>
  <c r="AD433" i="9"/>
  <c r="AD456" i="9"/>
  <c r="AD490" i="9"/>
  <c r="AD85" i="9"/>
  <c r="AD205" i="9"/>
  <c r="AD221" i="9"/>
  <c r="AD349" i="9"/>
  <c r="AE91" i="9"/>
  <c r="AL91" i="9" s="1"/>
  <c r="AD311" i="9"/>
  <c r="AD409" i="9"/>
  <c r="AE96" i="9"/>
  <c r="AL96" i="9" s="1"/>
  <c r="AD124" i="9"/>
  <c r="AD142" i="9"/>
  <c r="AD188" i="9"/>
  <c r="AD246" i="9"/>
  <c r="AD278" i="9"/>
  <c r="AD310" i="9"/>
  <c r="AD354" i="9"/>
  <c r="AD386" i="9"/>
  <c r="AD344" i="9"/>
  <c r="AD439" i="9"/>
  <c r="AD470" i="9"/>
  <c r="AC403" i="9" a="1"/>
  <c r="AC403" i="9" s="1"/>
  <c r="AJ403" i="9" s="1"/>
  <c r="AC133" i="9" a="1"/>
  <c r="AC133" i="9" s="1"/>
  <c r="AJ133" i="9" s="1"/>
  <c r="AC493" i="9" a="1"/>
  <c r="AC493" i="9" s="1"/>
  <c r="AJ493" i="9" s="1"/>
  <c r="AC153" i="9" a="1"/>
  <c r="AC153" i="9" s="1"/>
  <c r="AJ153" i="9" s="1"/>
  <c r="AC453" i="9" a="1"/>
  <c r="AC453" i="9" s="1"/>
  <c r="AJ453" i="9" s="1"/>
  <c r="AC299" i="9" a="1"/>
  <c r="AC299" i="9" s="1"/>
  <c r="AJ299" i="9" s="1"/>
  <c r="AC468" i="9" a="1"/>
  <c r="AC468" i="9" s="1"/>
  <c r="AJ468" i="9" s="1"/>
  <c r="AG393" i="9"/>
  <c r="AN393" i="9" s="1"/>
  <c r="AG373" i="9"/>
  <c r="AN373" i="9" s="1"/>
  <c r="AG353" i="9"/>
  <c r="AN353" i="9" s="1"/>
  <c r="AC455" i="9" a="1"/>
  <c r="AC455" i="9" s="1"/>
  <c r="AJ455" i="9" s="1"/>
  <c r="AC157" i="9" a="1"/>
  <c r="AC157" i="9" s="1"/>
  <c r="AJ157" i="9" s="1"/>
  <c r="AG476" i="9"/>
  <c r="AN476" i="9" s="1"/>
  <c r="AC464" i="9" a="1"/>
  <c r="AC464" i="9" s="1"/>
  <c r="AJ464" i="9" s="1"/>
  <c r="AC393" i="9" a="1"/>
  <c r="AC393" i="9" s="1"/>
  <c r="AJ393" i="9" s="1"/>
  <c r="AC361" i="9" a="1"/>
  <c r="AC361" i="9" s="1"/>
  <c r="AJ361" i="9" s="1"/>
  <c r="AG214" i="9"/>
  <c r="AN214" i="9" s="1"/>
  <c r="AG309" i="9"/>
  <c r="AN309" i="9" s="1"/>
  <c r="AG277" i="9"/>
  <c r="AN277" i="9" s="1"/>
  <c r="AG181" i="9"/>
  <c r="AN181" i="9" s="1"/>
  <c r="AI447" i="9"/>
  <c r="AP447" i="9" s="1"/>
  <c r="AC436" i="9" a="1"/>
  <c r="AC436" i="9" s="1"/>
  <c r="AJ436" i="9" s="1"/>
  <c r="AG397" i="9"/>
  <c r="AN397" i="9" s="1"/>
  <c r="AG365" i="9"/>
  <c r="AN365" i="9" s="1"/>
  <c r="AC306" i="9" a="1"/>
  <c r="AC306" i="9" s="1"/>
  <c r="AJ306" i="9" s="1"/>
  <c r="AG491" i="9"/>
  <c r="AN491" i="9" s="1"/>
  <c r="AC293" i="9" a="1"/>
  <c r="AC293" i="9" s="1"/>
  <c r="AJ293" i="9" s="1"/>
  <c r="AC501" i="9" a="1"/>
  <c r="AC501" i="9" s="1"/>
  <c r="AJ501" i="9" s="1"/>
  <c r="AC312" i="9" a="1"/>
  <c r="AC312" i="9" s="1"/>
  <c r="AJ312" i="9" s="1"/>
  <c r="AG434" i="9"/>
  <c r="AN434" i="9" s="1"/>
  <c r="AG172" i="9"/>
  <c r="AN172" i="9" s="1"/>
  <c r="AG84" i="9"/>
  <c r="AN84" i="9" s="1"/>
  <c r="AI417" i="9"/>
  <c r="AP417" i="9" s="1"/>
  <c r="AI354" i="9"/>
  <c r="AP354" i="9" s="1"/>
  <c r="AI282" i="9"/>
  <c r="AP282" i="9" s="1"/>
  <c r="AI243" i="9"/>
  <c r="AP243" i="9" s="1"/>
  <c r="AI223" i="9"/>
  <c r="AP223" i="9" s="1"/>
  <c r="AI130" i="9"/>
  <c r="AP130" i="9" s="1"/>
  <c r="AF428" i="9"/>
  <c r="AM428" i="9" s="1"/>
  <c r="AF357" i="9"/>
  <c r="AM357" i="9" s="1"/>
  <c r="AF344" i="9"/>
  <c r="AM344" i="9" s="1"/>
  <c r="AF336" i="9"/>
  <c r="AM336" i="9" s="1"/>
  <c r="AF304" i="9"/>
  <c r="AM304" i="9" s="1"/>
  <c r="AF272" i="9"/>
  <c r="AM272" i="9" s="1"/>
  <c r="AF218" i="9"/>
  <c r="AM218" i="9" s="1"/>
  <c r="AF138" i="9"/>
  <c r="AM138" i="9" s="1"/>
  <c r="AF187" i="9"/>
  <c r="AM187" i="9" s="1"/>
  <c r="AF130" i="9"/>
  <c r="AM130" i="9" s="1"/>
  <c r="AH457" i="9"/>
  <c r="AO457" i="9" s="1"/>
  <c r="AH458" i="9"/>
  <c r="AO458" i="9" s="1"/>
  <c r="AH428" i="9"/>
  <c r="AO428" i="9" s="1"/>
  <c r="AH417" i="9"/>
  <c r="AO417" i="9" s="1"/>
  <c r="AH373" i="9"/>
  <c r="AO373" i="9" s="1"/>
  <c r="AH406" i="9"/>
  <c r="AO406" i="9" s="1"/>
  <c r="AH293" i="9"/>
  <c r="AO293" i="9" s="1"/>
  <c r="AH298" i="9"/>
  <c r="AO298" i="9" s="1"/>
  <c r="AC97" i="9" a="1"/>
  <c r="AC97" i="9" s="1"/>
  <c r="AJ97" i="9" s="1"/>
  <c r="AI328" i="9"/>
  <c r="AP328" i="9" s="1"/>
  <c r="AC364" i="9" a="1"/>
  <c r="AC364" i="9" s="1"/>
  <c r="AJ364" i="9" s="1"/>
  <c r="AC380" i="9" a="1"/>
  <c r="AC380" i="9" s="1"/>
  <c r="AJ380" i="9" s="1"/>
  <c r="AG396" i="9"/>
  <c r="AN396" i="9" s="1"/>
  <c r="AI356" i="9"/>
  <c r="AP356" i="9" s="1"/>
  <c r="AI404" i="9"/>
  <c r="AP404" i="9" s="1"/>
  <c r="AC410" i="9" a="1"/>
  <c r="AC410" i="9" s="1"/>
  <c r="AJ410" i="9" s="1"/>
  <c r="AI452" i="9"/>
  <c r="AP452" i="9" s="1"/>
  <c r="AI472" i="9"/>
  <c r="AP472" i="9" s="1"/>
  <c r="AI468" i="9"/>
  <c r="AP468" i="9" s="1"/>
  <c r="AG482" i="9"/>
  <c r="AN482" i="9" s="1"/>
  <c r="AG502" i="9"/>
  <c r="AN502" i="9" s="1"/>
  <c r="AI161" i="9"/>
  <c r="AP161" i="9" s="1"/>
  <c r="AI177" i="9"/>
  <c r="AP177" i="9" s="1"/>
  <c r="AC213" i="9" a="1"/>
  <c r="AC213" i="9" s="1"/>
  <c r="AJ213" i="9" s="1"/>
  <c r="AG244" i="9"/>
  <c r="AN244" i="9" s="1"/>
  <c r="AG292" i="9"/>
  <c r="AN292" i="9" s="1"/>
  <c r="AG349" i="9"/>
  <c r="AN349" i="9" s="1"/>
  <c r="AC255" i="9" a="1"/>
  <c r="AC255" i="9" s="1"/>
  <c r="AJ255" i="9" s="1"/>
  <c r="AF457" i="9"/>
  <c r="AM457" i="9" s="1"/>
  <c r="AF473" i="9"/>
  <c r="AM473" i="9" s="1"/>
  <c r="AF446" i="9"/>
  <c r="AM446" i="9" s="1"/>
  <c r="AC100" i="9" a="1"/>
  <c r="AC100" i="9" s="1"/>
  <c r="AJ100" i="9" s="1"/>
  <c r="AI84" i="9"/>
  <c r="AP84" i="9" s="1"/>
  <c r="AI99" i="9"/>
  <c r="AP99" i="9" s="1"/>
  <c r="AG118" i="9"/>
  <c r="AN118" i="9" s="1"/>
  <c r="AC164" i="9" a="1"/>
  <c r="AC164" i="9" s="1"/>
  <c r="AJ164" i="9" s="1"/>
  <c r="AC182" i="9" a="1"/>
  <c r="AC182" i="9" s="1"/>
  <c r="AJ182" i="9" s="1"/>
  <c r="AI180" i="9"/>
  <c r="AP180" i="9" s="1"/>
  <c r="AG294" i="9"/>
  <c r="AN294" i="9" s="1"/>
  <c r="AG320" i="9"/>
  <c r="AN320" i="9" s="1"/>
  <c r="AG236" i="9"/>
  <c r="AN236" i="9" s="1"/>
  <c r="AG284" i="9"/>
  <c r="AN284" i="9" s="1"/>
  <c r="AI332" i="9"/>
  <c r="AP332" i="9" s="1"/>
  <c r="AF386" i="9"/>
  <c r="AM386" i="9" s="1"/>
  <c r="AI344" i="9"/>
  <c r="AP344" i="9" s="1"/>
  <c r="AG342" i="9"/>
  <c r="AN342" i="9" s="1"/>
  <c r="AC421" i="9" a="1"/>
  <c r="AC421" i="9" s="1"/>
  <c r="AJ421" i="9" s="1"/>
  <c r="AC412" i="9" a="1"/>
  <c r="AC412" i="9" s="1"/>
  <c r="AJ412" i="9" s="1"/>
  <c r="AC441" i="9" a="1"/>
  <c r="AC441" i="9" s="1"/>
  <c r="AJ441" i="9" s="1"/>
  <c r="AG470" i="9"/>
  <c r="AN470" i="9" s="1"/>
  <c r="AC488" i="9" a="1"/>
  <c r="AC488" i="9" s="1"/>
  <c r="AJ488" i="9" s="1"/>
  <c r="AF498" i="9"/>
  <c r="AM498" i="9" s="1"/>
  <c r="AI500" i="9"/>
  <c r="AP500" i="9" s="1"/>
  <c r="AC169" i="9" a="1"/>
  <c r="AC169" i="9" s="1"/>
  <c r="AJ169" i="9" s="1"/>
  <c r="AG422" i="9"/>
  <c r="AN422" i="9" s="1"/>
  <c r="AC253" i="9" a="1"/>
  <c r="AC253" i="9" s="1"/>
  <c r="AJ253" i="9" s="1"/>
  <c r="AI290" i="9"/>
  <c r="AP290" i="9" s="1"/>
  <c r="AC466" i="9" a="1"/>
  <c r="AC466" i="9" s="1"/>
  <c r="AJ466" i="9" s="1"/>
  <c r="AC434" i="9" a="1"/>
  <c r="AC434" i="9" s="1"/>
  <c r="AJ434" i="9" s="1"/>
  <c r="AG374" i="9"/>
  <c r="AN374" i="9" s="1"/>
  <c r="AI489" i="9"/>
  <c r="AP489" i="9" s="1"/>
  <c r="AG362" i="9"/>
  <c r="AN362" i="9" s="1"/>
  <c r="AF469" i="9"/>
  <c r="AM469" i="9" s="1"/>
  <c r="AH461" i="9"/>
  <c r="AO461" i="9" s="1"/>
  <c r="AC348" i="9" a="1"/>
  <c r="AC348" i="9" s="1"/>
  <c r="AJ348" i="9" s="1"/>
  <c r="AI362" i="9"/>
  <c r="AP362" i="9" s="1"/>
  <c r="AF341" i="9"/>
  <c r="AM341" i="9" s="1"/>
  <c r="AI342" i="9"/>
  <c r="AP342" i="9" s="1"/>
  <c r="AI345" i="9"/>
  <c r="AP345" i="9" s="1"/>
  <c r="AF393" i="9"/>
  <c r="AM393" i="9" s="1"/>
  <c r="AC87" i="9" a="1"/>
  <c r="AC87" i="9" s="1"/>
  <c r="AJ87" i="9" s="1"/>
  <c r="AI273" i="9"/>
  <c r="AP273" i="9" s="1"/>
  <c r="AG329" i="9"/>
  <c r="AN329" i="9" s="1"/>
  <c r="AC98" i="9" a="1"/>
  <c r="AC98" i="9" s="1"/>
  <c r="AJ98" i="9" s="1"/>
  <c r="AI302" i="9"/>
  <c r="AP302" i="9" s="1"/>
  <c r="AI422" i="9"/>
  <c r="AP422" i="9" s="1"/>
  <c r="AF177" i="9"/>
  <c r="AM177" i="9" s="1"/>
  <c r="AI214" i="9"/>
  <c r="AP214" i="9" s="1"/>
  <c r="AF102" i="9"/>
  <c r="AM102" i="9" s="1"/>
  <c r="AH136" i="9"/>
  <c r="AO136" i="9" s="1"/>
  <c r="AH88" i="9"/>
  <c r="AO88" i="9" s="1"/>
  <c r="AH338" i="9"/>
  <c r="AO338" i="9" s="1"/>
  <c r="AH204" i="9"/>
  <c r="AO204" i="9" s="1"/>
  <c r="AI352" i="9"/>
  <c r="AP352" i="9" s="1"/>
  <c r="AC222" i="9" a="1"/>
  <c r="AC222" i="9" s="1"/>
  <c r="AJ222" i="9" s="1"/>
  <c r="AG137" i="9"/>
  <c r="AN137" i="9" s="1"/>
  <c r="AI217" i="9"/>
  <c r="AP217" i="9" s="1"/>
  <c r="AF273" i="9"/>
  <c r="AM273" i="9" s="1"/>
  <c r="AF388" i="9"/>
  <c r="AM388" i="9" s="1"/>
  <c r="AH105" i="9"/>
  <c r="AO105" i="9" s="1"/>
  <c r="AH268" i="9"/>
  <c r="AO268" i="9" s="1"/>
  <c r="AI349" i="9"/>
  <c r="AP349" i="9" s="1"/>
  <c r="AI378" i="9"/>
  <c r="AP378" i="9" s="1"/>
  <c r="AF305" i="9"/>
  <c r="AM305" i="9" s="1"/>
  <c r="J115" i="21" a="1"/>
  <c r="J115" i="21" s="1"/>
  <c r="L89" i="21"/>
  <c r="AC280" i="9" a="1"/>
  <c r="AC280" i="9" s="1"/>
  <c r="AJ280" i="9" s="1"/>
  <c r="AG274" i="9"/>
  <c r="AN274" i="9" s="1"/>
  <c r="AI274" i="9"/>
  <c r="AP274" i="9" s="1"/>
  <c r="AG272" i="9"/>
  <c r="AN272" i="9" s="1"/>
  <c r="AG266" i="9"/>
  <c r="AN266" i="9" s="1"/>
  <c r="AC264" i="9" a="1"/>
  <c r="AC264" i="9" s="1"/>
  <c r="AJ264" i="9" s="1"/>
  <c r="AI264" i="9"/>
  <c r="AP264" i="9" s="1"/>
  <c r="AC256" i="9" a="1"/>
  <c r="AC256" i="9" s="1"/>
  <c r="AJ256" i="9" s="1"/>
  <c r="AI256" i="9"/>
  <c r="AP256" i="9" s="1"/>
  <c r="AG250" i="9"/>
  <c r="AN250" i="9" s="1"/>
  <c r="AC250" i="9" a="1"/>
  <c r="AC250" i="9" s="1"/>
  <c r="AJ250" i="9" s="1"/>
  <c r="AI250" i="9"/>
  <c r="AP250" i="9" s="1"/>
  <c r="AG248" i="9"/>
  <c r="AN248" i="9" s="1"/>
  <c r="AG242" i="9"/>
  <c r="AN242" i="9" s="1"/>
  <c r="AG240" i="9"/>
  <c r="AN240" i="9" s="1"/>
  <c r="AI234" i="9"/>
  <c r="AP234" i="9" s="1"/>
  <c r="AC232" i="9" a="1"/>
  <c r="AC232" i="9" s="1"/>
  <c r="AJ232" i="9" s="1"/>
  <c r="AI232" i="9"/>
  <c r="AP232" i="9" s="1"/>
  <c r="AI226" i="9"/>
  <c r="AP226" i="9" s="1"/>
  <c r="AG226" i="9"/>
  <c r="AN226" i="9" s="1"/>
  <c r="AG224" i="9"/>
  <c r="AN224" i="9" s="1"/>
  <c r="AC224" i="9" a="1"/>
  <c r="AC224" i="9" s="1"/>
  <c r="AJ224" i="9" s="1"/>
  <c r="AC218" i="9" a="1"/>
  <c r="AC218" i="9" s="1"/>
  <c r="AJ218" i="9" s="1"/>
  <c r="AI218" i="9"/>
  <c r="AP218" i="9" s="1"/>
  <c r="AG216" i="9"/>
  <c r="AN216" i="9" s="1"/>
  <c r="AI210" i="9"/>
  <c r="AP210" i="9" s="1"/>
  <c r="AC210" i="9" a="1"/>
  <c r="AC210" i="9" s="1"/>
  <c r="AJ210" i="9" s="1"/>
  <c r="AG208" i="9"/>
  <c r="AN208" i="9" s="1"/>
  <c r="AI202" i="9"/>
  <c r="AP202" i="9" s="1"/>
  <c r="AC202" i="9" a="1"/>
  <c r="AC202" i="9" s="1"/>
  <c r="AJ202" i="9" s="1"/>
  <c r="AG200" i="9"/>
  <c r="AN200" i="9" s="1"/>
  <c r="AI200" i="9"/>
  <c r="AP200" i="9" s="1"/>
  <c r="AC200" i="9" a="1"/>
  <c r="AC200" i="9" s="1"/>
  <c r="AJ200" i="9" s="1"/>
  <c r="AI194" i="9"/>
  <c r="AP194" i="9" s="1"/>
  <c r="AG194" i="9"/>
  <c r="AN194" i="9" s="1"/>
  <c r="AC192" i="9" a="1"/>
  <c r="AC192" i="9" s="1"/>
  <c r="AJ192" i="9" s="1"/>
  <c r="AI192" i="9"/>
  <c r="AP192" i="9" s="1"/>
  <c r="AC186" i="9" a="1"/>
  <c r="AC186" i="9" s="1"/>
  <c r="AJ186" i="9" s="1"/>
  <c r="AI186" i="9"/>
  <c r="AP186" i="9" s="1"/>
  <c r="AG186" i="9"/>
  <c r="AN186" i="9" s="1"/>
  <c r="AG178" i="9"/>
  <c r="AN178" i="9" s="1"/>
  <c r="AI176" i="9"/>
  <c r="AP176" i="9" s="1"/>
  <c r="AI170" i="9"/>
  <c r="AP170" i="9" s="1"/>
  <c r="AG168" i="9"/>
  <c r="AN168" i="9" s="1"/>
  <c r="AI168" i="9"/>
  <c r="AP168" i="9" s="1"/>
  <c r="AG162" i="9"/>
  <c r="AN162" i="9" s="1"/>
  <c r="AI162" i="9"/>
  <c r="AP162" i="9" s="1"/>
  <c r="AG160" i="9"/>
  <c r="AN160" i="9" s="1"/>
  <c r="AC160" i="9" a="1"/>
  <c r="AC160" i="9" s="1"/>
  <c r="AJ160" i="9" s="1"/>
  <c r="AI154" i="9"/>
  <c r="AP154" i="9" s="1"/>
  <c r="AG154" i="9"/>
  <c r="AN154" i="9" s="1"/>
  <c r="AC152" i="9" a="1"/>
  <c r="AC152" i="9" s="1"/>
  <c r="AJ152" i="9" s="1"/>
  <c r="AG152" i="9"/>
  <c r="AN152" i="9" s="1"/>
  <c r="AI146" i="9"/>
  <c r="AP146" i="9" s="1"/>
  <c r="AG146" i="9"/>
  <c r="AN146" i="9" s="1"/>
  <c r="AI144" i="9"/>
  <c r="AP144" i="9" s="1"/>
  <c r="AC138" i="9" a="1"/>
  <c r="AC138" i="9" s="1"/>
  <c r="AJ138" i="9" s="1"/>
  <c r="AI138" i="9"/>
  <c r="AP138" i="9" s="1"/>
  <c r="AI136" i="9"/>
  <c r="AP136" i="9" s="1"/>
  <c r="AC130" i="9" a="1"/>
  <c r="AC130" i="9" s="1"/>
  <c r="AJ130" i="9" s="1"/>
  <c r="AG128" i="9"/>
  <c r="AN128" i="9" s="1"/>
  <c r="AG122" i="9"/>
  <c r="AN122" i="9" s="1"/>
  <c r="AC122" i="9" a="1"/>
  <c r="AC122" i="9" s="1"/>
  <c r="AJ122" i="9" s="1"/>
  <c r="AI122" i="9"/>
  <c r="AP122" i="9" s="1"/>
  <c r="AC120" i="9" a="1"/>
  <c r="AC120" i="9" s="1"/>
  <c r="AJ120" i="9" s="1"/>
  <c r="AC114" i="9" a="1"/>
  <c r="AC114" i="9" s="1"/>
  <c r="AJ114" i="9" s="1"/>
  <c r="AI114" i="9"/>
  <c r="AP114" i="9" s="1"/>
  <c r="AC112" i="9" a="1"/>
  <c r="AC112" i="9" s="1"/>
  <c r="AJ112" i="9" s="1"/>
  <c r="AG112" i="9"/>
  <c r="AN112" i="9" s="1"/>
  <c r="AI106" i="9"/>
  <c r="AP106" i="9" s="1"/>
  <c r="AC106" i="9" a="1"/>
  <c r="AC106" i="9" s="1"/>
  <c r="AJ106" i="9" s="1"/>
  <c r="AG106" i="9"/>
  <c r="AN106" i="9" s="1"/>
  <c r="AC104" i="9" a="1"/>
  <c r="AC104" i="9" s="1"/>
  <c r="AJ104" i="9" s="1"/>
  <c r="AI499" i="9"/>
  <c r="AP499" i="9" s="1"/>
  <c r="AG499" i="9"/>
  <c r="AN499" i="9" s="1"/>
  <c r="AI495" i="9"/>
  <c r="AP495" i="9" s="1"/>
  <c r="AC495" i="9" a="1"/>
  <c r="AC495" i="9" s="1"/>
  <c r="AJ495" i="9" s="1"/>
  <c r="AI487" i="9"/>
  <c r="AP487" i="9" s="1"/>
  <c r="AG483" i="9"/>
  <c r="AN483" i="9" s="1"/>
  <c r="AI479" i="9"/>
  <c r="AP479" i="9" s="1"/>
  <c r="AG479" i="9"/>
  <c r="AN479" i="9" s="1"/>
  <c r="AG475" i="9"/>
  <c r="AN475" i="9" s="1"/>
  <c r="AI475" i="9"/>
  <c r="AP475" i="9" s="1"/>
  <c r="AI471" i="9"/>
  <c r="AP471" i="9" s="1"/>
  <c r="AI467" i="9"/>
  <c r="AP467" i="9" s="1"/>
  <c r="AG467" i="9"/>
  <c r="AN467" i="9" s="1"/>
  <c r="AC463" i="9" a="1"/>
  <c r="AC463" i="9" s="1"/>
  <c r="AJ463" i="9" s="1"/>
  <c r="AI463" i="9"/>
  <c r="AP463" i="9" s="1"/>
  <c r="AG459" i="9"/>
  <c r="AN459" i="9" s="1"/>
  <c r="AI455" i="9"/>
  <c r="AP455" i="9" s="1"/>
  <c r="AC443" i="9" a="1"/>
  <c r="AC443" i="9" s="1"/>
  <c r="AJ443" i="9" s="1"/>
  <c r="AI443" i="9"/>
  <c r="AP443" i="9" s="1"/>
  <c r="AC439" i="9" a="1"/>
  <c r="AC439" i="9" s="1"/>
  <c r="AJ439" i="9" s="1"/>
  <c r="AI439" i="9"/>
  <c r="AP439" i="9" s="1"/>
  <c r="AI435" i="9"/>
  <c r="AP435" i="9" s="1"/>
  <c r="AC431" i="9" a="1"/>
  <c r="AC431" i="9" s="1"/>
  <c r="AJ431" i="9" s="1"/>
  <c r="AG427" i="9"/>
  <c r="AN427" i="9" s="1"/>
  <c r="AC423" i="9" a="1"/>
  <c r="AC423" i="9" s="1"/>
  <c r="AJ423" i="9" s="1"/>
  <c r="AI423" i="9"/>
  <c r="AP423" i="9" s="1"/>
  <c r="AG419" i="9"/>
  <c r="AN419" i="9" s="1"/>
  <c r="AC419" i="9" a="1"/>
  <c r="AC419" i="9" s="1"/>
  <c r="AJ419" i="9" s="1"/>
  <c r="AC415" i="9" a="1"/>
  <c r="AC415" i="9" s="1"/>
  <c r="AJ415" i="9" s="1"/>
  <c r="AI415" i="9"/>
  <c r="AP415" i="9" s="1"/>
  <c r="AG411" i="9"/>
  <c r="AN411" i="9" s="1"/>
  <c r="AI411" i="9"/>
  <c r="AP411" i="9" s="1"/>
  <c r="AG407" i="9"/>
  <c r="AN407" i="9" s="1"/>
  <c r="AG403" i="9"/>
  <c r="AN403" i="9" s="1"/>
  <c r="AI403" i="9"/>
  <c r="AP403" i="9" s="1"/>
  <c r="AG399" i="9"/>
  <c r="AN399" i="9" s="1"/>
  <c r="AI399" i="9"/>
  <c r="AP399" i="9" s="1"/>
  <c r="AG395" i="9"/>
  <c r="AN395" i="9" s="1"/>
  <c r="AC391" i="9" a="1"/>
  <c r="AC391" i="9" s="1"/>
  <c r="AJ391" i="9" s="1"/>
  <c r="AG387" i="9"/>
  <c r="AN387" i="9" s="1"/>
  <c r="AI387" i="9"/>
  <c r="AP387" i="9" s="1"/>
  <c r="AC383" i="9" a="1"/>
  <c r="AC383" i="9" s="1"/>
  <c r="AJ383" i="9" s="1"/>
  <c r="AG383" i="9"/>
  <c r="AN383" i="9" s="1"/>
  <c r="AG375" i="9"/>
  <c r="AN375" i="9" s="1"/>
  <c r="AI375" i="9"/>
  <c r="AP375" i="9" s="1"/>
  <c r="AG371" i="9"/>
  <c r="AN371" i="9" s="1"/>
  <c r="AI371" i="9"/>
  <c r="AP371" i="9" s="1"/>
  <c r="AG367" i="9"/>
  <c r="AN367" i="9" s="1"/>
  <c r="AC367" i="9" a="1"/>
  <c r="AC367" i="9" s="1"/>
  <c r="AJ367" i="9" s="1"/>
  <c r="AG363" i="9"/>
  <c r="AN363" i="9" s="1"/>
  <c r="AG359" i="9"/>
  <c r="AN359" i="9" s="1"/>
  <c r="AI359" i="9"/>
  <c r="AP359" i="9" s="1"/>
  <c r="AG355" i="9"/>
  <c r="AN355" i="9" s="1"/>
  <c r="AI355" i="9"/>
  <c r="AP355" i="9" s="1"/>
  <c r="AI351" i="9"/>
  <c r="AP351" i="9" s="1"/>
  <c r="AG351" i="9"/>
  <c r="AN351" i="9" s="1"/>
  <c r="AC351" i="9" a="1"/>
  <c r="AC351" i="9" s="1"/>
  <c r="AJ351" i="9" s="1"/>
  <c r="AG347" i="9"/>
  <c r="AN347" i="9" s="1"/>
  <c r="AC343" i="9" a="1"/>
  <c r="AC343" i="9" s="1"/>
  <c r="AJ343" i="9" s="1"/>
  <c r="AI343" i="9"/>
  <c r="AP343" i="9" s="1"/>
  <c r="AI339" i="9"/>
  <c r="AP339" i="9" s="1"/>
  <c r="AI335" i="9"/>
  <c r="AP335" i="9" s="1"/>
  <c r="AC335" i="9" a="1"/>
  <c r="AC335" i="9" s="1"/>
  <c r="AJ335" i="9" s="1"/>
  <c r="AG331" i="9"/>
  <c r="AN331" i="9" s="1"/>
  <c r="AG327" i="9"/>
  <c r="AN327" i="9" s="1"/>
  <c r="AI327" i="9"/>
  <c r="AP327" i="9" s="1"/>
  <c r="AI323" i="9"/>
  <c r="AP323" i="9" s="1"/>
  <c r="AC323" i="9" a="1"/>
  <c r="AC323" i="9" s="1"/>
  <c r="AJ323" i="9" s="1"/>
  <c r="AI319" i="9"/>
  <c r="AP319" i="9" s="1"/>
  <c r="AC319" i="9" a="1"/>
  <c r="AC319" i="9" s="1"/>
  <c r="AJ319" i="9" s="1"/>
  <c r="AI315" i="9"/>
  <c r="AP315" i="9" s="1"/>
  <c r="AI311" i="9"/>
  <c r="AP311" i="9" s="1"/>
  <c r="AG307" i="9"/>
  <c r="AN307" i="9" s="1"/>
  <c r="AG303" i="9"/>
  <c r="AN303" i="9" s="1"/>
  <c r="AI303" i="9"/>
  <c r="AP303" i="9" s="1"/>
  <c r="AG299" i="9"/>
  <c r="AN299" i="9" s="1"/>
  <c r="AC295" i="9" a="1"/>
  <c r="AC295" i="9" s="1"/>
  <c r="AJ295" i="9" s="1"/>
  <c r="AI295" i="9"/>
  <c r="AP295" i="9" s="1"/>
  <c r="AI291" i="9"/>
  <c r="AP291" i="9" s="1"/>
  <c r="AC291" i="9" a="1"/>
  <c r="AC291" i="9" s="1"/>
  <c r="AJ291" i="9" s="1"/>
  <c r="AI287" i="9"/>
  <c r="AP287" i="9" s="1"/>
  <c r="AG287" i="9"/>
  <c r="AN287" i="9" s="1"/>
  <c r="AI279" i="9"/>
  <c r="AP279" i="9" s="1"/>
  <c r="AC279" i="9" a="1"/>
  <c r="AC279" i="9" s="1"/>
  <c r="AJ279" i="9" s="1"/>
  <c r="AG275" i="9"/>
  <c r="AN275" i="9" s="1"/>
  <c r="AG271" i="9"/>
  <c r="AN271" i="9" s="1"/>
  <c r="AI271" i="9"/>
  <c r="AP271" i="9" s="1"/>
  <c r="AG267" i="9"/>
  <c r="AN267" i="9" s="1"/>
  <c r="AG263" i="9"/>
  <c r="AN263" i="9" s="1"/>
  <c r="AI263" i="9"/>
  <c r="AP263" i="9" s="1"/>
  <c r="AI259" i="9"/>
  <c r="AP259" i="9" s="1"/>
  <c r="AG259" i="9"/>
  <c r="AN259" i="9" s="1"/>
  <c r="AG255" i="9"/>
  <c r="AN255" i="9" s="1"/>
  <c r="AC247" i="9" a="1"/>
  <c r="AC247" i="9" s="1"/>
  <c r="AJ247" i="9" s="1"/>
  <c r="AI247" i="9"/>
  <c r="AP247" i="9" s="1"/>
  <c r="AG243" i="9"/>
  <c r="AN243" i="9" s="1"/>
  <c r="AI239" i="9"/>
  <c r="AP239" i="9" s="1"/>
  <c r="AG239" i="9"/>
  <c r="AN239" i="9" s="1"/>
  <c r="AG235" i="9"/>
  <c r="AN235" i="9" s="1"/>
  <c r="AC231" i="9" a="1"/>
  <c r="AC231" i="9" s="1"/>
  <c r="AJ231" i="9" s="1"/>
  <c r="AI231" i="9"/>
  <c r="AP231" i="9" s="1"/>
  <c r="AI227" i="9"/>
  <c r="AP227" i="9" s="1"/>
  <c r="AG219" i="9"/>
  <c r="AN219" i="9" s="1"/>
  <c r="AI219" i="9"/>
  <c r="AP219" i="9" s="1"/>
  <c r="AC219" i="9" a="1"/>
  <c r="AC219" i="9" s="1"/>
  <c r="AJ219" i="9" s="1"/>
  <c r="AI215" i="9"/>
  <c r="AP215" i="9" s="1"/>
  <c r="AI211" i="9"/>
  <c r="AP211" i="9" s="1"/>
  <c r="AG211" i="9"/>
  <c r="AN211" i="9" s="1"/>
  <c r="AG207" i="9"/>
  <c r="AN207" i="9" s="1"/>
  <c r="AI203" i="9"/>
  <c r="AP203" i="9" s="1"/>
  <c r="AI199" i="9"/>
  <c r="AP199" i="9" s="1"/>
  <c r="AG199" i="9"/>
  <c r="AN199" i="9" s="1"/>
  <c r="AC199" i="9" a="1"/>
  <c r="AC199" i="9" s="1"/>
  <c r="AJ199" i="9" s="1"/>
  <c r="AG195" i="9"/>
  <c r="AN195" i="9" s="1"/>
  <c r="AI195" i="9"/>
  <c r="AP195" i="9" s="1"/>
  <c r="AG191" i="9"/>
  <c r="AN191" i="9" s="1"/>
  <c r="AI187" i="9"/>
  <c r="AP187" i="9" s="1"/>
  <c r="AG183" i="9"/>
  <c r="AN183" i="9" s="1"/>
  <c r="AC183" i="9" a="1"/>
  <c r="AC183" i="9" s="1"/>
  <c r="AJ183" i="9" s="1"/>
  <c r="AC179" i="9" a="1"/>
  <c r="AC179" i="9" s="1"/>
  <c r="AJ179" i="9" s="1"/>
  <c r="AI179" i="9"/>
  <c r="AP179" i="9" s="1"/>
  <c r="AG179" i="9"/>
  <c r="AN179" i="9" s="1"/>
  <c r="AG175" i="9"/>
  <c r="AN175" i="9" s="1"/>
  <c r="AI171" i="9"/>
  <c r="AP171" i="9" s="1"/>
  <c r="AC171" i="9" a="1"/>
  <c r="AC171" i="9" s="1"/>
  <c r="AJ171" i="9" s="1"/>
  <c r="AI167" i="9"/>
  <c r="AP167" i="9" s="1"/>
  <c r="AI163" i="9"/>
  <c r="AP163" i="9" s="1"/>
  <c r="AC163" i="9" a="1"/>
  <c r="AC163" i="9" s="1"/>
  <c r="AJ163" i="9" s="1"/>
  <c r="AG163" i="9"/>
  <c r="AN163" i="9" s="1"/>
  <c r="AI159" i="9"/>
  <c r="AP159" i="9" s="1"/>
  <c r="AC155" i="9" a="1"/>
  <c r="AC155" i="9" s="1"/>
  <c r="AJ155" i="9" s="1"/>
  <c r="AI155" i="9"/>
  <c r="AP155" i="9" s="1"/>
  <c r="AG151" i="9"/>
  <c r="AN151" i="9" s="1"/>
  <c r="AI151" i="9"/>
  <c r="AP151" i="9" s="1"/>
  <c r="AC147" i="9" a="1"/>
  <c r="AC147" i="9" s="1"/>
  <c r="AJ147" i="9" s="1"/>
  <c r="AI143" i="9"/>
  <c r="AP143" i="9" s="1"/>
  <c r="AI135" i="9"/>
  <c r="AP135" i="9" s="1"/>
  <c r="AC135" i="9" a="1"/>
  <c r="AC135" i="9" s="1"/>
  <c r="AJ135" i="9" s="1"/>
  <c r="AC131" i="9" a="1"/>
  <c r="AC131" i="9" s="1"/>
  <c r="AJ131" i="9" s="1"/>
  <c r="AI131" i="9"/>
  <c r="AP131" i="9" s="1"/>
  <c r="AG127" i="9"/>
  <c r="AN127" i="9" s="1"/>
  <c r="AI127" i="9"/>
  <c r="AP127" i="9" s="1"/>
  <c r="AG123" i="9"/>
  <c r="AN123" i="9" s="1"/>
  <c r="AC123" i="9" a="1"/>
  <c r="AC123" i="9" s="1"/>
  <c r="AJ123" i="9" s="1"/>
  <c r="AG119" i="9"/>
  <c r="AN119" i="9" s="1"/>
  <c r="AC115" i="9" a="1"/>
  <c r="AC115" i="9" s="1"/>
  <c r="AJ115" i="9" s="1"/>
  <c r="AI115" i="9"/>
  <c r="AP115" i="9" s="1"/>
  <c r="AI111" i="9"/>
  <c r="AP111" i="9" s="1"/>
  <c r="AG111" i="9"/>
  <c r="AN111" i="9" s="1"/>
  <c r="AI107" i="9"/>
  <c r="AP107" i="9" s="1"/>
  <c r="AG103" i="9"/>
  <c r="AN103" i="9" s="1"/>
  <c r="AI103" i="9"/>
  <c r="AP103" i="9" s="1"/>
  <c r="AC103" i="9" a="1"/>
  <c r="AC103" i="9" s="1"/>
  <c r="AJ103" i="9" s="1"/>
  <c r="AF163" i="9"/>
  <c r="AM163" i="9" s="1"/>
  <c r="AF206" i="9"/>
  <c r="AM206" i="9" s="1"/>
  <c r="AF483" i="9"/>
  <c r="AM483" i="9" s="1"/>
  <c r="AF136" i="9"/>
  <c r="AM136" i="9" s="1"/>
  <c r="AF226" i="9"/>
  <c r="AM226" i="9" s="1"/>
  <c r="AF411" i="9"/>
  <c r="AM411" i="9" s="1"/>
  <c r="AF131" i="9"/>
  <c r="AM131" i="9" s="1"/>
  <c r="AF83" i="9"/>
  <c r="AM83" i="9" s="1"/>
  <c r="AF207" i="9"/>
  <c r="AM207" i="9" s="1"/>
  <c r="AF173" i="9"/>
  <c r="AM173" i="9" s="1"/>
  <c r="AF326" i="9"/>
  <c r="AM326" i="9" s="1"/>
  <c r="AF294" i="9"/>
  <c r="AM294" i="9" s="1"/>
  <c r="AF262" i="9"/>
  <c r="AM262" i="9" s="1"/>
  <c r="AF362" i="9"/>
  <c r="AM362" i="9" s="1"/>
  <c r="AF189" i="9"/>
  <c r="AM189" i="9" s="1"/>
  <c r="AF254" i="9"/>
  <c r="AM254" i="9" s="1"/>
  <c r="AF194" i="9"/>
  <c r="AM194" i="9" s="1"/>
  <c r="AF124" i="9"/>
  <c r="AM124" i="9" s="1"/>
  <c r="AF278" i="9"/>
  <c r="AM278" i="9" s="1"/>
  <c r="AF144" i="9"/>
  <c r="AM144" i="9" s="1"/>
  <c r="AF214" i="9"/>
  <c r="AM214" i="9" s="1"/>
  <c r="AF141" i="9"/>
  <c r="AM141" i="9" s="1"/>
  <c r="AF286" i="9"/>
  <c r="AM286" i="9" s="1"/>
  <c r="AF424" i="9"/>
  <c r="AM424" i="9" s="1"/>
  <c r="AF378" i="9"/>
  <c r="AM378" i="9" s="1"/>
  <c r="AF232" i="9"/>
  <c r="AM232" i="9" s="1"/>
  <c r="AF204" i="9"/>
  <c r="AM204" i="9" s="1"/>
  <c r="AF160" i="9"/>
  <c r="AM160" i="9" s="1"/>
  <c r="AF98" i="9"/>
  <c r="AM98" i="9" s="1"/>
  <c r="AF143" i="9"/>
  <c r="AM143" i="9" s="1"/>
  <c r="AF121" i="9"/>
  <c r="AM121" i="9" s="1"/>
  <c r="AF89" i="9"/>
  <c r="AM89" i="9" s="1"/>
  <c r="AF455" i="9"/>
  <c r="AM455" i="9" s="1"/>
  <c r="AF237" i="9"/>
  <c r="AM237" i="9" s="1"/>
  <c r="AF242" i="9"/>
  <c r="AM242" i="9" s="1"/>
  <c r="AF195" i="9"/>
  <c r="AM195" i="9" s="1"/>
  <c r="AF152" i="9"/>
  <c r="AM152" i="9" s="1"/>
  <c r="AF222" i="9"/>
  <c r="AM222" i="9" s="1"/>
  <c r="AF179" i="9"/>
  <c r="AM179" i="9" s="1"/>
  <c r="AF190" i="9"/>
  <c r="AM190" i="9" s="1"/>
  <c r="AF265" i="9"/>
  <c r="AM265" i="9" s="1"/>
  <c r="AF169" i="9"/>
  <c r="AM169" i="9" s="1"/>
  <c r="AF449" i="9"/>
  <c r="AM449" i="9" s="1"/>
  <c r="AF437" i="9"/>
  <c r="AM437" i="9" s="1"/>
  <c r="AF340" i="9"/>
  <c r="AM340" i="9" s="1"/>
  <c r="AF247" i="9"/>
  <c r="AM247" i="9" s="1"/>
  <c r="AF116" i="9"/>
  <c r="AM116" i="9" s="1"/>
  <c r="AF212" i="9"/>
  <c r="AM212" i="9" s="1"/>
  <c r="AF149" i="9"/>
  <c r="AM149" i="9" s="1"/>
  <c r="AF168" i="9"/>
  <c r="AM168" i="9" s="1"/>
  <c r="AF302" i="9"/>
  <c r="AM302" i="9" s="1"/>
  <c r="AF180" i="9"/>
  <c r="AM180" i="9" s="1"/>
  <c r="AF329" i="9"/>
  <c r="AM329" i="9" s="1"/>
  <c r="AF183" i="9"/>
  <c r="AM183" i="9" s="1"/>
  <c r="AF120" i="9"/>
  <c r="AM120" i="9" s="1"/>
  <c r="AF208" i="9"/>
  <c r="AM208" i="9" s="1"/>
  <c r="AF201" i="9"/>
  <c r="AM201" i="9" s="1"/>
  <c r="AF140" i="9"/>
  <c r="AM140" i="9" s="1"/>
  <c r="AF139" i="9"/>
  <c r="AM139" i="9" s="1"/>
  <c r="AF108" i="9"/>
  <c r="AM108" i="9" s="1"/>
  <c r="AF285" i="9"/>
  <c r="AM285" i="9" s="1"/>
  <c r="AF227" i="9"/>
  <c r="AM227" i="9" s="1"/>
  <c r="AF97" i="9"/>
  <c r="AM97" i="9" s="1"/>
  <c r="AF321" i="9"/>
  <c r="AM321" i="9" s="1"/>
  <c r="AF255" i="9"/>
  <c r="AM255" i="9" s="1"/>
  <c r="AF234" i="9"/>
  <c r="AM234" i="9" s="1"/>
  <c r="AF200" i="9"/>
  <c r="AM200" i="9" s="1"/>
  <c r="AF166" i="9"/>
  <c r="AM166" i="9" s="1"/>
  <c r="AF224" i="9"/>
  <c r="AM224" i="9" s="1"/>
  <c r="AF223" i="9"/>
  <c r="AM223" i="9" s="1"/>
  <c r="AF113" i="9"/>
  <c r="AM113" i="9" s="1"/>
  <c r="AF90" i="9"/>
  <c r="AM90" i="9" s="1"/>
  <c r="AF153" i="9"/>
  <c r="AM153" i="9" s="1"/>
  <c r="AF293" i="9"/>
  <c r="AM293" i="9" s="1"/>
  <c r="AF404" i="9"/>
  <c r="AM404" i="9" s="1"/>
  <c r="AF372" i="9"/>
  <c r="AM372" i="9" s="1"/>
  <c r="AF325" i="9"/>
  <c r="AM325" i="9" s="1"/>
  <c r="AF337" i="9"/>
  <c r="AM337" i="9" s="1"/>
  <c r="AF313" i="9"/>
  <c r="AM313" i="9" s="1"/>
  <c r="AF297" i="9"/>
  <c r="AM297" i="9" s="1"/>
  <c r="AF409" i="9"/>
  <c r="AM409" i="9" s="1"/>
  <c r="AF442" i="9"/>
  <c r="AM442" i="9" s="1"/>
  <c r="AF289" i="9"/>
  <c r="AM289" i="9" s="1"/>
  <c r="AF463" i="9"/>
  <c r="AM463" i="9" s="1"/>
  <c r="AF251" i="9"/>
  <c r="AM251" i="9" s="1"/>
  <c r="AF211" i="9"/>
  <c r="AM211" i="9" s="1"/>
  <c r="AF248" i="9"/>
  <c r="AM248" i="9" s="1"/>
  <c r="AF216" i="9"/>
  <c r="AM216" i="9" s="1"/>
  <c r="AF128" i="9"/>
  <c r="AM128" i="9" s="1"/>
  <c r="AF447" i="9"/>
  <c r="AM447" i="9" s="1"/>
  <c r="AF309" i="9"/>
  <c r="AM309" i="9" s="1"/>
  <c r="AF88" i="9"/>
  <c r="AM88" i="9" s="1"/>
  <c r="AF118" i="9"/>
  <c r="AM118" i="9" s="1"/>
  <c r="AF117" i="9"/>
  <c r="AM117" i="9" s="1"/>
  <c r="AF94" i="9"/>
  <c r="AM94" i="9" s="1"/>
  <c r="AF202" i="9"/>
  <c r="AM202" i="9" s="1"/>
  <c r="AF365" i="9"/>
  <c r="AM365" i="9" s="1"/>
  <c r="AF420" i="9"/>
  <c r="AM420" i="9" s="1"/>
  <c r="AF501" i="9"/>
  <c r="AM501" i="9" s="1"/>
  <c r="AF496" i="9"/>
  <c r="AM496" i="9" s="1"/>
  <c r="AF448" i="9"/>
  <c r="AM448" i="9" s="1"/>
  <c r="AF275" i="9"/>
  <c r="AM275" i="9" s="1"/>
  <c r="AF243" i="9"/>
  <c r="AM243" i="9" s="1"/>
  <c r="AF338" i="9"/>
  <c r="AM338" i="9" s="1"/>
  <c r="AF274" i="9"/>
  <c r="AM274" i="9" s="1"/>
  <c r="AF110" i="9"/>
  <c r="AM110" i="9" s="1"/>
  <c r="AF333" i="9"/>
  <c r="AM333" i="9" s="1"/>
  <c r="AF301" i="9"/>
  <c r="AM301" i="9" s="1"/>
  <c r="AF162" i="9"/>
  <c r="AM162" i="9" s="1"/>
  <c r="AF433" i="9"/>
  <c r="AM433" i="9" s="1"/>
  <c r="AF414" i="9"/>
  <c r="AM414" i="9" s="1"/>
  <c r="AF86" i="9"/>
  <c r="AM86" i="9" s="1"/>
  <c r="AF263" i="9"/>
  <c r="AM263" i="9" s="1"/>
  <c r="AF228" i="9"/>
  <c r="AM228" i="9" s="1"/>
  <c r="AF271" i="9"/>
  <c r="AM271" i="9" s="1"/>
  <c r="AF239" i="9"/>
  <c r="AM239" i="9" s="1"/>
  <c r="AF298" i="9"/>
  <c r="AM298" i="9" s="1"/>
  <c r="AF188" i="9"/>
  <c r="AM188" i="9" s="1"/>
  <c r="AF478" i="9"/>
  <c r="AM478" i="9" s="1"/>
  <c r="AF430" i="9"/>
  <c r="AM430" i="9" s="1"/>
  <c r="AF422" i="9"/>
  <c r="AM422" i="9" s="1"/>
  <c r="AF413" i="9"/>
  <c r="AM413" i="9" s="1"/>
  <c r="AF322" i="9"/>
  <c r="AM322" i="9" s="1"/>
  <c r="AF290" i="9"/>
  <c r="AM290" i="9" s="1"/>
  <c r="AF258" i="9"/>
  <c r="AM258" i="9" s="1"/>
  <c r="AF238" i="9"/>
  <c r="AM238" i="9" s="1"/>
  <c r="AF192" i="9"/>
  <c r="AM192" i="9" s="1"/>
  <c r="AF184" i="9"/>
  <c r="AM184" i="9" s="1"/>
  <c r="AF150" i="9"/>
  <c r="AM150" i="9" s="1"/>
  <c r="AF185" i="9"/>
  <c r="AM185" i="9" s="1"/>
  <c r="AF115" i="9"/>
  <c r="AM115" i="9" s="1"/>
  <c r="AF100" i="9"/>
  <c r="AM100" i="9" s="1"/>
  <c r="AF461" i="9"/>
  <c r="AM461" i="9" s="1"/>
  <c r="AF257" i="9"/>
  <c r="AM257" i="9" s="1"/>
  <c r="AF219" i="9"/>
  <c r="AM219" i="9" s="1"/>
  <c r="AF203" i="9"/>
  <c r="AM203" i="9" s="1"/>
  <c r="AF171" i="9"/>
  <c r="AM171" i="9" s="1"/>
  <c r="AF231" i="9"/>
  <c r="AM231" i="9" s="1"/>
  <c r="AF225" i="9"/>
  <c r="AM225" i="9" s="1"/>
  <c r="AF209" i="9"/>
  <c r="AM209" i="9" s="1"/>
  <c r="AF495" i="9"/>
  <c r="AM495" i="9" s="1"/>
  <c r="AF479" i="9"/>
  <c r="AM479" i="9" s="1"/>
  <c r="AF445" i="9"/>
  <c r="AM445" i="9" s="1"/>
  <c r="AF376" i="9"/>
  <c r="AM376" i="9" s="1"/>
  <c r="AF360" i="9"/>
  <c r="AM360" i="9" s="1"/>
  <c r="AF345" i="9"/>
  <c r="AM345" i="9" s="1"/>
  <c r="AF287" i="9"/>
  <c r="AM287" i="9" s="1"/>
  <c r="AF398" i="9"/>
  <c r="AM398" i="9" s="1"/>
  <c r="AF366" i="9"/>
  <c r="AM366" i="9" s="1"/>
  <c r="AF240" i="9"/>
  <c r="AM240" i="9" s="1"/>
  <c r="AF181" i="9"/>
  <c r="AM181" i="9" s="1"/>
  <c r="AF233" i="9"/>
  <c r="AM233" i="9" s="1"/>
  <c r="AF217" i="9"/>
  <c r="AM217" i="9" s="1"/>
  <c r="AF310" i="9"/>
  <c r="AM310" i="9" s="1"/>
  <c r="AF241" i="9"/>
  <c r="AM241" i="9" s="1"/>
  <c r="AF318" i="9"/>
  <c r="AM318" i="9" s="1"/>
  <c r="AF122" i="9"/>
  <c r="AM122" i="9" s="1"/>
  <c r="AF421" i="9"/>
  <c r="AM421" i="9" s="1"/>
  <c r="AF178" i="9"/>
  <c r="AM178" i="9" s="1"/>
  <c r="AF381" i="9"/>
  <c r="AM381" i="9" s="1"/>
  <c r="AF148" i="9"/>
  <c r="AM148" i="9" s="1"/>
  <c r="AF356" i="9"/>
  <c r="AM356" i="9" s="1"/>
  <c r="AF416" i="9"/>
  <c r="AM416" i="9" s="1"/>
  <c r="AF471" i="9"/>
  <c r="AM471" i="9" s="1"/>
  <c r="AF174" i="9"/>
  <c r="AM174" i="9" s="1"/>
  <c r="AF112" i="9"/>
  <c r="AM112" i="9" s="1"/>
  <c r="AF101" i="9"/>
  <c r="AM101" i="9" s="1"/>
  <c r="AF186" i="9"/>
  <c r="AM186" i="9" s="1"/>
  <c r="AF397" i="9"/>
  <c r="AM397" i="9" s="1"/>
  <c r="AF267" i="9"/>
  <c r="AM267" i="9" s="1"/>
  <c r="AF235" i="9"/>
  <c r="AM235" i="9" s="1"/>
  <c r="AF104" i="9"/>
  <c r="AM104" i="9" s="1"/>
  <c r="AF119" i="9"/>
  <c r="AM119" i="9" s="1"/>
  <c r="AF210" i="9"/>
  <c r="AM210" i="9" s="1"/>
  <c r="AF253" i="9"/>
  <c r="AM253" i="9" s="1"/>
  <c r="AF161" i="9"/>
  <c r="AM161" i="9" s="1"/>
  <c r="AF196" i="9"/>
  <c r="AM196" i="9" s="1"/>
  <c r="AF429" i="9"/>
  <c r="AM429" i="9" s="1"/>
  <c r="AF330" i="9"/>
  <c r="AM330" i="9" s="1"/>
  <c r="AF348" i="9"/>
  <c r="AM348" i="9" s="1"/>
  <c r="AF132" i="9"/>
  <c r="AM132" i="9" s="1"/>
  <c r="AF96" i="9"/>
  <c r="AM96" i="9" s="1"/>
  <c r="AF440" i="9"/>
  <c r="AM440" i="9" s="1"/>
  <c r="AF281" i="9"/>
  <c r="AM281" i="9" s="1"/>
  <c r="AF486" i="9"/>
  <c r="AM486" i="9" s="1"/>
  <c r="AF377" i="9"/>
  <c r="AM377" i="9" s="1"/>
  <c r="AF382" i="9"/>
  <c r="AM382" i="9" s="1"/>
  <c r="AF215" i="9"/>
  <c r="AM215" i="9" s="1"/>
  <c r="AF282" i="9"/>
  <c r="AM282" i="9" s="1"/>
  <c r="AF220" i="9"/>
  <c r="AM220" i="9" s="1"/>
  <c r="AF485" i="9"/>
  <c r="AM485" i="9" s="1"/>
  <c r="AF444" i="9"/>
  <c r="AM444" i="9" s="1"/>
  <c r="AF417" i="9"/>
  <c r="AM417" i="9" s="1"/>
  <c r="AF283" i="9"/>
  <c r="AM283" i="9" s="1"/>
  <c r="AF352" i="9"/>
  <c r="AM352" i="9" s="1"/>
  <c r="AF363" i="9"/>
  <c r="AM363" i="9" s="1"/>
  <c r="AF379" i="9"/>
  <c r="AM379" i="9" s="1"/>
  <c r="AF395" i="9"/>
  <c r="AM395" i="9" s="1"/>
  <c r="AF438" i="9"/>
  <c r="AM438" i="9" s="1"/>
  <c r="AF443" i="9"/>
  <c r="AM443" i="9" s="1"/>
  <c r="AF415" i="9"/>
  <c r="AM415" i="9" s="1"/>
  <c r="AF431" i="9"/>
  <c r="AM431" i="9" s="1"/>
  <c r="AF462" i="9"/>
  <c r="AM462" i="9" s="1"/>
  <c r="AF477" i="9"/>
  <c r="AM477" i="9" s="1"/>
  <c r="AF497" i="9"/>
  <c r="AM497" i="9" s="1"/>
  <c r="AF159" i="9"/>
  <c r="AM159" i="9" s="1"/>
  <c r="AF470" i="9"/>
  <c r="AM470" i="9" s="1"/>
  <c r="AF480" i="9"/>
  <c r="AM480" i="9" s="1"/>
  <c r="AF454" i="9"/>
  <c r="AM454" i="9" s="1"/>
  <c r="AF441" i="9"/>
  <c r="AM441" i="9" s="1"/>
  <c r="AF426" i="9"/>
  <c r="AM426" i="9" s="1"/>
  <c r="AF418" i="9"/>
  <c r="AM418" i="9" s="1"/>
  <c r="AF450" i="9"/>
  <c r="AM450" i="9" s="1"/>
  <c r="AF412" i="9"/>
  <c r="AM412" i="9" s="1"/>
  <c r="AF407" i="9"/>
  <c r="AM407" i="9" s="1"/>
  <c r="AF391" i="9"/>
  <c r="AM391" i="9" s="1"/>
  <c r="AF383" i="9"/>
  <c r="AM383" i="9" s="1"/>
  <c r="AF367" i="9"/>
  <c r="AM367" i="9" s="1"/>
  <c r="AF342" i="9"/>
  <c r="AM342" i="9" s="1"/>
  <c r="AF347" i="9"/>
  <c r="AM347" i="9" s="1"/>
  <c r="AF370" i="9"/>
  <c r="AM370" i="9" s="1"/>
  <c r="AF354" i="9"/>
  <c r="AM354" i="9" s="1"/>
  <c r="AF335" i="9"/>
  <c r="AM335" i="9" s="1"/>
  <c r="AF319" i="9"/>
  <c r="AM319" i="9" s="1"/>
  <c r="AF311" i="9"/>
  <c r="AM311" i="9" s="1"/>
  <c r="AF295" i="9"/>
  <c r="AM295" i="9" s="1"/>
  <c r="AF502" i="9"/>
  <c r="AM502" i="9" s="1"/>
  <c r="AF490" i="9"/>
  <c r="AM490" i="9" s="1"/>
  <c r="AF476" i="9"/>
  <c r="AM476" i="9" s="1"/>
  <c r="AF468" i="9"/>
  <c r="AM468" i="9" s="1"/>
  <c r="AF460" i="9"/>
  <c r="AM460" i="9" s="1"/>
  <c r="AF451" i="9"/>
  <c r="AM451" i="9" s="1"/>
  <c r="AF472" i="9"/>
  <c r="AM472" i="9" s="1"/>
  <c r="AF408" i="9"/>
  <c r="AM408" i="9" s="1"/>
  <c r="AF427" i="9"/>
  <c r="AM427" i="9" s="1"/>
  <c r="AF346" i="9"/>
  <c r="AM346" i="9" s="1"/>
  <c r="AF350" i="9"/>
  <c r="AM350" i="9" s="1"/>
  <c r="AF323" i="9"/>
  <c r="AM323" i="9" s="1"/>
  <c r="AF315" i="9"/>
  <c r="AM315" i="9" s="1"/>
  <c r="AF291" i="9"/>
  <c r="AM291" i="9" s="1"/>
  <c r="AF406" i="9"/>
  <c r="AM406" i="9" s="1"/>
  <c r="AF358" i="9"/>
  <c r="AM358" i="9" s="1"/>
  <c r="AF114" i="9"/>
  <c r="AM114" i="9" s="1"/>
  <c r="AF142" i="9"/>
  <c r="AM142" i="9" s="1"/>
  <c r="AF91" i="9"/>
  <c r="AM91" i="9" s="1"/>
  <c r="AF103" i="9"/>
  <c r="AM103" i="9" s="1"/>
  <c r="AF111" i="9"/>
  <c r="AM111" i="9" s="1"/>
  <c r="AF127" i="9"/>
  <c r="AM127" i="9" s="1"/>
  <c r="AF147" i="9"/>
  <c r="AM147" i="9" s="1"/>
  <c r="AF155" i="9"/>
  <c r="AM155" i="9" s="1"/>
  <c r="AF175" i="9"/>
  <c r="AM175" i="9" s="1"/>
  <c r="AF191" i="9"/>
  <c r="AM191" i="9" s="1"/>
  <c r="AF236" i="9"/>
  <c r="AM236" i="9" s="1"/>
  <c r="AF84" i="9"/>
  <c r="AM84" i="9" s="1"/>
  <c r="AF126" i="9"/>
  <c r="AM126" i="9" s="1"/>
  <c r="AF146" i="9"/>
  <c r="AM146" i="9" s="1"/>
  <c r="AF164" i="9"/>
  <c r="AM164" i="9" s="1"/>
  <c r="AF176" i="9"/>
  <c r="AM176" i="9" s="1"/>
  <c r="AF198" i="9"/>
  <c r="AM198" i="9" s="1"/>
  <c r="AF230" i="9"/>
  <c r="AM230" i="9" s="1"/>
  <c r="AF252" i="9"/>
  <c r="AM252" i="9" s="1"/>
  <c r="AF260" i="9"/>
  <c r="AM260" i="9" s="1"/>
  <c r="AF268" i="9"/>
  <c r="AM268" i="9" s="1"/>
  <c r="AF276" i="9"/>
  <c r="AM276" i="9" s="1"/>
  <c r="AF284" i="9"/>
  <c r="AM284" i="9" s="1"/>
  <c r="AF292" i="9"/>
  <c r="AM292" i="9" s="1"/>
  <c r="AF300" i="9"/>
  <c r="AM300" i="9" s="1"/>
  <c r="AF308" i="9"/>
  <c r="AM308" i="9" s="1"/>
  <c r="AF316" i="9"/>
  <c r="AM316" i="9" s="1"/>
  <c r="AF324" i="9"/>
  <c r="AM324" i="9" s="1"/>
  <c r="AF332" i="9"/>
  <c r="AM332" i="9" s="1"/>
  <c r="AF205" i="9"/>
  <c r="AM205" i="9" s="1"/>
  <c r="AF221" i="9"/>
  <c r="AM221" i="9" s="1"/>
  <c r="AF245" i="9"/>
  <c r="AM245" i="9" s="1"/>
  <c r="AF277" i="9"/>
  <c r="AM277" i="9" s="1"/>
  <c r="AF364" i="9"/>
  <c r="AM364" i="9" s="1"/>
  <c r="AF380" i="9"/>
  <c r="AM380" i="9" s="1"/>
  <c r="AF396" i="9"/>
  <c r="AM396" i="9" s="1"/>
  <c r="AF353" i="9"/>
  <c r="AM353" i="9" s="1"/>
  <c r="AF369" i="9"/>
  <c r="AM369" i="9" s="1"/>
  <c r="AF385" i="9"/>
  <c r="AM385" i="9" s="1"/>
  <c r="AF401" i="9"/>
  <c r="AM401" i="9" s="1"/>
  <c r="AF410" i="9"/>
  <c r="AM410" i="9" s="1"/>
  <c r="AF456" i="9"/>
  <c r="AM456" i="9" s="1"/>
  <c r="AF453" i="9"/>
  <c r="AM453" i="9" s="1"/>
  <c r="AF474" i="9"/>
  <c r="AM474" i="9" s="1"/>
  <c r="AF459" i="9"/>
  <c r="AM459" i="9" s="1"/>
  <c r="AF492" i="9"/>
  <c r="AM492" i="9" s="1"/>
  <c r="AF493" i="9"/>
  <c r="AM493" i="9" s="1"/>
  <c r="AH352" i="9"/>
  <c r="AO352" i="9" s="1"/>
  <c r="AH241" i="9"/>
  <c r="AO241" i="9" s="1"/>
  <c r="AH224" i="9"/>
  <c r="AO224" i="9" s="1"/>
  <c r="AH160" i="9"/>
  <c r="AO160" i="9" s="1"/>
  <c r="AH273" i="9"/>
  <c r="AO273" i="9" s="1"/>
  <c r="AH197" i="9"/>
  <c r="AO197" i="9" s="1"/>
  <c r="AH139" i="9"/>
  <c r="AO139" i="9" s="1"/>
  <c r="AH334" i="9"/>
  <c r="AO334" i="9" s="1"/>
  <c r="AH286" i="9"/>
  <c r="AO286" i="9" s="1"/>
  <c r="AH156" i="9"/>
  <c r="AO156" i="9" s="1"/>
  <c r="AH150" i="9"/>
  <c r="AO150" i="9" s="1"/>
  <c r="AH132" i="9"/>
  <c r="AO132" i="9" s="1"/>
  <c r="AH108" i="9"/>
  <c r="AO108" i="9" s="1"/>
  <c r="AH345" i="9"/>
  <c r="AO345" i="9" s="1"/>
  <c r="AH307" i="9"/>
  <c r="AO307" i="9" s="1"/>
  <c r="AH257" i="9"/>
  <c r="AO257" i="9" s="1"/>
  <c r="AH225" i="9"/>
  <c r="AO225" i="9" s="1"/>
  <c r="AH203" i="9"/>
  <c r="AO203" i="9" s="1"/>
  <c r="AH468" i="9"/>
  <c r="AO468" i="9" s="1"/>
  <c r="AH87" i="9"/>
  <c r="AO87" i="9" s="1"/>
  <c r="AH94" i="9"/>
  <c r="AO94" i="9" s="1"/>
  <c r="AH302" i="9"/>
  <c r="AO302" i="9" s="1"/>
  <c r="AH336" i="9"/>
  <c r="AO336" i="9" s="1"/>
  <c r="AH85" i="9"/>
  <c r="AO85" i="9" s="1"/>
  <c r="AH220" i="9"/>
  <c r="AO220" i="9" s="1"/>
  <c r="AH118" i="9"/>
  <c r="AO118" i="9" s="1"/>
  <c r="AH143" i="9"/>
  <c r="AO143" i="9" s="1"/>
  <c r="AH447" i="9"/>
  <c r="AO447" i="9" s="1"/>
  <c r="AH467" i="9"/>
  <c r="AO467" i="9" s="1"/>
  <c r="AH202" i="9"/>
  <c r="AO202" i="9" s="1"/>
  <c r="AH137" i="9"/>
  <c r="AO137" i="9" s="1"/>
  <c r="AH419" i="9"/>
  <c r="AO419" i="9" s="1"/>
  <c r="AH431" i="9"/>
  <c r="AO431" i="9" s="1"/>
  <c r="AH152" i="9"/>
  <c r="AO152" i="9" s="1"/>
  <c r="AH475" i="9"/>
  <c r="AO475" i="9" s="1"/>
  <c r="AH355" i="9"/>
  <c r="AO355" i="9" s="1"/>
  <c r="AH289" i="9"/>
  <c r="AO289" i="9" s="1"/>
  <c r="AH161" i="9"/>
  <c r="AO161" i="9" s="1"/>
  <c r="AH125" i="9"/>
  <c r="AO125" i="9" s="1"/>
  <c r="AH183" i="9"/>
  <c r="AO183" i="9" s="1"/>
  <c r="AH416" i="9"/>
  <c r="AO416" i="9" s="1"/>
  <c r="AH102" i="9"/>
  <c r="AO102" i="9" s="1"/>
  <c r="AH272" i="9"/>
  <c r="AO272" i="9" s="1"/>
  <c r="AH124" i="9"/>
  <c r="AO124" i="9" s="1"/>
  <c r="AH153" i="9"/>
  <c r="AO153" i="9" s="1"/>
  <c r="AH317" i="9"/>
  <c r="AO317" i="9" s="1"/>
  <c r="AH267" i="9"/>
  <c r="AO267" i="9" s="1"/>
  <c r="AH179" i="9"/>
  <c r="AO179" i="9" s="1"/>
  <c r="AH213" i="9"/>
  <c r="AO213" i="9" s="1"/>
  <c r="AH281" i="9"/>
  <c r="AO281" i="9" s="1"/>
  <c r="AH119" i="9"/>
  <c r="AO119" i="9" s="1"/>
  <c r="AH376" i="9"/>
  <c r="AO376" i="9" s="1"/>
  <c r="AH93" i="9"/>
  <c r="AO93" i="9" s="1"/>
  <c r="AH83" i="9"/>
  <c r="AO83" i="9" s="1"/>
  <c r="AH165" i="9"/>
  <c r="AO165" i="9" s="1"/>
  <c r="AH194" i="9"/>
  <c r="AO194" i="9" s="1"/>
  <c r="AH318" i="9"/>
  <c r="AO318" i="9" s="1"/>
  <c r="AH337" i="9"/>
  <c r="AO337" i="9" s="1"/>
  <c r="AH411" i="9"/>
  <c r="AO411" i="9" s="1"/>
  <c r="AH394" i="9"/>
  <c r="AO394" i="9" s="1"/>
  <c r="AH425" i="9"/>
  <c r="AO425" i="9" s="1"/>
  <c r="AH463" i="9"/>
  <c r="AO463" i="9" s="1"/>
  <c r="AH479" i="9"/>
  <c r="AO479" i="9" s="1"/>
  <c r="AH141" i="9"/>
  <c r="AO141" i="9" s="1"/>
  <c r="AH173" i="9"/>
  <c r="AO173" i="9" s="1"/>
  <c r="AH333" i="9"/>
  <c r="AO333" i="9" s="1"/>
  <c r="AH285" i="9"/>
  <c r="AO285" i="9" s="1"/>
  <c r="AH192" i="9"/>
  <c r="AO192" i="9" s="1"/>
  <c r="AH206" i="9"/>
  <c r="AO206" i="9" s="1"/>
  <c r="AH339" i="9"/>
  <c r="AO339" i="9" s="1"/>
  <c r="AH243" i="9"/>
  <c r="AO243" i="9" s="1"/>
  <c r="AH115" i="9"/>
  <c r="AO115" i="9" s="1"/>
  <c r="AH219" i="9"/>
  <c r="AO219" i="9" s="1"/>
  <c r="AH129" i="9"/>
  <c r="AO129" i="9" s="1"/>
  <c r="AH460" i="9"/>
  <c r="AO460" i="9" s="1"/>
  <c r="AH400" i="9"/>
  <c r="AO400" i="9" s="1"/>
  <c r="AH368" i="9"/>
  <c r="AO368" i="9" s="1"/>
  <c r="AH321" i="9"/>
  <c r="AO321" i="9" s="1"/>
  <c r="AH305" i="9"/>
  <c r="AO305" i="9" s="1"/>
  <c r="AH233" i="9"/>
  <c r="AO233" i="9" s="1"/>
  <c r="AH351" i="9"/>
  <c r="AO351" i="9" s="1"/>
  <c r="AH181" i="9"/>
  <c r="AO181" i="9" s="1"/>
  <c r="AH464" i="9"/>
  <c r="AO464" i="9" s="1"/>
  <c r="AH439" i="9"/>
  <c r="AO439" i="9" s="1"/>
  <c r="AH423" i="9"/>
  <c r="AO423" i="9" s="1"/>
  <c r="AH347" i="9"/>
  <c r="AO347" i="9" s="1"/>
  <c r="AH327" i="9"/>
  <c r="AO327" i="9" s="1"/>
  <c r="AH295" i="9"/>
  <c r="AO295" i="9" s="1"/>
  <c r="AH263" i="9"/>
  <c r="AO263" i="9" s="1"/>
  <c r="AH231" i="9"/>
  <c r="AO231" i="9" s="1"/>
  <c r="AH396" i="9"/>
  <c r="AO396" i="9" s="1"/>
  <c r="AH374" i="9"/>
  <c r="AO374" i="9" s="1"/>
  <c r="AH364" i="9"/>
  <c r="AO364" i="9" s="1"/>
  <c r="AH324" i="9"/>
  <c r="AO324" i="9" s="1"/>
  <c r="AH308" i="9"/>
  <c r="AO308" i="9" s="1"/>
  <c r="AH292" i="9"/>
  <c r="AO292" i="9" s="1"/>
  <c r="AH276" i="9"/>
  <c r="AO276" i="9" s="1"/>
  <c r="AH260" i="9"/>
  <c r="AO260" i="9" s="1"/>
  <c r="AH236" i="9"/>
  <c r="AO236" i="9" s="1"/>
  <c r="AH320" i="9"/>
  <c r="AO320" i="9" s="1"/>
  <c r="AH256" i="9"/>
  <c r="AO256" i="9" s="1"/>
  <c r="AH240" i="9"/>
  <c r="AO240" i="9" s="1"/>
  <c r="AH164" i="9"/>
  <c r="AO164" i="9" s="1"/>
  <c r="AH120" i="9"/>
  <c r="AO120" i="9" s="1"/>
  <c r="AH114" i="9"/>
  <c r="AO114" i="9" s="1"/>
  <c r="AH228" i="9"/>
  <c r="AO228" i="9" s="1"/>
  <c r="AH325" i="9"/>
  <c r="AO325" i="9" s="1"/>
  <c r="AH343" i="9"/>
  <c r="AO343" i="9" s="1"/>
  <c r="AH172" i="9"/>
  <c r="AO172" i="9" s="1"/>
  <c r="AH171" i="9"/>
  <c r="AO171" i="9" s="1"/>
  <c r="AH122" i="9"/>
  <c r="AO122" i="9" s="1"/>
  <c r="AH499" i="9"/>
  <c r="AO499" i="9" s="1"/>
  <c r="AH430" i="9"/>
  <c r="AO430" i="9" s="1"/>
  <c r="AH134" i="9"/>
  <c r="AO134" i="9" s="1"/>
  <c r="AH299" i="9"/>
  <c r="AO299" i="9" s="1"/>
  <c r="AH193" i="9"/>
  <c r="AO193" i="9" s="1"/>
  <c r="AH392" i="9"/>
  <c r="AO392" i="9" s="1"/>
  <c r="AH131" i="9"/>
  <c r="AO131" i="9" s="1"/>
  <c r="AH217" i="9"/>
  <c r="AO217" i="9" s="1"/>
  <c r="AH348" i="9"/>
  <c r="AO348" i="9" s="1"/>
  <c r="AH378" i="9"/>
  <c r="AO378" i="9" s="1"/>
  <c r="AH304" i="9"/>
  <c r="AO304" i="9" s="1"/>
  <c r="AH163" i="9"/>
  <c r="AO163" i="9" s="1"/>
  <c r="AH185" i="9"/>
  <c r="AO185" i="9" s="1"/>
  <c r="AH89" i="9"/>
  <c r="AO89" i="9" s="1"/>
  <c r="AH471" i="9"/>
  <c r="AO471" i="9" s="1"/>
  <c r="AH253" i="9"/>
  <c r="AO253" i="9" s="1"/>
  <c r="AH158" i="9"/>
  <c r="AO158" i="9" s="1"/>
  <c r="AH95" i="9"/>
  <c r="AO95" i="9" s="1"/>
  <c r="AH442" i="9"/>
  <c r="AO442" i="9" s="1"/>
  <c r="AH363" i="9"/>
  <c r="AO363" i="9" s="1"/>
  <c r="AH244" i="9"/>
  <c r="AO244" i="9" s="1"/>
  <c r="AH297" i="9"/>
  <c r="AO297" i="9" s="1"/>
  <c r="AH265" i="9"/>
  <c r="AO265" i="9" s="1"/>
  <c r="AH201" i="9"/>
  <c r="AO201" i="9" s="1"/>
  <c r="AH480" i="9"/>
  <c r="AO480" i="9" s="1"/>
  <c r="AH418" i="9"/>
  <c r="AO418" i="9" s="1"/>
  <c r="AH407" i="9"/>
  <c r="AO407" i="9" s="1"/>
  <c r="AH427" i="9"/>
  <c r="AO427" i="9" s="1"/>
  <c r="AH344" i="9"/>
  <c r="AO344" i="9" s="1"/>
  <c r="AH380" i="9"/>
  <c r="AO380" i="9" s="1"/>
  <c r="AH358" i="9"/>
  <c r="AO358" i="9" s="1"/>
  <c r="AH316" i="9"/>
  <c r="AO316" i="9" s="1"/>
  <c r="AH284" i="9"/>
  <c r="AO284" i="9" s="1"/>
  <c r="AH252" i="9"/>
  <c r="AO252" i="9" s="1"/>
  <c r="AH476" i="9"/>
  <c r="AO476" i="9" s="1"/>
  <c r="AH188" i="9"/>
  <c r="AO188" i="9" s="1"/>
  <c r="AH177" i="9"/>
  <c r="AO177" i="9" s="1"/>
  <c r="AH101" i="9"/>
  <c r="AO101" i="9" s="1"/>
  <c r="AH200" i="9"/>
  <c r="AO200" i="9" s="1"/>
  <c r="AH391" i="9"/>
  <c r="AO391" i="9" s="1"/>
  <c r="AH311" i="9"/>
  <c r="AO311" i="9" s="1"/>
  <c r="AH255" i="9"/>
  <c r="AO255" i="9" s="1"/>
  <c r="AH221" i="9"/>
  <c r="AO221" i="9" s="1"/>
  <c r="AH502" i="9"/>
  <c r="AO502" i="9" s="1"/>
  <c r="AH404" i="9"/>
  <c r="AO404" i="9" s="1"/>
  <c r="AH372" i="9"/>
  <c r="AO372" i="9" s="1"/>
  <c r="AH331" i="9"/>
  <c r="AO331" i="9" s="1"/>
  <c r="AH315" i="9"/>
  <c r="AO315" i="9" s="1"/>
  <c r="AH283" i="9"/>
  <c r="AO283" i="9" s="1"/>
  <c r="AH328" i="9"/>
  <c r="AO328" i="9" s="1"/>
  <c r="AH312" i="9"/>
  <c r="AO312" i="9" s="1"/>
  <c r="AH296" i="9"/>
  <c r="AO296" i="9" s="1"/>
  <c r="AH280" i="9"/>
  <c r="AO280" i="9" s="1"/>
  <c r="AH264" i="9"/>
  <c r="AO264" i="9" s="1"/>
  <c r="AH232" i="9"/>
  <c r="AO232" i="9" s="1"/>
  <c r="AH341" i="9"/>
  <c r="AO341" i="9" s="1"/>
  <c r="AH106" i="9"/>
  <c r="AO106" i="9" s="1"/>
  <c r="AH148" i="9"/>
  <c r="AO148" i="9" s="1"/>
  <c r="AH97" i="9"/>
  <c r="AO97" i="9" s="1"/>
  <c r="AH133" i="9"/>
  <c r="AO133" i="9" s="1"/>
  <c r="AH157" i="9"/>
  <c r="AO157" i="9" s="1"/>
  <c r="AH212" i="9"/>
  <c r="AO212" i="9" s="1"/>
  <c r="AH226" i="9"/>
  <c r="AO226" i="9" s="1"/>
  <c r="AH110" i="9"/>
  <c r="AO110" i="9" s="1"/>
  <c r="AH168" i="9"/>
  <c r="AO168" i="9" s="1"/>
  <c r="AH211" i="9"/>
  <c r="AO211" i="9" s="1"/>
  <c r="AH247" i="9"/>
  <c r="AO247" i="9" s="1"/>
  <c r="AH259" i="9"/>
  <c r="AO259" i="9" s="1"/>
  <c r="AH301" i="9"/>
  <c r="AO301" i="9" s="1"/>
  <c r="AH441" i="9"/>
  <c r="AO441" i="9" s="1"/>
  <c r="AH488" i="9"/>
  <c r="AO488" i="9" s="1"/>
  <c r="AH472" i="9"/>
  <c r="AO472" i="9" s="1"/>
  <c r="AH367" i="9"/>
  <c r="AO367" i="9" s="1"/>
  <c r="AH399" i="9"/>
  <c r="AO399" i="9" s="1"/>
  <c r="AH426" i="9"/>
  <c r="AO426" i="9" s="1"/>
  <c r="AH489" i="9"/>
  <c r="AO489" i="9" s="1"/>
  <c r="AH410" i="9"/>
  <c r="AO410" i="9" s="1"/>
  <c r="AH190" i="9"/>
  <c r="AO190" i="9" s="1"/>
  <c r="AH235" i="9"/>
  <c r="AO235" i="9" s="1"/>
  <c r="AH100" i="9"/>
  <c r="AO100" i="9" s="1"/>
  <c r="AH249" i="9"/>
  <c r="AO249" i="9" s="1"/>
  <c r="AH362" i="9"/>
  <c r="AO362" i="9" s="1"/>
  <c r="AH121" i="9"/>
  <c r="AO121" i="9" s="1"/>
  <c r="AH269" i="9"/>
  <c r="AO269" i="9" s="1"/>
  <c r="AH195" i="9"/>
  <c r="AO195" i="9" s="1"/>
  <c r="AH222" i="9"/>
  <c r="AO222" i="9" s="1"/>
  <c r="AH486" i="9"/>
  <c r="AO486" i="9" s="1"/>
  <c r="AH214" i="9"/>
  <c r="AO214" i="9" s="1"/>
  <c r="AH169" i="9"/>
  <c r="AO169" i="9" s="1"/>
  <c r="AH335" i="9"/>
  <c r="AO335" i="9" s="1"/>
  <c r="AH239" i="9"/>
  <c r="AO239" i="9" s="1"/>
  <c r="AH300" i="9"/>
  <c r="AO300" i="9" s="1"/>
  <c r="AH86" i="9"/>
  <c r="AO86" i="9" s="1"/>
  <c r="AH145" i="9"/>
  <c r="AO145" i="9" s="1"/>
  <c r="AH340" i="9"/>
  <c r="AO340" i="9" s="1"/>
  <c r="AH180" i="9"/>
  <c r="AO180" i="9" s="1"/>
  <c r="AH319" i="9"/>
  <c r="AO319" i="9" s="1"/>
  <c r="AH113" i="9"/>
  <c r="AO113" i="9" s="1"/>
  <c r="AH205" i="9"/>
  <c r="AO205" i="9" s="1"/>
  <c r="AH356" i="9"/>
  <c r="AO356" i="9" s="1"/>
  <c r="AH291" i="9"/>
  <c r="AO291" i="9" s="1"/>
  <c r="AH227" i="9"/>
  <c r="AO227" i="9" s="1"/>
  <c r="AH322" i="9"/>
  <c r="AO322" i="9" s="1"/>
  <c r="AH290" i="9"/>
  <c r="AO290" i="9" s="1"/>
  <c r="AH258" i="9"/>
  <c r="AO258" i="9" s="1"/>
  <c r="AH128" i="9"/>
  <c r="AO128" i="9" s="1"/>
  <c r="AH117" i="9"/>
  <c r="AO117" i="9" s="1"/>
  <c r="AH189" i="9"/>
  <c r="AO189" i="9" s="1"/>
  <c r="AH90" i="9"/>
  <c r="AO90" i="9" s="1"/>
  <c r="AH186" i="9"/>
  <c r="AO186" i="9" s="1"/>
  <c r="AH251" i="9"/>
  <c r="AO251" i="9" s="1"/>
  <c r="AH375" i="9"/>
  <c r="AO375" i="9" s="1"/>
  <c r="AH491" i="9"/>
  <c r="AO491" i="9" s="1"/>
  <c r="AH383" i="9"/>
  <c r="AO383" i="9" s="1"/>
  <c r="AH446" i="9"/>
  <c r="AO446" i="9" s="1"/>
  <c r="AH484" i="9"/>
  <c r="AO484" i="9" s="1"/>
  <c r="AH379" i="9"/>
  <c r="AO379" i="9" s="1"/>
  <c r="AH395" i="9"/>
  <c r="AO395" i="9" s="1"/>
  <c r="AH422" i="9"/>
  <c r="AO422" i="9" s="1"/>
  <c r="AH478" i="9"/>
  <c r="AO478" i="9" s="1"/>
  <c r="AH445" i="9"/>
  <c r="AO445" i="9" s="1"/>
  <c r="AH462" i="9"/>
  <c r="AO462" i="9" s="1"/>
  <c r="AH477" i="9"/>
  <c r="AO477" i="9" s="1"/>
  <c r="AH492" i="9"/>
  <c r="AO492" i="9" s="1"/>
  <c r="AH501" i="9"/>
  <c r="AO501" i="9" s="1"/>
  <c r="AH116" i="9"/>
  <c r="AO116" i="9" s="1"/>
  <c r="AH138" i="9"/>
  <c r="AO138" i="9" s="1"/>
  <c r="AH154" i="9"/>
  <c r="AO154" i="9" s="1"/>
  <c r="AH166" i="9"/>
  <c r="AO166" i="9" s="1"/>
  <c r="AH99" i="9"/>
  <c r="AO99" i="9" s="1"/>
  <c r="AH107" i="9"/>
  <c r="AO107" i="9" s="1"/>
  <c r="AH123" i="9"/>
  <c r="AO123" i="9" s="1"/>
  <c r="AH135" i="9"/>
  <c r="AO135" i="9" s="1"/>
  <c r="AH151" i="9"/>
  <c r="AO151" i="9" s="1"/>
  <c r="AH159" i="9"/>
  <c r="AO159" i="9" s="1"/>
  <c r="AH175" i="9"/>
  <c r="AO175" i="9" s="1"/>
  <c r="AH191" i="9"/>
  <c r="AO191" i="9" s="1"/>
  <c r="AH218" i="9"/>
  <c r="AO218" i="9" s="1"/>
  <c r="AH92" i="9"/>
  <c r="AO92" i="9" s="1"/>
  <c r="AH112" i="9"/>
  <c r="AO112" i="9" s="1"/>
  <c r="AH142" i="9"/>
  <c r="AO142" i="9" s="1"/>
  <c r="AH182" i="9"/>
  <c r="AO182" i="9" s="1"/>
  <c r="AH207" i="9"/>
  <c r="AO207" i="9" s="1"/>
  <c r="AH230" i="9"/>
  <c r="AO230" i="9" s="1"/>
  <c r="AH246" i="9"/>
  <c r="AO246" i="9" s="1"/>
  <c r="AH262" i="9"/>
  <c r="AO262" i="9" s="1"/>
  <c r="AH278" i="9"/>
  <c r="AO278" i="9" s="1"/>
  <c r="AH294" i="9"/>
  <c r="AO294" i="9" s="1"/>
  <c r="AH310" i="9"/>
  <c r="AO310" i="9" s="1"/>
  <c r="AH326" i="9"/>
  <c r="AO326" i="9" s="1"/>
  <c r="AH245" i="9"/>
  <c r="AO245" i="9" s="1"/>
  <c r="AH277" i="9"/>
  <c r="AO277" i="9" s="1"/>
  <c r="AH309" i="9"/>
  <c r="AO309" i="9" s="1"/>
  <c r="AH354" i="9"/>
  <c r="AO354" i="9" s="1"/>
  <c r="AH386" i="9"/>
  <c r="AO386" i="9" s="1"/>
  <c r="AH402" i="9"/>
  <c r="AO402" i="9" s="1"/>
  <c r="AH342" i="9"/>
  <c r="AO342" i="9" s="1"/>
  <c r="AH350" i="9"/>
  <c r="AO350" i="9" s="1"/>
  <c r="AH357" i="9"/>
  <c r="AO357" i="9" s="1"/>
  <c r="AH369" i="9"/>
  <c r="AO369" i="9" s="1"/>
  <c r="AH381" i="9"/>
  <c r="AO381" i="9" s="1"/>
  <c r="AH389" i="9"/>
  <c r="AO389" i="9" s="1"/>
  <c r="AH401" i="9"/>
  <c r="AO401" i="9" s="1"/>
  <c r="AH409" i="9"/>
  <c r="AO409" i="9" s="1"/>
  <c r="AH421" i="9"/>
  <c r="AO421" i="9" s="1"/>
  <c r="AH433" i="9"/>
  <c r="AO433" i="9" s="1"/>
  <c r="AH408" i="9"/>
  <c r="AO408" i="9" s="1"/>
  <c r="AH420" i="9"/>
  <c r="AO420" i="9" s="1"/>
  <c r="AH436" i="9"/>
  <c r="AO436" i="9" s="1"/>
  <c r="AH448" i="9"/>
  <c r="AO448" i="9" s="1"/>
  <c r="AH443" i="9"/>
  <c r="AO443" i="9" s="1"/>
  <c r="AH454" i="9"/>
  <c r="AO454" i="9" s="1"/>
  <c r="AH466" i="9"/>
  <c r="AO466" i="9" s="1"/>
  <c r="AH474" i="9"/>
  <c r="AO474" i="9" s="1"/>
  <c r="AH490" i="9"/>
  <c r="AO490" i="9" s="1"/>
  <c r="AH498" i="9"/>
  <c r="AO498" i="9" s="1"/>
  <c r="AH465" i="9"/>
  <c r="AO465" i="9" s="1"/>
  <c r="AH481" i="9"/>
  <c r="AO481" i="9" s="1"/>
  <c r="AH485" i="9"/>
  <c r="AO485" i="9" s="1"/>
  <c r="AD2" i="13"/>
  <c r="B12" i="9"/>
  <c r="AF80" i="9"/>
  <c r="AM80" i="9" s="1"/>
  <c r="AF74" i="9"/>
  <c r="AM74" i="9" s="1"/>
  <c r="AF50" i="9"/>
  <c r="AM50" i="9" s="1"/>
  <c r="AF22" i="9"/>
  <c r="AM22" i="9" s="1"/>
  <c r="AH82" i="9"/>
  <c r="AO82" i="9" s="1"/>
  <c r="AH76" i="9"/>
  <c r="AO76" i="9" s="1"/>
  <c r="AH62" i="9"/>
  <c r="AO62" i="9" s="1"/>
  <c r="AH56" i="9"/>
  <c r="AO56" i="9" s="1"/>
  <c r="AH40" i="9"/>
  <c r="AO40" i="9" s="1"/>
  <c r="AH28" i="9"/>
  <c r="AO28" i="9" s="1"/>
  <c r="AH44" i="9"/>
  <c r="AO44" i="9" s="1"/>
  <c r="AH60" i="9"/>
  <c r="AO60" i="9" s="1"/>
  <c r="AF68" i="9"/>
  <c r="AM68" i="9" s="1"/>
  <c r="AF76" i="9"/>
  <c r="AM76" i="9" s="1"/>
  <c r="AH20" i="9"/>
  <c r="AO20" i="9" s="1"/>
  <c r="AF32" i="9"/>
  <c r="AM32" i="9" s="1"/>
  <c r="AF48" i="9"/>
  <c r="AM48" i="9" s="1"/>
  <c r="AF56" i="9"/>
  <c r="AM56" i="9" s="1"/>
  <c r="AH66" i="9"/>
  <c r="AO66" i="9" s="1"/>
  <c r="AF30" i="9"/>
  <c r="AM30" i="9" s="1"/>
  <c r="AH70" i="9"/>
  <c r="AO70" i="9" s="1"/>
  <c r="AF58" i="9"/>
  <c r="AM58" i="9" s="1"/>
  <c r="AH52" i="9"/>
  <c r="AO52" i="9" s="1"/>
  <c r="AF62" i="9"/>
  <c r="AM62" i="9" s="1"/>
  <c r="AH46" i="9"/>
  <c r="AO46" i="9" s="1"/>
  <c r="AF44" i="9"/>
  <c r="AM44" i="9" s="1"/>
  <c r="AH74" i="9"/>
  <c r="AO74" i="9" s="1"/>
  <c r="AF15" i="9"/>
  <c r="AM15" i="9" s="1"/>
  <c r="AF27" i="9"/>
  <c r="AM27" i="9" s="1"/>
  <c r="AH77" i="9"/>
  <c r="AO77" i="9" s="1"/>
  <c r="AH61" i="9"/>
  <c r="AO61" i="9" s="1"/>
  <c r="AH12" i="9"/>
  <c r="AO12" i="9" s="1"/>
  <c r="AH27" i="9"/>
  <c r="AO27" i="9" s="1"/>
  <c r="AF4" i="9"/>
  <c r="AM4" i="9" s="1"/>
  <c r="AF14" i="9"/>
  <c r="AM14" i="9" s="1"/>
  <c r="AF41" i="9"/>
  <c r="AM41" i="9" s="1"/>
  <c r="AF25" i="9"/>
  <c r="AM25" i="9" s="1"/>
  <c r="AH75" i="9"/>
  <c r="AO75" i="9" s="1"/>
  <c r="AH59" i="9"/>
  <c r="AO59" i="9" s="1"/>
  <c r="AH10" i="9"/>
  <c r="AO10" i="9" s="1"/>
  <c r="AH23" i="9"/>
  <c r="AO23" i="9" s="1"/>
  <c r="AH3" i="9"/>
  <c r="AO3" i="9" s="1"/>
  <c r="AH5" i="9"/>
  <c r="AO5" i="9" s="1"/>
  <c r="AF18" i="9"/>
  <c r="AM18" i="9" s="1"/>
  <c r="AF47" i="9"/>
  <c r="AM47" i="9" s="1"/>
  <c r="AF23" i="9"/>
  <c r="AM23" i="9" s="1"/>
  <c r="AH65" i="9"/>
  <c r="AO65" i="9" s="1"/>
  <c r="AH49" i="9"/>
  <c r="AO49" i="9" s="1"/>
  <c r="AH25" i="9"/>
  <c r="AO25" i="9" s="1"/>
  <c r="AF8" i="9"/>
  <c r="AM8" i="9" s="1"/>
  <c r="AF6" i="9"/>
  <c r="AM6" i="9" s="1"/>
  <c r="AF79" i="9"/>
  <c r="AM79" i="9" s="1"/>
  <c r="AF21" i="9"/>
  <c r="AM21" i="9" s="1"/>
  <c r="AH38" i="9"/>
  <c r="AO38" i="9" s="1"/>
  <c r="AF75" i="9"/>
  <c r="AM75" i="9" s="1"/>
  <c r="AF17" i="9"/>
  <c r="AM17" i="9" s="1"/>
  <c r="AF20" i="9"/>
  <c r="AM20" i="9" s="1"/>
  <c r="AH35" i="9"/>
  <c r="AO35" i="9" s="1"/>
  <c r="AH29" i="9"/>
  <c r="AO29" i="9" s="1"/>
  <c r="AF61" i="9"/>
  <c r="AM61" i="9" s="1"/>
  <c r="AH55" i="9"/>
  <c r="AO55" i="9" s="1"/>
  <c r="AH17" i="9"/>
  <c r="AO17" i="9" s="1"/>
  <c r="AF34" i="9"/>
  <c r="AM34" i="9" s="1"/>
  <c r="AF5" i="9"/>
  <c r="AM5" i="9" s="1"/>
  <c r="AF69" i="9"/>
  <c r="AM69" i="9" s="1"/>
  <c r="AH31" i="9"/>
  <c r="AO31" i="9" s="1"/>
  <c r="AF31" i="9"/>
  <c r="AM31" i="9" s="1"/>
  <c r="AH73" i="9"/>
  <c r="AO73" i="9" s="1"/>
  <c r="AF3" i="9"/>
  <c r="AM3" i="9" s="1"/>
  <c r="AH11" i="9"/>
  <c r="AO11" i="9" s="1"/>
  <c r="AH37" i="9"/>
  <c r="AO37" i="9" s="1"/>
  <c r="AD165" i="9"/>
  <c r="AD93" i="9"/>
  <c r="AD181" i="9"/>
  <c r="AD169" i="9"/>
  <c r="AD201" i="9"/>
  <c r="AE119" i="9"/>
  <c r="AL119" i="9" s="1"/>
  <c r="AD151" i="9"/>
  <c r="AD183" i="9"/>
  <c r="AD343" i="9"/>
  <c r="AD446" i="9"/>
  <c r="AD453" i="9"/>
  <c r="AD214" i="9"/>
  <c r="AD90" i="9"/>
  <c r="AE112" i="9"/>
  <c r="AL112" i="9" s="1"/>
  <c r="AD138" i="9"/>
  <c r="AE144" i="9"/>
  <c r="AL144" i="9" s="1"/>
  <c r="AD164" i="9"/>
  <c r="AD170" i="9"/>
  <c r="AE176" i="9"/>
  <c r="AL176" i="9" s="1"/>
  <c r="AD190" i="9"/>
  <c r="AD244" i="9"/>
  <c r="AD260" i="9"/>
  <c r="AD276" i="9"/>
  <c r="AD292" i="9"/>
  <c r="AD308" i="9"/>
  <c r="AD324" i="9"/>
  <c r="AD368" i="9"/>
  <c r="AD384" i="9"/>
  <c r="AD400" i="9"/>
  <c r="AD421" i="9"/>
  <c r="AD437" i="9"/>
  <c r="AD443" i="9"/>
  <c r="AD460" i="9"/>
  <c r="AD476" i="9"/>
  <c r="AD486" i="9"/>
  <c r="AD484" i="9"/>
  <c r="AD97" i="9"/>
  <c r="AD129" i="9"/>
  <c r="AD211" i="9"/>
  <c r="AD219" i="9"/>
  <c r="AD227" i="9"/>
  <c r="AD115" i="9"/>
  <c r="AD147" i="9"/>
  <c r="AD179" i="9"/>
  <c r="AD235" i="9"/>
  <c r="AD243" i="9"/>
  <c r="AD251" i="9"/>
  <c r="AD259" i="9"/>
  <c r="AD267" i="9"/>
  <c r="AD275" i="9"/>
  <c r="AD283" i="9"/>
  <c r="AD291" i="9"/>
  <c r="AD299" i="9"/>
  <c r="AD307" i="9"/>
  <c r="AD315" i="9"/>
  <c r="AD323" i="9"/>
  <c r="AD331" i="9"/>
  <c r="AD339" i="9"/>
  <c r="AD442" i="9"/>
  <c r="AD212" i="9"/>
  <c r="AD228" i="9"/>
  <c r="AD86" i="9"/>
  <c r="AD106" i="9"/>
  <c r="AD128" i="9"/>
  <c r="AD146" i="9"/>
  <c r="AD152" i="9"/>
  <c r="AD158" i="9"/>
  <c r="AD192" i="9"/>
  <c r="AD242" i="9"/>
  <c r="AD258" i="9"/>
  <c r="AD274" i="9"/>
  <c r="AD290" i="9"/>
  <c r="AD306" i="9"/>
  <c r="AD322" i="9"/>
  <c r="AD338" i="9"/>
  <c r="AD358" i="9"/>
  <c r="AD374" i="9"/>
  <c r="AD390" i="9"/>
  <c r="AD340" i="9"/>
  <c r="AD419" i="9"/>
  <c r="AD435" i="9"/>
  <c r="AD445" i="9"/>
  <c r="AD466" i="9"/>
  <c r="AD492" i="9"/>
  <c r="AD173" i="9"/>
  <c r="AD141" i="9"/>
  <c r="AD101" i="9"/>
  <c r="AD495" i="9"/>
  <c r="AD479" i="9"/>
  <c r="AD475" i="9"/>
  <c r="AD471" i="9"/>
  <c r="AD467" i="9"/>
  <c r="AD463" i="9"/>
  <c r="AD459" i="9"/>
  <c r="AD455" i="9"/>
  <c r="AD345" i="9"/>
  <c r="AD109" i="9"/>
  <c r="AD89" i="9"/>
  <c r="AD121" i="9"/>
  <c r="AD153" i="9"/>
  <c r="AD185" i="9"/>
  <c r="AD447" i="9"/>
  <c r="AE111" i="9"/>
  <c r="AL111" i="9" s="1"/>
  <c r="AE143" i="9"/>
  <c r="AL143" i="9" s="1"/>
  <c r="AD175" i="9"/>
  <c r="AD485" i="9"/>
  <c r="AD218" i="9"/>
  <c r="AD102" i="9"/>
  <c r="AD108" i="9"/>
  <c r="AD122" i="9"/>
  <c r="AD134" i="9"/>
  <c r="AD140" i="9"/>
  <c r="AD160" i="9"/>
  <c r="AD194" i="9"/>
  <c r="AD240" i="9"/>
  <c r="AD256" i="9"/>
  <c r="AD272" i="9"/>
  <c r="AD288" i="9"/>
  <c r="AD304" i="9"/>
  <c r="AD320" i="9"/>
  <c r="AD336" i="9"/>
  <c r="AD356" i="9"/>
  <c r="AD372" i="9"/>
  <c r="AD388" i="9"/>
  <c r="AD404" i="9"/>
  <c r="AD342" i="9"/>
  <c r="AD425" i="9"/>
  <c r="AD454" i="9"/>
  <c r="AD464" i="9"/>
  <c r="AD498" i="9"/>
  <c r="AD482" i="9"/>
  <c r="AD113" i="9"/>
  <c r="AD145" i="9"/>
  <c r="AD209" i="9"/>
  <c r="AD217" i="9"/>
  <c r="AD225" i="9"/>
  <c r="AD107" i="9"/>
  <c r="AE139" i="9"/>
  <c r="AL139" i="9" s="1"/>
  <c r="AE171" i="9"/>
  <c r="AL171" i="9" s="1"/>
  <c r="AD203" i="9"/>
  <c r="AD347" i="9"/>
  <c r="AD497" i="9"/>
  <c r="AD216" i="9"/>
  <c r="AD88" i="9"/>
  <c r="AD110" i="9"/>
  <c r="AD136" i="9"/>
  <c r="AD156" i="9"/>
  <c r="AD162" i="9"/>
  <c r="AD180" i="9"/>
  <c r="AD196" i="9"/>
  <c r="AD238" i="9"/>
  <c r="AD254" i="9"/>
  <c r="AD270" i="9"/>
  <c r="AD286" i="9"/>
  <c r="AD302" i="9"/>
  <c r="AD318" i="9"/>
  <c r="AD334" i="9"/>
  <c r="AD362" i="9"/>
  <c r="AD378" i="9"/>
  <c r="AD394" i="9"/>
  <c r="AD352" i="9"/>
  <c r="AD415" i="9"/>
  <c r="AD431" i="9"/>
  <c r="AD410" i="9"/>
  <c r="AD462" i="9"/>
  <c r="AD478" i="9"/>
  <c r="AD496" i="9"/>
  <c r="AE407" i="9"/>
  <c r="AL407" i="9" s="1"/>
  <c r="AE403" i="9"/>
  <c r="AL403" i="9" s="1"/>
  <c r="AE399" i="9"/>
  <c r="AL399" i="9" s="1"/>
  <c r="AE395" i="9"/>
  <c r="AL395" i="9" s="1"/>
  <c r="AE391" i="9"/>
  <c r="AL391" i="9" s="1"/>
  <c r="AE387" i="9"/>
  <c r="AL387" i="9" s="1"/>
  <c r="AE383" i="9"/>
  <c r="AL383" i="9" s="1"/>
  <c r="AE379" i="9"/>
  <c r="AL379" i="9" s="1"/>
  <c r="AE375" i="9"/>
  <c r="AL375" i="9" s="1"/>
  <c r="AE371" i="9"/>
  <c r="AL371" i="9" s="1"/>
  <c r="AE367" i="9"/>
  <c r="AL367" i="9" s="1"/>
  <c r="AE363" i="9"/>
  <c r="AL363" i="9" s="1"/>
  <c r="AE359" i="9"/>
  <c r="AL359" i="9" s="1"/>
  <c r="AE355" i="9"/>
  <c r="AL355" i="9" s="1"/>
  <c r="AE411" i="9"/>
  <c r="AL411" i="9" s="1"/>
  <c r="AE103" i="9"/>
  <c r="AL103" i="9" s="1"/>
  <c r="AE135" i="9"/>
  <c r="AL135" i="9" s="1"/>
  <c r="AE167" i="9"/>
  <c r="AL167" i="9" s="1"/>
  <c r="AE199" i="9"/>
  <c r="AL199" i="9" s="1"/>
  <c r="AD84" i="9"/>
  <c r="AE104" i="9"/>
  <c r="AL104" i="9" s="1"/>
  <c r="AD452" i="9"/>
  <c r="AD500" i="9"/>
  <c r="AE207" i="9"/>
  <c r="AL207" i="9" s="1"/>
  <c r="AE215" i="9"/>
  <c r="AL215" i="9" s="1"/>
  <c r="AE223" i="9"/>
  <c r="AL223" i="9" s="1"/>
  <c r="AE483" i="9"/>
  <c r="AL483" i="9" s="1"/>
  <c r="AD99" i="9"/>
  <c r="AD131" i="9"/>
  <c r="AE163" i="9"/>
  <c r="AL163" i="9" s="1"/>
  <c r="AE195" i="9"/>
  <c r="AL195" i="9" s="1"/>
  <c r="AD100" i="9"/>
  <c r="AE114" i="9"/>
  <c r="AL114" i="9" s="1"/>
  <c r="AE120" i="9"/>
  <c r="AL120" i="9" s="1"/>
  <c r="AE178" i="9"/>
  <c r="AL178" i="9" s="1"/>
  <c r="AE184" i="9"/>
  <c r="AL184" i="9" s="1"/>
  <c r="AE200" i="9"/>
  <c r="AL200" i="9" s="1"/>
  <c r="AE234" i="9"/>
  <c r="AL234" i="9" s="1"/>
  <c r="AE250" i="9"/>
  <c r="AL250" i="9" s="1"/>
  <c r="AE266" i="9"/>
  <c r="AL266" i="9" s="1"/>
  <c r="AE427" i="9"/>
  <c r="AL427" i="9" s="1"/>
  <c r="AE487" i="9"/>
  <c r="AL487" i="9" s="1"/>
  <c r="AD440" i="9"/>
  <c r="AD436" i="9"/>
  <c r="AD432" i="9"/>
  <c r="AD428" i="9"/>
  <c r="AD424" i="9"/>
  <c r="AD420" i="9"/>
  <c r="AD416" i="9"/>
  <c r="AE451" i="9"/>
  <c r="AL451" i="9" s="1"/>
  <c r="AE491" i="9"/>
  <c r="AL491" i="9" s="1"/>
  <c r="AD95" i="9"/>
  <c r="AD127" i="9"/>
  <c r="AE159" i="9"/>
  <c r="AL159" i="9" s="1"/>
  <c r="AE191" i="9"/>
  <c r="AL191" i="9" s="1"/>
  <c r="AD237" i="9"/>
  <c r="AD245" i="9"/>
  <c r="AD253" i="9"/>
  <c r="AD261" i="9"/>
  <c r="AD269" i="9"/>
  <c r="AD277" i="9"/>
  <c r="AD285" i="9"/>
  <c r="AD293" i="9"/>
  <c r="AD301" i="9"/>
  <c r="AD309" i="9"/>
  <c r="AD317" i="9"/>
  <c r="AD325" i="9"/>
  <c r="AD333" i="9"/>
  <c r="AE351" i="9"/>
  <c r="AL351" i="9" s="1"/>
  <c r="AD501" i="9"/>
  <c r="AE210" i="9"/>
  <c r="AL210" i="9" s="1"/>
  <c r="AE226" i="9"/>
  <c r="AL226" i="9" s="1"/>
  <c r="AD116" i="9"/>
  <c r="AE154" i="9"/>
  <c r="AL154" i="9" s="1"/>
  <c r="AE168" i="9"/>
  <c r="AL168" i="9" s="1"/>
  <c r="AE186" i="9"/>
  <c r="AL186" i="9" s="1"/>
  <c r="AE202" i="9"/>
  <c r="AL202" i="9" s="1"/>
  <c r="AE232" i="9"/>
  <c r="AL232" i="9" s="1"/>
  <c r="AE248" i="9"/>
  <c r="AL248" i="9" s="1"/>
  <c r="AE264" i="9"/>
  <c r="AL264" i="9" s="1"/>
  <c r="AE280" i="9"/>
  <c r="AL280" i="9" s="1"/>
  <c r="AD448" i="9"/>
  <c r="AE499" i="9"/>
  <c r="AL499" i="9" s="1"/>
  <c r="AD91" i="9"/>
  <c r="AD123" i="9"/>
  <c r="AE155" i="9"/>
  <c r="AL155" i="9" s="1"/>
  <c r="AE187" i="9"/>
  <c r="AL187" i="9" s="1"/>
  <c r="AE231" i="9"/>
  <c r="AL231" i="9" s="1"/>
  <c r="AE239" i="9"/>
  <c r="AL239" i="9" s="1"/>
  <c r="AE247" i="9"/>
  <c r="AL247" i="9" s="1"/>
  <c r="AE255" i="9"/>
  <c r="AL255" i="9" s="1"/>
  <c r="AE263" i="9"/>
  <c r="AL263" i="9" s="1"/>
  <c r="AE271" i="9"/>
  <c r="AL271" i="9" s="1"/>
  <c r="AE279" i="9"/>
  <c r="AL279" i="9" s="1"/>
  <c r="AE287" i="9"/>
  <c r="AL287" i="9" s="1"/>
  <c r="AE295" i="9"/>
  <c r="AL295" i="9" s="1"/>
  <c r="AE303" i="9"/>
  <c r="AL303" i="9" s="1"/>
  <c r="AE311" i="9"/>
  <c r="AL311" i="9" s="1"/>
  <c r="AE319" i="9"/>
  <c r="AL319" i="9" s="1"/>
  <c r="AE327" i="9"/>
  <c r="AL327" i="9" s="1"/>
  <c r="AE335" i="9"/>
  <c r="AL335" i="9" s="1"/>
  <c r="AE208" i="9"/>
  <c r="AL208" i="9" s="1"/>
  <c r="AE224" i="9"/>
  <c r="AL224" i="9" s="1"/>
  <c r="AD96" i="9"/>
  <c r="AE130" i="9"/>
  <c r="AL130" i="9" s="1"/>
  <c r="AE423" i="9"/>
  <c r="AL423" i="9" s="1"/>
  <c r="AE439" i="9"/>
  <c r="AL439" i="9" s="1"/>
  <c r="AC395" i="9" a="1"/>
  <c r="AC395" i="9" s="1"/>
  <c r="AJ395" i="9" s="1"/>
  <c r="AC363" i="9" a="1"/>
  <c r="AC363" i="9" s="1"/>
  <c r="AJ363" i="9" s="1"/>
  <c r="AC139" i="9" a="1"/>
  <c r="AC139" i="9" s="1"/>
  <c r="AJ139" i="9" s="1"/>
  <c r="AC207" i="9" a="1"/>
  <c r="AC207" i="9" s="1"/>
  <c r="AJ207" i="9" s="1"/>
  <c r="AC283" i="9" a="1"/>
  <c r="AC283" i="9" s="1"/>
  <c r="AJ283" i="9" s="1"/>
  <c r="AC315" i="9" a="1"/>
  <c r="AC315" i="9" s="1"/>
  <c r="AJ315" i="9" s="1"/>
  <c r="AC203" i="9" a="1"/>
  <c r="AC203" i="9" s="1"/>
  <c r="AJ203" i="9" s="1"/>
  <c r="AC479" i="9" a="1"/>
  <c r="AC479" i="9" s="1"/>
  <c r="AJ479" i="9" s="1"/>
  <c r="AG455" i="9"/>
  <c r="AN455" i="9" s="1"/>
  <c r="AG471" i="9"/>
  <c r="AN471" i="9" s="1"/>
  <c r="AC487" i="9" a="1"/>
  <c r="AC487" i="9" s="1"/>
  <c r="AJ487" i="9" s="1"/>
  <c r="AG171" i="9"/>
  <c r="AN171" i="9" s="1"/>
  <c r="AI128" i="9"/>
  <c r="AP128" i="9" s="1"/>
  <c r="AC274" i="9" a="1"/>
  <c r="AC274" i="9" s="1"/>
  <c r="AJ274" i="9" s="1"/>
  <c r="AC159" i="9" a="1"/>
  <c r="AC159" i="9" s="1"/>
  <c r="AJ159" i="9" s="1"/>
  <c r="AC170" i="9" a="1"/>
  <c r="AC170" i="9" s="1"/>
  <c r="AJ170" i="9" s="1"/>
  <c r="AG234" i="9"/>
  <c r="AN234" i="9" s="1"/>
  <c r="AG167" i="9"/>
  <c r="AN167" i="9" s="1"/>
  <c r="AG144" i="9"/>
  <c r="AN144" i="9" s="1"/>
  <c r="AG104" i="9"/>
  <c r="AN104" i="9" s="1"/>
  <c r="AG147" i="9"/>
  <c r="AN147" i="9" s="1"/>
  <c r="AI459" i="9"/>
  <c r="AP459" i="9" s="1"/>
  <c r="AI266" i="9"/>
  <c r="AP266" i="9" s="1"/>
  <c r="AI331" i="9"/>
  <c r="AP331" i="9" s="1"/>
  <c r="AI299" i="9"/>
  <c r="AP299" i="9" s="1"/>
  <c r="AI267" i="9"/>
  <c r="AP267" i="9" s="1"/>
  <c r="AI235" i="9"/>
  <c r="AP235" i="9" s="1"/>
  <c r="AI207" i="9"/>
  <c r="AP207" i="9" s="1"/>
  <c r="AF500" i="9"/>
  <c r="AM500" i="9" s="1"/>
  <c r="AF482" i="9"/>
  <c r="AM482" i="9" s="1"/>
  <c r="AF452" i="9"/>
  <c r="AM452" i="9" s="1"/>
  <c r="AF405" i="9"/>
  <c r="AM405" i="9" s="1"/>
  <c r="AF373" i="9"/>
  <c r="AM373" i="9" s="1"/>
  <c r="AF400" i="9"/>
  <c r="AM400" i="9" s="1"/>
  <c r="AF368" i="9"/>
  <c r="AM368" i="9" s="1"/>
  <c r="AF261" i="9"/>
  <c r="AM261" i="9" s="1"/>
  <c r="AF213" i="9"/>
  <c r="AM213" i="9" s="1"/>
  <c r="AF328" i="9"/>
  <c r="AM328" i="9" s="1"/>
  <c r="AF312" i="9"/>
  <c r="AM312" i="9" s="1"/>
  <c r="AF296" i="9"/>
  <c r="AM296" i="9" s="1"/>
  <c r="AF280" i="9"/>
  <c r="AM280" i="9" s="1"/>
  <c r="AF264" i="9"/>
  <c r="AM264" i="9" s="1"/>
  <c r="AF246" i="9"/>
  <c r="AM246" i="9" s="1"/>
  <c r="AF182" i="9"/>
  <c r="AM182" i="9" s="1"/>
  <c r="AF154" i="9"/>
  <c r="AM154" i="9" s="1"/>
  <c r="AF106" i="9"/>
  <c r="AM106" i="9" s="1"/>
  <c r="AF199" i="9"/>
  <c r="AM199" i="9" s="1"/>
  <c r="AF167" i="9"/>
  <c r="AM167" i="9" s="1"/>
  <c r="AF135" i="9"/>
  <c r="AM135" i="9" s="1"/>
  <c r="AF107" i="9"/>
  <c r="AM107" i="9" s="1"/>
  <c r="AF172" i="9"/>
  <c r="AM172" i="9" s="1"/>
  <c r="AH493" i="9"/>
  <c r="AO493" i="9" s="1"/>
  <c r="AH473" i="9"/>
  <c r="AO473" i="9" s="1"/>
  <c r="AH494" i="9"/>
  <c r="AO494" i="9" s="1"/>
  <c r="AH470" i="9"/>
  <c r="AO470" i="9" s="1"/>
  <c r="AH451" i="9"/>
  <c r="AO451" i="9" s="1"/>
  <c r="AH444" i="9"/>
  <c r="AO444" i="9" s="1"/>
  <c r="AH412" i="9"/>
  <c r="AO412" i="9" s="1"/>
  <c r="AH429" i="9"/>
  <c r="AO429" i="9" s="1"/>
  <c r="AH405" i="9"/>
  <c r="AO405" i="9" s="1"/>
  <c r="AH385" i="9"/>
  <c r="AO385" i="9" s="1"/>
  <c r="AH365" i="9"/>
  <c r="AO365" i="9" s="1"/>
  <c r="AH346" i="9"/>
  <c r="AO346" i="9" s="1"/>
  <c r="AH390" i="9"/>
  <c r="AO390" i="9" s="1"/>
  <c r="AH349" i="9"/>
  <c r="AO349" i="9" s="1"/>
  <c r="AH261" i="9"/>
  <c r="AO261" i="9" s="1"/>
  <c r="AH314" i="9"/>
  <c r="AO314" i="9" s="1"/>
  <c r="AH282" i="9"/>
  <c r="AO282" i="9" s="1"/>
  <c r="AH250" i="9"/>
  <c r="AO250" i="9" s="1"/>
  <c r="AH223" i="9"/>
  <c r="AO223" i="9" s="1"/>
  <c r="AH176" i="9"/>
  <c r="AO176" i="9" s="1"/>
  <c r="AH96" i="9"/>
  <c r="AO96" i="9" s="1"/>
  <c r="AH199" i="9"/>
  <c r="AO199" i="9" s="1"/>
  <c r="AH167" i="9"/>
  <c r="AO167" i="9" s="1"/>
  <c r="AH147" i="9"/>
  <c r="AO147" i="9" s="1"/>
  <c r="AH111" i="9"/>
  <c r="AO111" i="9" s="1"/>
  <c r="AH91" i="9"/>
  <c r="AO91" i="9" s="1"/>
  <c r="AH146" i="9"/>
  <c r="AO146" i="9" s="1"/>
  <c r="AH104" i="9"/>
  <c r="AO104" i="9" s="1"/>
  <c r="AC258" i="9" a="1"/>
  <c r="AC258" i="9" s="1"/>
  <c r="AJ258" i="9" s="1"/>
  <c r="AI119" i="9"/>
  <c r="AP119" i="9" s="1"/>
  <c r="AC168" i="9" a="1"/>
  <c r="AC168" i="9" s="1"/>
  <c r="AJ168" i="9" s="1"/>
  <c r="AC216" i="9" a="1"/>
  <c r="AC216" i="9" s="1"/>
  <c r="AJ216" i="9" s="1"/>
  <c r="AC144" i="9" a="1"/>
  <c r="AC144" i="9" s="1"/>
  <c r="AJ144" i="9" s="1"/>
  <c r="AI248" i="9"/>
  <c r="AP248" i="9" s="1"/>
  <c r="AG264" i="9"/>
  <c r="AN264" i="9" s="1"/>
  <c r="AG280" i="9"/>
  <c r="AN280" i="9" s="1"/>
  <c r="AC259" i="9" a="1"/>
  <c r="AC259" i="9" s="1"/>
  <c r="AJ259" i="9" s="1"/>
  <c r="AG291" i="9"/>
  <c r="AN291" i="9" s="1"/>
  <c r="AF307" i="9"/>
  <c r="AM307" i="9" s="1"/>
  <c r="AG315" i="9"/>
  <c r="AN315" i="9" s="1"/>
  <c r="AF331" i="9"/>
  <c r="AM331" i="9" s="1"/>
  <c r="AC339" i="9" a="1"/>
  <c r="AC339" i="9" s="1"/>
  <c r="AJ339" i="9" s="1"/>
  <c r="AC427" i="9" a="1"/>
  <c r="AC427" i="9" s="1"/>
  <c r="AJ427" i="9" s="1"/>
  <c r="AF494" i="9"/>
  <c r="AM494" i="9" s="1"/>
  <c r="AC459" i="9" a="1"/>
  <c r="AC459" i="9" s="1"/>
  <c r="AJ459" i="9" s="1"/>
  <c r="AC475" i="9" a="1"/>
  <c r="AC475" i="9" s="1"/>
  <c r="AJ475" i="9" s="1"/>
  <c r="AI104" i="9"/>
  <c r="AP104" i="9" s="1"/>
  <c r="AF499" i="9"/>
  <c r="AM499" i="9" s="1"/>
  <c r="AC111" i="9" a="1"/>
  <c r="AC111" i="9" s="1"/>
  <c r="AJ111" i="9" s="1"/>
  <c r="AI123" i="9"/>
  <c r="AP123" i="9" s="1"/>
  <c r="AG155" i="9"/>
  <c r="AN155" i="9" s="1"/>
  <c r="AC239" i="9" a="1"/>
  <c r="AC239" i="9" s="1"/>
  <c r="AJ239" i="9" s="1"/>
  <c r="AC263" i="9" a="1"/>
  <c r="AC263" i="9" s="1"/>
  <c r="AJ263" i="9" s="1"/>
  <c r="AG279" i="9"/>
  <c r="AN279" i="9" s="1"/>
  <c r="AG295" i="9"/>
  <c r="AN295" i="9" s="1"/>
  <c r="AC303" i="9" a="1"/>
  <c r="AC303" i="9" s="1"/>
  <c r="AJ303" i="9" s="1"/>
  <c r="AG319" i="9"/>
  <c r="AN319" i="9" s="1"/>
  <c r="AC327" i="9" a="1"/>
  <c r="AC327" i="9" s="1"/>
  <c r="AJ327" i="9" s="1"/>
  <c r="AF343" i="9"/>
  <c r="AM343" i="9" s="1"/>
  <c r="AI208" i="9"/>
  <c r="AP208" i="9" s="1"/>
  <c r="AC162" i="9" a="1"/>
  <c r="AC162" i="9" s="1"/>
  <c r="AJ162" i="9" s="1"/>
  <c r="AG114" i="9"/>
  <c r="AN114" i="9" s="1"/>
  <c r="AI120" i="9"/>
  <c r="AP120" i="9" s="1"/>
  <c r="AG130" i="9"/>
  <c r="AN130" i="9" s="1"/>
  <c r="AC178" i="9" a="1"/>
  <c r="AC178" i="9" s="1"/>
  <c r="AJ178" i="9" s="1"/>
  <c r="AI240" i="9"/>
  <c r="AP240" i="9" s="1"/>
  <c r="AC272" i="9" a="1"/>
  <c r="AC272" i="9" s="1"/>
  <c r="AJ272" i="9" s="1"/>
  <c r="AF402" i="9"/>
  <c r="AM402" i="9" s="1"/>
  <c r="AC347" i="9" a="1"/>
  <c r="AC347" i="9" s="1"/>
  <c r="AJ347" i="9" s="1"/>
  <c r="AF423" i="9"/>
  <c r="AM423" i="9" s="1"/>
  <c r="AF439" i="9"/>
  <c r="AM439" i="9" s="1"/>
  <c r="AF359" i="9"/>
  <c r="AM359" i="9" s="1"/>
  <c r="AI367" i="9"/>
  <c r="AP367" i="9" s="1"/>
  <c r="AC375" i="9" a="1"/>
  <c r="AC375" i="9" s="1"/>
  <c r="AJ375" i="9" s="1"/>
  <c r="AI391" i="9"/>
  <c r="AP391" i="9" s="1"/>
  <c r="AC399" i="9" a="1"/>
  <c r="AC399" i="9" s="1"/>
  <c r="AJ399" i="9" s="1"/>
  <c r="AC407" i="9" a="1"/>
  <c r="AC407" i="9" s="1"/>
  <c r="AJ407" i="9" s="1"/>
  <c r="AF464" i="9"/>
  <c r="AM464" i="9" s="1"/>
  <c r="AG463" i="9"/>
  <c r="AN463" i="9" s="1"/>
  <c r="AC226" i="9" a="1"/>
  <c r="AC226" i="9" s="1"/>
  <c r="AJ226" i="9" s="1"/>
  <c r="AC227" i="9" a="1"/>
  <c r="AC227" i="9" s="1"/>
  <c r="AJ227" i="9" s="1"/>
  <c r="AG283" i="9"/>
  <c r="AN283" i="9" s="1"/>
  <c r="AI184" i="9"/>
  <c r="AP184" i="9" s="1"/>
  <c r="AH361" i="9"/>
  <c r="AO361" i="9" s="1"/>
  <c r="AH393" i="9"/>
  <c r="AO393" i="9" s="1"/>
  <c r="AC151" i="9" a="1"/>
  <c r="AC151" i="9" s="1"/>
  <c r="AJ151" i="9" s="1"/>
  <c r="AG431" i="9"/>
  <c r="AN431" i="9" s="1"/>
  <c r="AG415" i="9"/>
  <c r="AN415" i="9" s="1"/>
  <c r="AI431" i="9"/>
  <c r="AP431" i="9" s="1"/>
  <c r="AF489" i="9"/>
  <c r="AM489" i="9" s="1"/>
  <c r="AF435" i="9"/>
  <c r="AM435" i="9" s="1"/>
  <c r="AH497" i="9"/>
  <c r="AO497" i="9" s="1"/>
  <c r="AH456" i="9"/>
  <c r="AO456" i="9" s="1"/>
  <c r="AI419" i="9"/>
  <c r="AP419" i="9" s="1"/>
  <c r="AI395" i="9"/>
  <c r="AP395" i="9" s="1"/>
  <c r="AI363" i="9"/>
  <c r="AP363" i="9" s="1"/>
  <c r="AF387" i="9"/>
  <c r="AM387" i="9" s="1"/>
  <c r="AF355" i="9"/>
  <c r="AM355" i="9" s="1"/>
  <c r="AH469" i="9"/>
  <c r="AO469" i="9" s="1"/>
  <c r="AH403" i="9"/>
  <c r="AO403" i="9" s="1"/>
  <c r="AH371" i="9"/>
  <c r="AO371" i="9" s="1"/>
  <c r="AC234" i="9" a="1"/>
  <c r="AC234" i="9" s="1"/>
  <c r="AJ234" i="9" s="1"/>
  <c r="AG247" i="9"/>
  <c r="AN247" i="9" s="1"/>
  <c r="AF134" i="9"/>
  <c r="AM134" i="9" s="1"/>
  <c r="AF314" i="9"/>
  <c r="AM314" i="9" s="1"/>
  <c r="AF361" i="9"/>
  <c r="AM361" i="9" s="1"/>
  <c r="AC411" i="9" a="1"/>
  <c r="AC411" i="9" s="1"/>
  <c r="AJ411" i="9" s="1"/>
  <c r="AH495" i="9"/>
  <c r="AO495" i="9" s="1"/>
  <c r="AF95" i="9"/>
  <c r="AM95" i="9" s="1"/>
  <c r="AF432" i="9"/>
  <c r="AM432" i="9" s="1"/>
  <c r="AF158" i="9"/>
  <c r="AM158" i="9" s="1"/>
  <c r="AG115" i="9"/>
  <c r="AN115" i="9" s="1"/>
  <c r="AF165" i="9"/>
  <c r="AM165" i="9" s="1"/>
  <c r="AF266" i="9"/>
  <c r="AM266" i="9" s="1"/>
  <c r="AF145" i="9"/>
  <c r="AM145" i="9" s="1"/>
  <c r="AH359" i="9"/>
  <c r="AO359" i="9" s="1"/>
  <c r="AF85" i="9"/>
  <c r="AM85" i="9" s="1"/>
  <c r="AF306" i="9"/>
  <c r="AM306" i="9" s="1"/>
  <c r="AH438" i="9"/>
  <c r="AO438" i="9" s="1"/>
  <c r="AF436" i="9"/>
  <c r="AM436" i="9" s="1"/>
  <c r="AF157" i="9"/>
  <c r="AM157" i="9" s="1"/>
  <c r="AH449" i="9"/>
  <c r="AO449" i="9" s="1"/>
  <c r="AH248" i="9"/>
  <c r="AO248" i="9" s="1"/>
  <c r="AH216" i="9"/>
  <c r="AO216" i="9" s="1"/>
  <c r="AH174" i="9"/>
  <c r="AO174" i="9" s="1"/>
  <c r="AG187" i="9"/>
  <c r="AN187" i="9" s="1"/>
  <c r="AH242" i="9"/>
  <c r="AO242" i="9" s="1"/>
  <c r="AH306" i="9"/>
  <c r="AO306" i="9" s="1"/>
  <c r="AF259" i="9"/>
  <c r="AM259" i="9" s="1"/>
  <c r="AH388" i="9"/>
  <c r="AO388" i="9" s="1"/>
  <c r="AF349" i="9"/>
  <c r="AM349" i="9" s="1"/>
  <c r="AH434" i="9"/>
  <c r="AO434" i="9" s="1"/>
  <c r="AG435" i="9"/>
  <c r="AN435" i="9" s="1"/>
  <c r="AG143" i="9"/>
  <c r="AN143" i="9" s="1"/>
  <c r="AC195" i="9" a="1"/>
  <c r="AC195" i="9" s="1"/>
  <c r="AJ195" i="9" s="1"/>
  <c r="AF467" i="9"/>
  <c r="AM467" i="9" s="1"/>
  <c r="AH170" i="9"/>
  <c r="AO170" i="9" s="1"/>
  <c r="AF491" i="9"/>
  <c r="AM491" i="9" s="1"/>
  <c r="AH208" i="9"/>
  <c r="AO208" i="9" s="1"/>
  <c r="AH288" i="9"/>
  <c r="AO288" i="9" s="1"/>
  <c r="AH332" i="9"/>
  <c r="AO332" i="9" s="1"/>
  <c r="AH271" i="9"/>
  <c r="AO271" i="9" s="1"/>
  <c r="AG391" i="9"/>
  <c r="AN391" i="9" s="1"/>
  <c r="AH313" i="9"/>
  <c r="AO313" i="9" s="1"/>
  <c r="AF129" i="9"/>
  <c r="AM129" i="9" s="1"/>
  <c r="AI152" i="9"/>
  <c r="AP152" i="9" s="1"/>
  <c r="AH435" i="9"/>
  <c r="AO435" i="9" s="1"/>
  <c r="AI175" i="9"/>
  <c r="AP175" i="9" s="1"/>
  <c r="AH487" i="9"/>
  <c r="AO487" i="9" s="1"/>
  <c r="AF87" i="9"/>
  <c r="AM87" i="9" s="1"/>
  <c r="AH360" i="9"/>
  <c r="AO360" i="9" s="1"/>
  <c r="AH229" i="9"/>
  <c r="AO229" i="9" s="1"/>
  <c r="AF133" i="9"/>
  <c r="AM133" i="9" s="1"/>
  <c r="AF137" i="9"/>
  <c r="AM137" i="9" s="1"/>
  <c r="AH210" i="9"/>
  <c r="AO210" i="9" s="1"/>
  <c r="AI483" i="9"/>
  <c r="AP483" i="9" s="1"/>
  <c r="X18" i="5"/>
  <c r="X22" i="5" s="1"/>
  <c r="AA18" i="5"/>
  <c r="AA22" i="5" s="1"/>
  <c r="AA19" i="5"/>
  <c r="AA23" i="5" s="1"/>
  <c r="AA16" i="5"/>
  <c r="AA20" i="5" s="1"/>
  <c r="Y19" i="5"/>
  <c r="Y23" i="5" s="1"/>
  <c r="X16" i="5"/>
  <c r="X20" i="5" s="1"/>
  <c r="AK64" i="9"/>
  <c r="AV64" i="9" s="1"/>
  <c r="J561" i="21" a="1"/>
  <c r="J561" i="21" s="1"/>
  <c r="L1001" i="21"/>
  <c r="L893" i="21"/>
  <c r="J57" i="21" a="1"/>
  <c r="J57" i="21" s="1"/>
  <c r="L40" i="21"/>
  <c r="L38" i="21"/>
  <c r="J508" i="21" a="1"/>
  <c r="J508" i="21" s="1"/>
  <c r="J481" i="21" a="1"/>
  <c r="J481" i="21" s="1"/>
  <c r="M13" i="9"/>
  <c r="Y16" i="5"/>
  <c r="Y20" i="5" s="1"/>
  <c r="AK47" i="9"/>
  <c r="AV47" i="9" s="1"/>
  <c r="J10" i="9"/>
  <c r="M12" i="9"/>
  <c r="P454" i="21"/>
  <c r="K947" i="21" a="1"/>
  <c r="K947" i="21" s="1"/>
  <c r="P947" i="21" s="1"/>
  <c r="I974" i="21"/>
  <c r="I480" i="21"/>
  <c r="I615" i="21"/>
  <c r="I55" i="21"/>
  <c r="I89" i="21"/>
  <c r="P143" i="21"/>
  <c r="P37" i="21"/>
  <c r="P39" i="21"/>
  <c r="I36" i="21"/>
  <c r="L36" i="21" s="1"/>
  <c r="I48" i="21"/>
  <c r="I50" i="21"/>
  <c r="P47" i="21"/>
  <c r="I54" i="21"/>
  <c r="P51" i="21"/>
  <c r="P35" i="21"/>
  <c r="K589" i="21" a="1"/>
  <c r="K589" i="21" s="1"/>
  <c r="P589" i="21" s="1"/>
  <c r="I838" i="21"/>
  <c r="K838" i="21" a="1"/>
  <c r="K838" i="21" s="1"/>
  <c r="I534" i="21"/>
  <c r="P453" i="21"/>
  <c r="P56" i="21"/>
  <c r="P116" i="21"/>
  <c r="I172" i="21"/>
  <c r="I200" i="21"/>
  <c r="P61" i="21"/>
  <c r="P58" i="21"/>
  <c r="P115" i="21"/>
  <c r="L453" i="21"/>
  <c r="J589" i="21" a="1"/>
  <c r="J589" i="21" s="1"/>
  <c r="J974" i="21" a="1"/>
  <c r="J974" i="21" s="1"/>
  <c r="L172" i="21"/>
  <c r="L51" i="21"/>
  <c r="Y17" i="5" a="1"/>
  <c r="Y17" i="5" s="1"/>
  <c r="Y21" i="5" s="1"/>
  <c r="D10" i="5"/>
  <c r="C11" i="13"/>
  <c r="A7" i="13"/>
  <c r="A8" i="13"/>
  <c r="X10" i="13"/>
  <c r="AK57" i="9"/>
  <c r="AV57" i="9" s="1"/>
  <c r="AK80" i="9"/>
  <c r="AV80" i="9" s="1"/>
  <c r="F12" i="9"/>
  <c r="C12" i="9"/>
  <c r="N3" i="13"/>
  <c r="H3" i="13"/>
  <c r="L616" i="21"/>
  <c r="L947" i="21"/>
  <c r="L838" i="21"/>
  <c r="J58" i="21" a="1"/>
  <c r="J58" i="21" s="1"/>
  <c r="J615" i="21" a="1"/>
  <c r="J615" i="21" s="1"/>
  <c r="J534" i="21" a="1"/>
  <c r="J534" i="21" s="1"/>
  <c r="J56" i="21" a="1"/>
  <c r="J56" i="21" s="1"/>
  <c r="L116" i="21"/>
  <c r="L200" i="21"/>
  <c r="L61" i="21"/>
  <c r="L143" i="21"/>
  <c r="L39" i="21"/>
  <c r="L48" i="21"/>
  <c r="L54" i="21"/>
  <c r="N10" i="9"/>
  <c r="E10" i="9"/>
  <c r="G10" i="9"/>
  <c r="L10" i="9"/>
  <c r="J60" i="21" a="1"/>
  <c r="J60" i="21" s="1"/>
  <c r="L199" i="21"/>
  <c r="J41" i="21" a="1"/>
  <c r="J41" i="21" s="1"/>
  <c r="L49" i="21"/>
  <c r="L52" i="21"/>
  <c r="J866" i="21" a="1"/>
  <c r="J866" i="21" s="1"/>
  <c r="J839" i="21" a="1"/>
  <c r="J839" i="21" s="1"/>
  <c r="J88" i="21" a="1"/>
  <c r="J88" i="21" s="1"/>
  <c r="L144" i="21"/>
  <c r="AG254" i="9"/>
  <c r="AN254" i="9" s="1"/>
  <c r="C10" i="9"/>
  <c r="F109" i="13"/>
  <c r="AK16" i="9"/>
  <c r="AV16" i="9" s="1"/>
  <c r="AK72" i="9"/>
  <c r="AV72" i="9" s="1"/>
  <c r="AK56" i="9"/>
  <c r="AV56" i="9" s="1"/>
  <c r="AK3" i="9"/>
  <c r="AV3" i="9" s="1"/>
  <c r="B10" i="9"/>
  <c r="E12" i="9"/>
  <c r="D12" i="9"/>
  <c r="L103" i="13"/>
  <c r="Z10" i="13"/>
  <c r="M109" i="13"/>
  <c r="AR81" i="9"/>
  <c r="AR65" i="9"/>
  <c r="AK48" i="9"/>
  <c r="AV48" i="9" s="1"/>
  <c r="Z3" i="13"/>
  <c r="AK81" i="9"/>
  <c r="AV81" i="9" s="1"/>
  <c r="AK73" i="9"/>
  <c r="AV73" i="9" s="1"/>
  <c r="AK65" i="9"/>
  <c r="AV65" i="9" s="1"/>
  <c r="AK8" i="9"/>
  <c r="AV8" i="9" s="1"/>
  <c r="AR80" i="9"/>
  <c r="AR72" i="9"/>
  <c r="AK15" i="9"/>
  <c r="AV15" i="9" s="1"/>
  <c r="O5" i="5"/>
  <c r="O25" i="5" s="1"/>
  <c r="R3" i="13"/>
  <c r="J3" i="13"/>
  <c r="AA5" i="5"/>
  <c r="AA25" i="5" s="1"/>
  <c r="V3" i="13"/>
  <c r="C5" i="5"/>
  <c r="C25" i="5" s="1"/>
  <c r="F10" i="9"/>
  <c r="H288" i="21" a="1"/>
  <c r="H288" i="21" s="1"/>
  <c r="K288" i="21" s="1" a="1"/>
  <c r="K288" i="21" s="1"/>
  <c r="L288" i="21" s="1"/>
  <c r="F288" i="21"/>
  <c r="H673" i="21" a="1"/>
  <c r="H673" i="21" s="1"/>
  <c r="K673" i="21" s="1" a="1"/>
  <c r="K673" i="21" s="1"/>
  <c r="L673" i="21" s="1"/>
  <c r="F673" i="21"/>
  <c r="AS84" i="9"/>
  <c r="AS85" i="9"/>
  <c r="H1088" i="21"/>
  <c r="K1088" i="21" s="1"/>
  <c r="L1088" i="21" s="1"/>
  <c r="F1088" i="21"/>
  <c r="P62" i="21"/>
  <c r="AC5" i="5"/>
  <c r="I5" i="5"/>
  <c r="T3" i="13"/>
  <c r="L3" i="13"/>
  <c r="E3" i="13"/>
  <c r="M5" i="5"/>
  <c r="X3" i="13"/>
  <c r="P3" i="13"/>
  <c r="F3" i="13"/>
  <c r="J5" i="5"/>
  <c r="U3" i="13"/>
  <c r="M3" i="13"/>
  <c r="G3" i="13"/>
  <c r="Z4" i="13"/>
  <c r="V4" i="13"/>
  <c r="T4" i="13"/>
  <c r="R4" i="13"/>
  <c r="P4" i="13"/>
  <c r="N4" i="13"/>
  <c r="L4" i="13"/>
  <c r="J4" i="13"/>
  <c r="F4" i="13"/>
  <c r="H4" i="13"/>
  <c r="P284" i="21"/>
  <c r="K283" i="21" a="1"/>
  <c r="K283" i="21" s="1"/>
  <c r="AA3" i="13"/>
  <c r="S3" i="13"/>
  <c r="K3" i="13"/>
  <c r="D3" i="13"/>
  <c r="C3" i="13"/>
  <c r="AA4" i="13"/>
  <c r="W4" i="13"/>
  <c r="S4" i="13"/>
  <c r="O4" i="13"/>
  <c r="K4" i="13"/>
  <c r="D4" i="13"/>
  <c r="C4" i="13"/>
  <c r="L149" i="21"/>
  <c r="D10" i="9"/>
  <c r="H10" i="9"/>
  <c r="AF109" i="9"/>
  <c r="AM109" i="9" s="1"/>
  <c r="AF334" i="9"/>
  <c r="AM334" i="9" s="1"/>
  <c r="AF394" i="9"/>
  <c r="AM394" i="9" s="1"/>
  <c r="AF92" i="9"/>
  <c r="AM92" i="9" s="1"/>
  <c r="AF270" i="9"/>
  <c r="AM270" i="9" s="1"/>
  <c r="AF125" i="9"/>
  <c r="AM125" i="9" s="1"/>
  <c r="AF269" i="9"/>
  <c r="AM269" i="9" s="1"/>
  <c r="AF93" i="9"/>
  <c r="AM93" i="9" s="1"/>
  <c r="AF488" i="9"/>
  <c r="AM488" i="9" s="1"/>
  <c r="AH459" i="9"/>
  <c r="AO459" i="9" s="1"/>
  <c r="AH209" i="9"/>
  <c r="AO209" i="9" s="1"/>
  <c r="AH140" i="9"/>
  <c r="AO140" i="9" s="1"/>
  <c r="AH329" i="9"/>
  <c r="AO329" i="9" s="1"/>
  <c r="AH496" i="9"/>
  <c r="AO496" i="9" s="1"/>
  <c r="AH270" i="9"/>
  <c r="AO270" i="9" s="1"/>
  <c r="AH109" i="9"/>
  <c r="AO109" i="9" s="1"/>
  <c r="AH440" i="9"/>
  <c r="AO440" i="9" s="1"/>
  <c r="AH424" i="9"/>
  <c r="AO424" i="9" s="1"/>
  <c r="AH98" i="9"/>
  <c r="AO98" i="9" s="1"/>
  <c r="AH366" i="9"/>
  <c r="AO366" i="9" s="1"/>
  <c r="AH254" i="9"/>
  <c r="AO254" i="9" s="1"/>
  <c r="AH238" i="9"/>
  <c r="AO238" i="9" s="1"/>
  <c r="AH483" i="9"/>
  <c r="AO483" i="9" s="1"/>
  <c r="AH432" i="9"/>
  <c r="AO432" i="9" s="1"/>
  <c r="AH398" i="9"/>
  <c r="AO398" i="9" s="1"/>
  <c r="AH382" i="9"/>
  <c r="AO382" i="9" s="1"/>
  <c r="P5" i="5" l="1"/>
  <c r="AC3" i="13"/>
  <c r="AB5" i="5"/>
  <c r="R5" i="5"/>
  <c r="H5" i="5"/>
  <c r="F18" i="5"/>
  <c r="F22" i="5" s="1"/>
  <c r="Y4" i="13"/>
  <c r="U4" i="13"/>
  <c r="Q4" i="13"/>
  <c r="M4" i="13"/>
  <c r="I4" i="13"/>
  <c r="G4" i="13"/>
  <c r="Q73" i="13"/>
  <c r="T10" i="13"/>
  <c r="O73" i="13"/>
  <c r="Q67" i="13"/>
  <c r="L50" i="21"/>
  <c r="H76" i="21"/>
  <c r="L76" i="21" s="1"/>
  <c r="H155" i="21"/>
  <c r="I18" i="5"/>
  <c r="I22" i="5" s="1"/>
  <c r="E18" i="5"/>
  <c r="E22" i="5" s="1"/>
  <c r="V5" i="5"/>
  <c r="T5" i="5"/>
  <c r="N5" i="5"/>
  <c r="L5" i="5"/>
  <c r="D5" i="5"/>
  <c r="Y3" i="13"/>
  <c r="W3" i="13"/>
  <c r="Q3" i="13"/>
  <c r="O3" i="13"/>
  <c r="I3" i="13"/>
  <c r="AF18" i="13"/>
  <c r="AD12" i="13"/>
  <c r="Y5" i="5"/>
  <c r="W5" i="5"/>
  <c r="W25" i="5" s="1"/>
  <c r="U5" i="5"/>
  <c r="S17" i="5" a="1"/>
  <c r="S17" i="5" s="1"/>
  <c r="S21" i="5" s="1"/>
  <c r="Q16" i="5"/>
  <c r="Q20" i="5" s="1"/>
  <c r="O18" i="5"/>
  <c r="O22" i="5" s="1"/>
  <c r="M16" i="5"/>
  <c r="M20" i="5" s="1"/>
  <c r="K18" i="5"/>
  <c r="K22" i="5" s="1"/>
  <c r="G18" i="5"/>
  <c r="G22" i="5" s="1"/>
  <c r="C19" i="5"/>
  <c r="C23" i="5" s="1"/>
  <c r="AB3" i="13"/>
  <c r="AB4" i="13"/>
  <c r="X4" i="13"/>
  <c r="AF21" i="13"/>
  <c r="AC4" i="13"/>
  <c r="E4" i="13"/>
  <c r="F5" i="5"/>
  <c r="E5" i="5"/>
  <c r="Q5" i="5"/>
  <c r="S5" i="5"/>
  <c r="S25" i="5" s="1"/>
  <c r="K5" i="5"/>
  <c r="K25" i="5" s="1"/>
  <c r="I102" i="21"/>
  <c r="L102" i="21"/>
  <c r="P147" i="21"/>
  <c r="G5" i="5"/>
  <c r="G25" i="5" s="1"/>
  <c r="C16" i="5"/>
  <c r="C20" i="5" s="1"/>
  <c r="E17" i="5" a="1"/>
  <c r="E17" i="5" s="1"/>
  <c r="E21" i="5" s="1"/>
  <c r="I16" i="5"/>
  <c r="I20" i="5" s="1"/>
  <c r="I17" i="5" a="1"/>
  <c r="I17" i="5" s="1"/>
  <c r="I21" i="5" s="1"/>
  <c r="O16" i="5"/>
  <c r="O20" i="5" s="1"/>
  <c r="Q17" i="5" a="1"/>
  <c r="Q17" i="5" s="1"/>
  <c r="Q21" i="5" s="1"/>
  <c r="L44" i="21"/>
  <c r="L45" i="21"/>
  <c r="H98" i="21"/>
  <c r="D85" i="13"/>
  <c r="K79" i="13"/>
  <c r="O97" i="13"/>
  <c r="N103" i="13"/>
  <c r="Q103" i="13"/>
  <c r="E109" i="13"/>
  <c r="L109" i="13"/>
  <c r="N109" i="13"/>
  <c r="Q109" i="13"/>
  <c r="I79" i="13"/>
  <c r="G79" i="13"/>
  <c r="E79" i="13"/>
  <c r="J97" i="13"/>
  <c r="H85" i="13"/>
  <c r="M85" i="13"/>
  <c r="N85" i="13"/>
  <c r="I85" i="13"/>
  <c r="C109" i="13"/>
  <c r="G109" i="13"/>
  <c r="C103" i="13"/>
  <c r="G103" i="13"/>
  <c r="R19" i="5"/>
  <c r="R23" i="5" s="1"/>
  <c r="P17" i="5" a="1"/>
  <c r="P17" i="5" s="1"/>
  <c r="P21" i="5" s="1"/>
  <c r="J16" i="5"/>
  <c r="J20" i="5" s="1"/>
  <c r="H18" i="5"/>
  <c r="H22" i="5" s="1"/>
  <c r="O10" i="13"/>
  <c r="D10" i="13"/>
  <c r="F85" i="13"/>
  <c r="M79" i="13"/>
  <c r="N79" i="13"/>
  <c r="K10" i="13"/>
  <c r="G10" i="13"/>
  <c r="D109" i="13"/>
  <c r="R91" i="13"/>
  <c r="Q10" i="13"/>
  <c r="D103" i="13"/>
  <c r="C79" i="13"/>
  <c r="K85" i="13"/>
  <c r="J10" i="13"/>
  <c r="R10" i="13"/>
  <c r="AR46" i="9"/>
  <c r="H150" i="21"/>
  <c r="H129" i="21"/>
  <c r="H187" i="21"/>
  <c r="L53" i="21"/>
  <c r="I179" i="21"/>
  <c r="AK77" i="9"/>
  <c r="AV77" i="9" s="1"/>
  <c r="J149" i="21" a="1"/>
  <c r="J149" i="21" s="1"/>
  <c r="Z18" i="5"/>
  <c r="Z22" i="5" s="1"/>
  <c r="AD2" i="5"/>
  <c r="D16" i="5"/>
  <c r="D20" i="5" s="1"/>
  <c r="P76" i="21"/>
  <c r="X5" i="5"/>
  <c r="Z5" i="5"/>
  <c r="D18" i="5"/>
  <c r="D22" i="5" s="1"/>
  <c r="N17" i="5" a="1"/>
  <c r="N17" i="5" s="1"/>
  <c r="N21" i="5" s="1"/>
  <c r="AR68" i="9"/>
  <c r="J19" i="5"/>
  <c r="J23" i="5" s="1"/>
  <c r="AK62" i="9"/>
  <c r="AV62" i="9" s="1"/>
  <c r="I147" i="21"/>
  <c r="J199" i="21" a="1"/>
  <c r="J199" i="21" s="1"/>
  <c r="L47" i="21"/>
  <c r="L98" i="21"/>
  <c r="J98" i="21" a="1"/>
  <c r="J98" i="21" s="1"/>
  <c r="P98" i="21"/>
  <c r="U91" i="13"/>
  <c r="AQ327" i="9"/>
  <c r="AR104" i="9"/>
  <c r="AR247" i="9"/>
  <c r="AQ391" i="9"/>
  <c r="AK186" i="9"/>
  <c r="AV186" i="9" s="1"/>
  <c r="V10" i="13"/>
  <c r="J35" i="21" a="1"/>
  <c r="J35" i="21" s="1"/>
  <c r="L35" i="21"/>
  <c r="X91" i="13"/>
  <c r="E103" i="13"/>
  <c r="E10" i="13"/>
  <c r="AK45" i="9"/>
  <c r="AV45" i="9" s="1"/>
  <c r="AR199" i="9"/>
  <c r="AK295" i="9"/>
  <c r="AV295" i="9" s="1"/>
  <c r="AR359" i="9"/>
  <c r="AR483" i="9"/>
  <c r="AQ178" i="9"/>
  <c r="AQ208" i="9"/>
  <c r="P171" i="21"/>
  <c r="AR312" i="9"/>
  <c r="L16" i="5"/>
  <c r="L20" i="5" s="1"/>
  <c r="I76" i="21"/>
  <c r="P152" i="21"/>
  <c r="AK11" i="9"/>
  <c r="AV11" i="9" s="1"/>
  <c r="AK76" i="9"/>
  <c r="AV76" i="9" s="1"/>
  <c r="I149" i="21"/>
  <c r="AK247" i="9"/>
  <c r="AV247" i="9" s="1"/>
  <c r="AQ263" i="9"/>
  <c r="AR295" i="9"/>
  <c r="AQ359" i="9"/>
  <c r="AK383" i="9"/>
  <c r="AV383" i="9" s="1"/>
  <c r="AR391" i="9"/>
  <c r="AK104" i="9"/>
  <c r="AV104" i="9" s="1"/>
  <c r="AK112" i="9"/>
  <c r="AV112" i="9" s="1"/>
  <c r="AK178" i="9"/>
  <c r="AV178" i="9" s="1"/>
  <c r="AR208" i="9"/>
  <c r="AQ226" i="9"/>
  <c r="J18" i="5"/>
  <c r="J22" i="5" s="1"/>
  <c r="AR64" i="9"/>
  <c r="AR60" i="9"/>
  <c r="AR56" i="9"/>
  <c r="AR52" i="9"/>
  <c r="AR48" i="9"/>
  <c r="F10" i="13"/>
  <c r="AR30" i="9"/>
  <c r="AK46" i="9"/>
  <c r="AV46" i="9" s="1"/>
  <c r="AR13" i="9"/>
  <c r="AQ199" i="9"/>
  <c r="AK263" i="9"/>
  <c r="AV263" i="9" s="1"/>
  <c r="AK327" i="9"/>
  <c r="AV327" i="9" s="1"/>
  <c r="AQ383" i="9"/>
  <c r="AQ483" i="9"/>
  <c r="AR112" i="9"/>
  <c r="AR186" i="9"/>
  <c r="AK226" i="9"/>
  <c r="AV226" i="9" s="1"/>
  <c r="Z91" i="13"/>
  <c r="X97" i="13"/>
  <c r="H67" i="21"/>
  <c r="H174" i="21"/>
  <c r="D5" i="9"/>
  <c r="H127" i="21"/>
  <c r="Q97" i="13"/>
  <c r="H10" i="13"/>
  <c r="I10" i="13"/>
  <c r="I109" i="13"/>
  <c r="P85" i="13"/>
  <c r="W85" i="13"/>
  <c r="W79" i="13"/>
  <c r="P79" i="13"/>
  <c r="A4" i="5"/>
  <c r="A9" i="5"/>
  <c r="A8" i="5"/>
  <c r="E10" i="5"/>
  <c r="A7" i="5"/>
  <c r="C10" i="5"/>
  <c r="A3" i="5"/>
  <c r="A6" i="5"/>
  <c r="AB7" i="5"/>
  <c r="AB3" i="5"/>
  <c r="N10" i="13"/>
  <c r="R73" i="13"/>
  <c r="X73" i="13"/>
  <c r="L10" i="13"/>
  <c r="C67" i="13"/>
  <c r="M10" i="13"/>
  <c r="S10" i="13"/>
  <c r="F103" i="13"/>
  <c r="V109" i="13"/>
  <c r="V103" i="13"/>
  <c r="S109" i="13"/>
  <c r="K97" i="13"/>
  <c r="AA79" i="13"/>
  <c r="U79" i="13"/>
  <c r="AB9" i="5"/>
  <c r="AB8" i="5"/>
  <c r="AB6" i="5"/>
  <c r="C10" i="13"/>
  <c r="AR57" i="9"/>
  <c r="AR47" i="9"/>
  <c r="AR44" i="9"/>
  <c r="AS83" i="9"/>
  <c r="AR15" i="9"/>
  <c r="S91" i="13"/>
  <c r="H91" i="13"/>
  <c r="J91" i="13"/>
  <c r="O91" i="13"/>
  <c r="W91" i="13"/>
  <c r="P91" i="13"/>
  <c r="V97" i="13"/>
  <c r="AA97" i="13"/>
  <c r="P97" i="13"/>
  <c r="R97" i="13"/>
  <c r="V91" i="13"/>
  <c r="H185" i="21"/>
  <c r="I5" i="9"/>
  <c r="M5" i="9"/>
  <c r="F280" i="21"/>
  <c r="H5" i="9"/>
  <c r="F278" i="21"/>
  <c r="M103" i="13"/>
  <c r="Y97" i="13"/>
  <c r="S103" i="13"/>
  <c r="AA73" i="13"/>
  <c r="U73" i="13"/>
  <c r="Y67" i="13"/>
  <c r="S67" i="13"/>
  <c r="W73" i="13"/>
  <c r="P73" i="13"/>
  <c r="Y73" i="13"/>
  <c r="S73" i="13"/>
  <c r="R67" i="13"/>
  <c r="X67" i="13"/>
  <c r="C5" i="9"/>
  <c r="B5" i="9"/>
  <c r="L91" i="13"/>
  <c r="M91" i="13"/>
  <c r="Q91" i="13"/>
  <c r="Y91" i="13"/>
  <c r="I91" i="13"/>
  <c r="K91" i="13"/>
  <c r="Z97" i="13"/>
  <c r="L97" i="13"/>
  <c r="M97" i="13"/>
  <c r="T91" i="13"/>
  <c r="AA91" i="13"/>
  <c r="F282" i="21"/>
  <c r="F284" i="21"/>
  <c r="F275" i="21"/>
  <c r="U103" i="13"/>
  <c r="AA103" i="13"/>
  <c r="U109" i="13"/>
  <c r="AA109" i="13"/>
  <c r="Z73" i="13"/>
  <c r="T73" i="13"/>
  <c r="W67" i="13"/>
  <c r="P67" i="13"/>
  <c r="AA67" i="13"/>
  <c r="U67" i="13"/>
  <c r="Z67" i="13"/>
  <c r="T67" i="13"/>
  <c r="F5" i="9"/>
  <c r="Z16" i="5"/>
  <c r="Z20" i="5" s="1"/>
  <c r="N18" i="5"/>
  <c r="N22" i="5" s="1"/>
  <c r="L17" i="5" a="1"/>
  <c r="L17" i="5" s="1"/>
  <c r="L21" i="5" s="1"/>
  <c r="H16" i="5"/>
  <c r="H20" i="5" s="1"/>
  <c r="D19" i="5"/>
  <c r="D23" i="5" s="1"/>
  <c r="AF14" i="13"/>
  <c r="AQ155" i="9"/>
  <c r="H184" i="21"/>
  <c r="L184" i="21" s="1"/>
  <c r="H158" i="21"/>
  <c r="AE19" i="13"/>
  <c r="AG21" i="13"/>
  <c r="AR11" i="9"/>
  <c r="AR76" i="9"/>
  <c r="I98" i="21"/>
  <c r="L147" i="21"/>
  <c r="P102" i="21"/>
  <c r="AK27" i="9"/>
  <c r="AV27" i="9" s="1"/>
  <c r="P154" i="21"/>
  <c r="L18" i="5"/>
  <c r="L22" i="5" s="1"/>
  <c r="N19" i="5"/>
  <c r="N23" i="5" s="1"/>
  <c r="H17" i="5" a="1"/>
  <c r="H17" i="5" s="1"/>
  <c r="H21" i="5" s="1"/>
  <c r="D17" i="5" a="1"/>
  <c r="D17" i="5" s="1"/>
  <c r="D21" i="5" s="1"/>
  <c r="AK60" i="9"/>
  <c r="AV60" i="9" s="1"/>
  <c r="H146" i="21"/>
  <c r="AR59" i="9"/>
  <c r="AK82" i="9"/>
  <c r="AV82" i="9" s="1"/>
  <c r="AQ195" i="9"/>
  <c r="P16" i="5"/>
  <c r="P20" i="5" s="1"/>
  <c r="AR77" i="9"/>
  <c r="AR139" i="9"/>
  <c r="AK155" i="9"/>
  <c r="AV155" i="9" s="1"/>
  <c r="AR159" i="9"/>
  <c r="AK262" i="9"/>
  <c r="AV262" i="9" s="1"/>
  <c r="AQ139" i="9"/>
  <c r="AK195" i="9"/>
  <c r="AV195" i="9" s="1"/>
  <c r="AK363" i="9"/>
  <c r="AV363" i="9" s="1"/>
  <c r="AR43" i="9"/>
  <c r="AS86" i="9"/>
  <c r="AR29" i="9"/>
  <c r="AR27" i="9"/>
  <c r="AR16" i="9"/>
  <c r="AR14" i="9"/>
  <c r="AR12" i="9"/>
  <c r="AR8" i="9"/>
  <c r="AR6" i="9"/>
  <c r="AR3" i="9"/>
  <c r="AR75" i="9"/>
  <c r="AR63" i="9"/>
  <c r="J153" i="21" a="1"/>
  <c r="J153" i="21" s="1"/>
  <c r="I153" i="21"/>
  <c r="P153" i="21"/>
  <c r="L153" i="21"/>
  <c r="H71" i="21"/>
  <c r="I71" i="21" s="1"/>
  <c r="H100" i="21"/>
  <c r="P100" i="21" s="1"/>
  <c r="H157" i="21"/>
  <c r="AR49" i="9"/>
  <c r="AR10" i="9"/>
  <c r="AK5" i="9"/>
  <c r="AV5" i="9" s="1"/>
  <c r="H69" i="21"/>
  <c r="H66" i="21"/>
  <c r="L66" i="21" s="1"/>
  <c r="H91" i="21"/>
  <c r="J91" i="21" s="1" a="1"/>
  <c r="J91" i="21" s="1"/>
  <c r="I9" i="9"/>
  <c r="AK10" i="9"/>
  <c r="AV10" i="9" s="1"/>
  <c r="AR33" i="9"/>
  <c r="AR26" i="9"/>
  <c r="H118" i="21"/>
  <c r="L118" i="21" s="1"/>
  <c r="H90" i="21"/>
  <c r="P90" i="21" s="1"/>
  <c r="H126" i="21"/>
  <c r="F9" i="9"/>
  <c r="F286" i="21"/>
  <c r="H286" i="21" a="1"/>
  <c r="H286" i="21" s="1"/>
  <c r="K286" i="21" s="1" a="1"/>
  <c r="K286" i="21" s="1"/>
  <c r="L286" i="21" s="1"/>
  <c r="AR9" i="9"/>
  <c r="AK74" i="9"/>
  <c r="AV74" i="9" s="1"/>
  <c r="AR18" i="9"/>
  <c r="AQ68" i="9"/>
  <c r="AR17" i="9"/>
  <c r="AK49" i="9"/>
  <c r="AV49" i="9" s="1"/>
  <c r="AK66" i="9"/>
  <c r="AV66" i="9" s="1"/>
  <c r="AK26" i="9"/>
  <c r="AV26" i="9" s="1"/>
  <c r="AR67" i="9"/>
  <c r="AK69" i="9"/>
  <c r="AV69" i="9" s="1"/>
  <c r="AK4" i="9"/>
  <c r="AV4" i="9" s="1"/>
  <c r="AR74" i="9"/>
  <c r="AK18" i="9"/>
  <c r="AV18" i="9" s="1"/>
  <c r="J76" i="21" a="1"/>
  <c r="J76" i="21" s="1"/>
  <c r="R16" i="5"/>
  <c r="R20" i="5" s="1"/>
  <c r="F671" i="21"/>
  <c r="H671" i="21" a="1"/>
  <c r="H671" i="21" s="1"/>
  <c r="K671" i="21" s="1" a="1"/>
  <c r="K671" i="21" s="1"/>
  <c r="L671" i="21" s="1"/>
  <c r="AK231" i="9"/>
  <c r="AV231" i="9" s="1"/>
  <c r="AQ407" i="9"/>
  <c r="AQ487" i="9"/>
  <c r="AF12" i="5"/>
  <c r="AK59" i="9"/>
  <c r="AV59" i="9" s="1"/>
  <c r="AK264" i="9"/>
  <c r="AV264" i="9" s="1"/>
  <c r="T16" i="5"/>
  <c r="T20" i="5" s="1"/>
  <c r="AK34" i="9"/>
  <c r="AV34" i="9" s="1"/>
  <c r="AK9" i="9"/>
  <c r="AV9" i="9" s="1"/>
  <c r="AQ168" i="9"/>
  <c r="E22" i="13"/>
  <c r="F22" i="13"/>
  <c r="T22" i="13"/>
  <c r="X22" i="13"/>
  <c r="AR41" i="9"/>
  <c r="AK50" i="9"/>
  <c r="AV50" i="9" s="1"/>
  <c r="AK75" i="9"/>
  <c r="AV75" i="9" s="1"/>
  <c r="AR50" i="9"/>
  <c r="AR34" i="9"/>
  <c r="AR66" i="9"/>
  <c r="AQ279" i="9"/>
  <c r="AK367" i="9"/>
  <c r="AV367" i="9" s="1"/>
  <c r="AQ120" i="9"/>
  <c r="AK200" i="9"/>
  <c r="AV200" i="9" s="1"/>
  <c r="V17" i="5" a="1"/>
  <c r="V17" i="5" s="1"/>
  <c r="V21" i="5" s="1"/>
  <c r="T18" i="5"/>
  <c r="T22" i="5" s="1"/>
  <c r="P19" i="5"/>
  <c r="P23" i="5" s="1"/>
  <c r="Z22" i="13"/>
  <c r="AR231" i="9"/>
  <c r="AR407" i="9"/>
  <c r="AR487" i="9"/>
  <c r="AR168" i="9"/>
  <c r="AQ176" i="9"/>
  <c r="AR200" i="9"/>
  <c r="P178" i="21"/>
  <c r="I125" i="21"/>
  <c r="AR82" i="9"/>
  <c r="AK67" i="9"/>
  <c r="AV67" i="9" s="1"/>
  <c r="AK17" i="9"/>
  <c r="AV17" i="9" s="1"/>
  <c r="L88" i="21"/>
  <c r="P88" i="21"/>
  <c r="H946" i="21"/>
  <c r="H1000" i="21"/>
  <c r="H892" i="21"/>
  <c r="H973" i="21"/>
  <c r="H865" i="21"/>
  <c r="H1027" i="21"/>
  <c r="H919" i="21"/>
  <c r="H80" i="21"/>
  <c r="J80" i="21" s="1" a="1"/>
  <c r="J80" i="21" s="1"/>
  <c r="H135" i="21"/>
  <c r="F1086" i="21"/>
  <c r="H1086" i="21"/>
  <c r="K1086" i="21" s="1"/>
  <c r="L1086" i="21" s="1"/>
  <c r="AR61" i="9"/>
  <c r="H79" i="21"/>
  <c r="J79" i="21" s="1" a="1"/>
  <c r="J79" i="21" s="1"/>
  <c r="AG19" i="13"/>
  <c r="H190" i="21"/>
  <c r="I190" i="21" s="1"/>
  <c r="H106" i="21"/>
  <c r="P106" i="21" s="1"/>
  <c r="H151" i="21"/>
  <c r="X19" i="5"/>
  <c r="X23" i="5" s="1"/>
  <c r="V19" i="5"/>
  <c r="V23" i="5" s="1"/>
  <c r="AD14" i="5"/>
  <c r="T17" i="5" a="1"/>
  <c r="T17" i="5" s="1"/>
  <c r="T21" i="5" s="1"/>
  <c r="D287" i="21" a="1"/>
  <c r="D287" i="21" s="1"/>
  <c r="D672" i="21" a="1"/>
  <c r="D672" i="21" s="1"/>
  <c r="D1087" i="21" a="1"/>
  <c r="D1087" i="21" s="1"/>
  <c r="D1091" i="21" a="1"/>
  <c r="D1091" i="21" s="1"/>
  <c r="H1091" i="21" s="1"/>
  <c r="L1091" i="21" s="1"/>
  <c r="H4" i="21"/>
  <c r="P4" i="21" s="1"/>
  <c r="H3" i="21"/>
  <c r="P3" i="21" s="1"/>
  <c r="AK279" i="9"/>
  <c r="AV279" i="9" s="1"/>
  <c r="AQ367" i="9"/>
  <c r="AK120" i="9"/>
  <c r="AV120" i="9" s="1"/>
  <c r="AK176" i="9"/>
  <c r="AV176" i="9" s="1"/>
  <c r="AR264" i="9"/>
  <c r="V16" i="5"/>
  <c r="V20" i="5" s="1"/>
  <c r="V18" i="5"/>
  <c r="V22" i="5" s="1"/>
  <c r="AF14" i="5"/>
  <c r="AD11" i="5"/>
  <c r="AF11" i="5"/>
  <c r="AG11" i="5" s="1"/>
  <c r="AK13" i="9"/>
  <c r="AV13" i="9" s="1"/>
  <c r="AG20" i="13"/>
  <c r="R22" i="13"/>
  <c r="AR62" i="9"/>
  <c r="AR69" i="9"/>
  <c r="H130" i="21"/>
  <c r="H92" i="21"/>
  <c r="L92" i="21" s="1"/>
  <c r="H93" i="21"/>
  <c r="J93" i="21" s="1" a="1"/>
  <c r="J93" i="21" s="1"/>
  <c r="J92" i="21" a="1"/>
  <c r="J92" i="21" s="1"/>
  <c r="H72" i="21"/>
  <c r="H68" i="21"/>
  <c r="H86" i="21"/>
  <c r="I86" i="21" s="1"/>
  <c r="H177" i="21"/>
  <c r="J177" i="21" s="1" a="1"/>
  <c r="J177" i="21" s="1"/>
  <c r="H65" i="21"/>
  <c r="H120" i="21"/>
  <c r="H87" i="21"/>
  <c r="J87" i="21" s="1" a="1"/>
  <c r="J87" i="21" s="1"/>
  <c r="H77" i="21"/>
  <c r="H137" i="21"/>
  <c r="H119" i="21"/>
  <c r="H101" i="21"/>
  <c r="J101" i="21" s="1" a="1"/>
  <c r="J101" i="21" s="1"/>
  <c r="H162" i="21"/>
  <c r="H73" i="21"/>
  <c r="L73" i="21" s="1"/>
  <c r="H78" i="21"/>
  <c r="H163" i="21"/>
  <c r="I163" i="21" s="1"/>
  <c r="H159" i="21"/>
  <c r="H186" i="21"/>
  <c r="J186" i="21" s="1" a="1"/>
  <c r="J186" i="21" s="1"/>
  <c r="H191" i="21"/>
  <c r="X17" i="5" a="1"/>
  <c r="X17" i="5" s="1"/>
  <c r="X21" i="5" s="1"/>
  <c r="T19" i="5"/>
  <c r="T23" i="5" s="1"/>
  <c r="P18" i="5"/>
  <c r="P22" i="5" s="1"/>
  <c r="L19" i="5"/>
  <c r="L23" i="5" s="1"/>
  <c r="H19" i="5"/>
  <c r="H23" i="5" s="1"/>
  <c r="AD14" i="13"/>
  <c r="AD15" i="13"/>
  <c r="AF15" i="13"/>
  <c r="AD20" i="13"/>
  <c r="AE20" i="13" s="1"/>
  <c r="AF12" i="13"/>
  <c r="W18" i="5"/>
  <c r="W22" i="5" s="1"/>
  <c r="S16" i="5"/>
  <c r="S20" i="5" s="1"/>
  <c r="S18" i="5"/>
  <c r="S22" i="5" s="1"/>
  <c r="O17" i="5" a="1"/>
  <c r="O17" i="5" s="1"/>
  <c r="O21" i="5" s="1"/>
  <c r="K17" i="5" a="1"/>
  <c r="K17" i="5" s="1"/>
  <c r="K21" i="5" s="1"/>
  <c r="K19" i="5"/>
  <c r="K23" i="5" s="1"/>
  <c r="K16" i="5"/>
  <c r="K20" i="5" s="1"/>
  <c r="AD15" i="5"/>
  <c r="AF15" i="5"/>
  <c r="AQ71" i="9"/>
  <c r="AK159" i="9"/>
  <c r="AV159" i="9" s="1"/>
  <c r="P175" i="21"/>
  <c r="H170" i="21"/>
  <c r="H74" i="21"/>
  <c r="L74" i="21" s="1"/>
  <c r="H83" i="21"/>
  <c r="I83" i="21" s="1"/>
  <c r="H84" i="21"/>
  <c r="H176" i="21"/>
  <c r="H165" i="21"/>
  <c r="I165" i="21" s="1"/>
  <c r="H188" i="21"/>
  <c r="H70" i="21"/>
  <c r="L70" i="21" s="1"/>
  <c r="H198" i="21"/>
  <c r="J198" i="21" s="1" a="1"/>
  <c r="J198" i="21" s="1"/>
  <c r="H99" i="21"/>
  <c r="H103" i="21"/>
  <c r="L103" i="21" s="1"/>
  <c r="H131" i="21"/>
  <c r="H138" i="21"/>
  <c r="H134" i="21"/>
  <c r="I134" i="21" s="1"/>
  <c r="H97" i="21"/>
  <c r="H121" i="21"/>
  <c r="J121" i="21" s="1" a="1"/>
  <c r="J121" i="21" s="1"/>
  <c r="H148" i="21"/>
  <c r="J148" i="21" s="1" a="1"/>
  <c r="J148" i="21" s="1"/>
  <c r="H107" i="21"/>
  <c r="L107" i="21" s="1"/>
  <c r="H128" i="21"/>
  <c r="H181" i="21"/>
  <c r="H142" i="21"/>
  <c r="P142" i="21" s="1"/>
  <c r="H180" i="21"/>
  <c r="P180" i="21" s="1"/>
  <c r="H194" i="21"/>
  <c r="L194" i="21" s="1"/>
  <c r="H124" i="21"/>
  <c r="Z19" i="5"/>
  <c r="Z23" i="5" s="1"/>
  <c r="Z17" i="5" a="1"/>
  <c r="Z17" i="5" s="1"/>
  <c r="Z21" i="5" s="1"/>
  <c r="R18" i="5"/>
  <c r="R22" i="5" s="1"/>
  <c r="R17" i="5" a="1"/>
  <c r="R17" i="5" s="1"/>
  <c r="R21" i="5" s="1"/>
  <c r="N16" i="5"/>
  <c r="N20" i="5" s="1"/>
  <c r="J17" i="5" a="1"/>
  <c r="J17" i="5" s="1"/>
  <c r="J21" i="5" s="1"/>
  <c r="F16" i="5"/>
  <c r="F17" i="5" a="1"/>
  <c r="F17" i="5" s="1"/>
  <c r="F19" i="5"/>
  <c r="F23" i="5" s="1"/>
  <c r="AD17" i="13"/>
  <c r="AE17" i="13" s="1"/>
  <c r="AF13" i="13"/>
  <c r="Y18" i="5"/>
  <c r="Y22" i="5" s="1"/>
  <c r="U17" i="5" a="1"/>
  <c r="U17" i="5" s="1"/>
  <c r="U21" i="5" s="1"/>
  <c r="M19" i="5"/>
  <c r="M23" i="5" s="1"/>
  <c r="E19" i="5"/>
  <c r="E23" i="5" s="1"/>
  <c r="AF13" i="5"/>
  <c r="AD13" i="5"/>
  <c r="H132" i="21"/>
  <c r="H109" i="21"/>
  <c r="I109" i="21" s="1"/>
  <c r="AR83" i="9"/>
  <c r="AK83" i="9"/>
  <c r="AV83" i="9" s="1"/>
  <c r="J146" i="21" a="1"/>
  <c r="J146" i="21" s="1"/>
  <c r="P146" i="21"/>
  <c r="L146" i="21"/>
  <c r="K146" i="21"/>
  <c r="K147" i="21" s="1"/>
  <c r="I146" i="21"/>
  <c r="F270" i="21"/>
  <c r="I73" i="21"/>
  <c r="F258" i="21"/>
  <c r="F260" i="21"/>
  <c r="F264" i="21"/>
  <c r="F268" i="21"/>
  <c r="H96" i="21"/>
  <c r="P96" i="21" s="1"/>
  <c r="H104" i="21"/>
  <c r="L163" i="21"/>
  <c r="F262" i="21"/>
  <c r="F266" i="21"/>
  <c r="I95" i="21"/>
  <c r="L95" i="21"/>
  <c r="J95" i="21" a="1"/>
  <c r="J95" i="21" s="1"/>
  <c r="P95" i="21"/>
  <c r="J90" i="21" a="1"/>
  <c r="J90" i="21" s="1"/>
  <c r="AD4" i="13"/>
  <c r="P187" i="21"/>
  <c r="D1109" i="21"/>
  <c r="J5" i="9"/>
  <c r="G5" i="9"/>
  <c r="G9" i="9"/>
  <c r="O5" i="9"/>
  <c r="O9" i="9"/>
  <c r="H75" i="21"/>
  <c r="J63" i="21" a="1"/>
  <c r="J63" i="21" s="1"/>
  <c r="L63" i="21"/>
  <c r="P63" i="21"/>
  <c r="I63" i="21"/>
  <c r="L5" i="9"/>
  <c r="E5" i="9"/>
  <c r="N5" i="9"/>
  <c r="N9" i="9"/>
  <c r="J156" i="21" a="1"/>
  <c r="J156" i="21" s="1"/>
  <c r="I156" i="21"/>
  <c r="P156" i="21"/>
  <c r="L156" i="21"/>
  <c r="J125" i="21" a="1"/>
  <c r="J125" i="21" s="1"/>
  <c r="L125" i="21"/>
  <c r="I154" i="21"/>
  <c r="J154" i="21" a="1"/>
  <c r="J154" i="21" s="1"/>
  <c r="J123" i="21" a="1"/>
  <c r="J123" i="21" s="1"/>
  <c r="P123" i="21"/>
  <c r="I123" i="21"/>
  <c r="L123" i="21"/>
  <c r="J64" i="21" a="1"/>
  <c r="J64" i="21" s="1"/>
  <c r="L64" i="21"/>
  <c r="I64" i="21"/>
  <c r="P64" i="21"/>
  <c r="D1106" i="21"/>
  <c r="D1105" i="21"/>
  <c r="D1107" i="21"/>
  <c r="D1108" i="21"/>
  <c r="K5" i="9"/>
  <c r="K9" i="9"/>
  <c r="L155" i="21"/>
  <c r="J155" i="21" a="1"/>
  <c r="J155" i="21" s="1"/>
  <c r="I155" i="21"/>
  <c r="P155" i="21"/>
  <c r="L185" i="21"/>
  <c r="P185" i="21"/>
  <c r="D9" i="9"/>
  <c r="P182" i="21"/>
  <c r="L182" i="21"/>
  <c r="J182" i="21" a="1"/>
  <c r="J182" i="21" s="1"/>
  <c r="I182" i="21"/>
  <c r="P179" i="21"/>
  <c r="L179" i="21"/>
  <c r="I152" i="21"/>
  <c r="L152" i="21"/>
  <c r="J175" i="21" a="1"/>
  <c r="J175" i="21" s="1"/>
  <c r="I175" i="21"/>
  <c r="L94" i="21"/>
  <c r="J94" i="21" a="1"/>
  <c r="J94" i="21" s="1"/>
  <c r="I94" i="21"/>
  <c r="P94" i="21"/>
  <c r="H122" i="21"/>
  <c r="D1104" i="21"/>
  <c r="D1102" i="21"/>
  <c r="P86" i="21"/>
  <c r="P174" i="21"/>
  <c r="I174" i="21"/>
  <c r="J174" i="21" a="1"/>
  <c r="J174" i="21" s="1"/>
  <c r="K174" i="21"/>
  <c r="K175" i="21" s="1"/>
  <c r="L174" i="21"/>
  <c r="J178" i="21" a="1"/>
  <c r="J178" i="21" s="1"/>
  <c r="I178" i="21"/>
  <c r="L150" i="21"/>
  <c r="J150" i="21" a="1"/>
  <c r="J150" i="21" s="1"/>
  <c r="I150" i="21"/>
  <c r="P150" i="21"/>
  <c r="I183" i="21"/>
  <c r="P183" i="21"/>
  <c r="J183" i="21" a="1"/>
  <c r="J183" i="21" s="1"/>
  <c r="J129" i="21" a="1"/>
  <c r="J129" i="21" s="1"/>
  <c r="AR262" i="9"/>
  <c r="AE21" i="13"/>
  <c r="AG18" i="13"/>
  <c r="AE16" i="13"/>
  <c r="AR413" i="9"/>
  <c r="AQ413" i="9"/>
  <c r="AK451" i="9"/>
  <c r="AV451" i="9" s="1"/>
  <c r="AR451" i="9"/>
  <c r="AK376" i="9"/>
  <c r="AV376" i="9" s="1"/>
  <c r="AQ376" i="9"/>
  <c r="V22" i="13"/>
  <c r="AQ118" i="9"/>
  <c r="AK118" i="9"/>
  <c r="AV118" i="9" s="1"/>
  <c r="AQ266" i="9"/>
  <c r="AR266" i="9"/>
  <c r="AQ319" i="9"/>
  <c r="AR319" i="9"/>
  <c r="AK377" i="9"/>
  <c r="AV377" i="9" s="1"/>
  <c r="AR377" i="9"/>
  <c r="AQ114" i="9"/>
  <c r="AK114" i="9"/>
  <c r="AV114" i="9" s="1"/>
  <c r="AR114" i="9"/>
  <c r="AK236" i="9"/>
  <c r="AV236" i="9" s="1"/>
  <c r="AQ236" i="9"/>
  <c r="AR395" i="9"/>
  <c r="AQ395" i="9"/>
  <c r="AK395" i="9"/>
  <c r="AV395" i="9" s="1"/>
  <c r="AQ111" i="9"/>
  <c r="AK111" i="9"/>
  <c r="AV111" i="9" s="1"/>
  <c r="AR111" i="9"/>
  <c r="AR313" i="9"/>
  <c r="AK313" i="9"/>
  <c r="AV313" i="9" s="1"/>
  <c r="AG12" i="5"/>
  <c r="AR265" i="9"/>
  <c r="AK265" i="9"/>
  <c r="AV265" i="9" s="1"/>
  <c r="AR329" i="9"/>
  <c r="AK329" i="9"/>
  <c r="AV329" i="9" s="1"/>
  <c r="AQ465" i="9"/>
  <c r="AK465" i="9"/>
  <c r="AV465" i="9" s="1"/>
  <c r="AR465" i="9"/>
  <c r="AR379" i="9"/>
  <c r="AQ379" i="9"/>
  <c r="AK379" i="9"/>
  <c r="AV379" i="9" s="1"/>
  <c r="AQ167" i="9"/>
  <c r="AK167" i="9"/>
  <c r="AV167" i="9" s="1"/>
  <c r="AR167" i="9"/>
  <c r="AK300" i="9"/>
  <c r="AV300" i="9" s="1"/>
  <c r="AQ300" i="9"/>
  <c r="AR207" i="9"/>
  <c r="AQ207" i="9"/>
  <c r="AK184" i="9"/>
  <c r="AV184" i="9" s="1"/>
  <c r="AR184" i="9"/>
  <c r="AQ184" i="9"/>
  <c r="AQ458" i="9"/>
  <c r="AK458" i="9"/>
  <c r="AV458" i="9" s="1"/>
  <c r="AR458" i="9"/>
  <c r="AK361" i="9"/>
  <c r="AV361" i="9" s="1"/>
  <c r="AR361" i="9"/>
  <c r="AR248" i="9"/>
  <c r="AK248" i="9"/>
  <c r="AV248" i="9" s="1"/>
  <c r="AQ248" i="9"/>
  <c r="AK502" i="9"/>
  <c r="AV502" i="9" s="1"/>
  <c r="AQ502" i="9"/>
  <c r="AQ187" i="9"/>
  <c r="AR187" i="9"/>
  <c r="AR481" i="9"/>
  <c r="AK481" i="9"/>
  <c r="AV481" i="9" s="1"/>
  <c r="AQ441" i="9"/>
  <c r="AR441" i="9"/>
  <c r="AR412" i="9"/>
  <c r="AK412" i="9"/>
  <c r="AV412" i="9" s="1"/>
  <c r="AQ171" i="9"/>
  <c r="AR171" i="9"/>
  <c r="AQ473" i="9"/>
  <c r="AK473" i="9"/>
  <c r="AV473" i="9" s="1"/>
  <c r="AR473" i="9"/>
  <c r="AR426" i="9"/>
  <c r="AQ426" i="9"/>
  <c r="AK426" i="9"/>
  <c r="AV426" i="9" s="1"/>
  <c r="AR387" i="9"/>
  <c r="AQ387" i="9"/>
  <c r="AK387" i="9"/>
  <c r="AV387" i="9" s="1"/>
  <c r="AR355" i="9"/>
  <c r="AQ355" i="9"/>
  <c r="AK355" i="9"/>
  <c r="AV355" i="9" s="1"/>
  <c r="AR103" i="9"/>
  <c r="AQ103" i="9"/>
  <c r="AK103" i="9"/>
  <c r="AV103" i="9" s="1"/>
  <c r="AQ98" i="9"/>
  <c r="AR98" i="9"/>
  <c r="AK268" i="9"/>
  <c r="AV268" i="9" s="1"/>
  <c r="AQ268" i="9"/>
  <c r="AQ406" i="9"/>
  <c r="AR406" i="9"/>
  <c r="AK161" i="9"/>
  <c r="AV161" i="9" s="1"/>
  <c r="AQ161" i="9"/>
  <c r="AQ163" i="9"/>
  <c r="AR163" i="9"/>
  <c r="AR166" i="9"/>
  <c r="AQ166" i="9"/>
  <c r="AK166" i="9"/>
  <c r="AV166" i="9" s="1"/>
  <c r="AQ298" i="9"/>
  <c r="AK298" i="9"/>
  <c r="AV298" i="9" s="1"/>
  <c r="AR298" i="9"/>
  <c r="AQ414" i="9"/>
  <c r="AR414" i="9"/>
  <c r="AK414" i="9"/>
  <c r="AV414" i="9" s="1"/>
  <c r="AK401" i="9"/>
  <c r="AV401" i="9" s="1"/>
  <c r="AR401" i="9"/>
  <c r="AK369" i="9"/>
  <c r="AV369" i="9" s="1"/>
  <c r="AR369" i="9"/>
  <c r="AQ210" i="9"/>
  <c r="AR210" i="9"/>
  <c r="AR202" i="9"/>
  <c r="AK202" i="9"/>
  <c r="AV202" i="9" s="1"/>
  <c r="AQ202" i="9"/>
  <c r="AR364" i="9"/>
  <c r="AK364" i="9"/>
  <c r="AV364" i="9" s="1"/>
  <c r="AQ364" i="9"/>
  <c r="AQ472" i="9"/>
  <c r="AR472" i="9"/>
  <c r="AQ229" i="9"/>
  <c r="AR229" i="9"/>
  <c r="AQ271" i="9"/>
  <c r="AR271" i="9"/>
  <c r="AQ335" i="9"/>
  <c r="AR335" i="9"/>
  <c r="AQ130" i="9"/>
  <c r="AR130" i="9"/>
  <c r="AK130" i="9"/>
  <c r="AV130" i="9" s="1"/>
  <c r="AQ294" i="9"/>
  <c r="AR294" i="9"/>
  <c r="AQ423" i="9"/>
  <c r="AR423" i="9"/>
  <c r="AR37" i="9"/>
  <c r="AR45" i="9"/>
  <c r="AR54" i="9"/>
  <c r="AR70" i="9"/>
  <c r="AR78" i="9"/>
  <c r="AR22" i="9"/>
  <c r="AR55" i="9"/>
  <c r="AR51" i="9"/>
  <c r="H22" i="13"/>
  <c r="N22" i="13"/>
  <c r="AR5" i="9"/>
  <c r="AR4" i="9"/>
  <c r="AK14" i="9"/>
  <c r="AV14" i="9" s="1"/>
  <c r="AR7" i="9"/>
  <c r="AK38" i="9"/>
  <c r="AV38" i="9" s="1"/>
  <c r="AK71" i="9"/>
  <c r="AV71" i="9" s="1"/>
  <c r="AK79" i="9"/>
  <c r="AV79" i="9" s="1"/>
  <c r="AR38" i="9"/>
  <c r="AR79" i="9"/>
  <c r="AK52" i="9"/>
  <c r="AV52" i="9" s="1"/>
  <c r="AQ313" i="9"/>
  <c r="AK98" i="9"/>
  <c r="AV98" i="9" s="1"/>
  <c r="AR268" i="9"/>
  <c r="AK406" i="9"/>
  <c r="AV406" i="9" s="1"/>
  <c r="AR161" i="9"/>
  <c r="AQ401" i="9"/>
  <c r="AQ369" i="9"/>
  <c r="AR502" i="9"/>
  <c r="AK271" i="9"/>
  <c r="AV271" i="9" s="1"/>
  <c r="AK335" i="9"/>
  <c r="AV335" i="9" s="1"/>
  <c r="AK441" i="9"/>
  <c r="AV441" i="9" s="1"/>
  <c r="AQ402" i="9"/>
  <c r="AR402" i="9"/>
  <c r="AR174" i="9"/>
  <c r="AK174" i="9"/>
  <c r="AV174" i="9" s="1"/>
  <c r="AQ174" i="9"/>
  <c r="AR348" i="9"/>
  <c r="AQ348" i="9"/>
  <c r="AK348" i="9"/>
  <c r="AV348" i="9" s="1"/>
  <c r="AR480" i="9"/>
  <c r="AQ480" i="9"/>
  <c r="AK480" i="9"/>
  <c r="AV480" i="9" s="1"/>
  <c r="AQ411" i="9"/>
  <c r="AK411" i="9"/>
  <c r="AV411" i="9" s="1"/>
  <c r="AR411" i="9"/>
  <c r="AR87" i="9"/>
  <c r="AK87" i="9"/>
  <c r="AV87" i="9" s="1"/>
  <c r="AQ87" i="9"/>
  <c r="AQ172" i="9"/>
  <c r="AR172" i="9"/>
  <c r="AR249" i="9"/>
  <c r="AK249" i="9"/>
  <c r="AV249" i="9" s="1"/>
  <c r="AR233" i="9"/>
  <c r="AK233" i="9"/>
  <c r="AV233" i="9" s="1"/>
  <c r="AR297" i="9"/>
  <c r="AK297" i="9"/>
  <c r="AV297" i="9" s="1"/>
  <c r="AR132" i="9"/>
  <c r="AK132" i="9"/>
  <c r="AV132" i="9" s="1"/>
  <c r="AQ132" i="9"/>
  <c r="AR418" i="9"/>
  <c r="AQ418" i="9"/>
  <c r="AK418" i="9"/>
  <c r="AV418" i="9" s="1"/>
  <c r="AR133" i="9"/>
  <c r="AQ133" i="9"/>
  <c r="AK133" i="9"/>
  <c r="AV133" i="9" s="1"/>
  <c r="AQ126" i="9"/>
  <c r="AR126" i="9"/>
  <c r="AQ429" i="9"/>
  <c r="AR429" i="9"/>
  <c r="AK489" i="9"/>
  <c r="AV489" i="9" s="1"/>
  <c r="AR489" i="9"/>
  <c r="AQ330" i="9"/>
  <c r="AK330" i="9"/>
  <c r="AV330" i="9" s="1"/>
  <c r="AR330" i="9"/>
  <c r="AK393" i="9"/>
  <c r="AV393" i="9" s="1"/>
  <c r="AR393" i="9"/>
  <c r="AQ94" i="9"/>
  <c r="AR94" i="9"/>
  <c r="AR396" i="9"/>
  <c r="AK396" i="9"/>
  <c r="AV396" i="9" s="1"/>
  <c r="AQ396" i="9"/>
  <c r="AQ499" i="9"/>
  <c r="AR499" i="9"/>
  <c r="AQ287" i="9"/>
  <c r="AR287" i="9"/>
  <c r="AQ326" i="9"/>
  <c r="AR326" i="9"/>
  <c r="AR144" i="9"/>
  <c r="AK144" i="9"/>
  <c r="AV144" i="9" s="1"/>
  <c r="AR92" i="9"/>
  <c r="AK92" i="9"/>
  <c r="AV92" i="9" s="1"/>
  <c r="AQ92" i="9"/>
  <c r="AQ197" i="9"/>
  <c r="AR197" i="9"/>
  <c r="AK197" i="9"/>
  <c r="AV197" i="9" s="1"/>
  <c r="AK457" i="9"/>
  <c r="AV457" i="9" s="1"/>
  <c r="AQ457" i="9"/>
  <c r="AR457" i="9"/>
  <c r="AR403" i="9"/>
  <c r="AQ403" i="9"/>
  <c r="AK403" i="9"/>
  <c r="AV403" i="9" s="1"/>
  <c r="AR371" i="9"/>
  <c r="AQ371" i="9"/>
  <c r="AK371" i="9"/>
  <c r="AV371" i="9" s="1"/>
  <c r="AR137" i="9"/>
  <c r="AQ137" i="9"/>
  <c r="AK137" i="9"/>
  <c r="AV137" i="9" s="1"/>
  <c r="AQ493" i="9"/>
  <c r="AR493" i="9"/>
  <c r="AK493" i="9"/>
  <c r="AV493" i="9" s="1"/>
  <c r="AR182" i="9"/>
  <c r="AK182" i="9"/>
  <c r="AV182" i="9" s="1"/>
  <c r="AK332" i="9"/>
  <c r="AV332" i="9" s="1"/>
  <c r="AQ332" i="9"/>
  <c r="AQ468" i="9"/>
  <c r="AK468" i="9"/>
  <c r="AV468" i="9" s="1"/>
  <c r="AR468" i="9"/>
  <c r="AR223" i="9"/>
  <c r="AQ223" i="9"/>
  <c r="AQ220" i="9"/>
  <c r="AR220" i="9"/>
  <c r="AQ234" i="9"/>
  <c r="AK234" i="9"/>
  <c r="AV234" i="9" s="1"/>
  <c r="AR234" i="9"/>
  <c r="AQ382" i="9"/>
  <c r="AK382" i="9"/>
  <c r="AV382" i="9" s="1"/>
  <c r="AR382" i="9"/>
  <c r="AK157" i="9"/>
  <c r="AV157" i="9" s="1"/>
  <c r="AR157" i="9"/>
  <c r="AQ157" i="9"/>
  <c r="AK385" i="9"/>
  <c r="AV385" i="9" s="1"/>
  <c r="AR385" i="9"/>
  <c r="AK353" i="9"/>
  <c r="AV353" i="9" s="1"/>
  <c r="AR353" i="9"/>
  <c r="AR154" i="9"/>
  <c r="AK154" i="9"/>
  <c r="AV154" i="9" s="1"/>
  <c r="AQ154" i="9"/>
  <c r="AR280" i="9"/>
  <c r="AK280" i="9"/>
  <c r="AV280" i="9" s="1"/>
  <c r="AQ280" i="9"/>
  <c r="AQ417" i="9"/>
  <c r="AR417" i="9"/>
  <c r="AK417" i="9"/>
  <c r="AV417" i="9" s="1"/>
  <c r="AK177" i="9"/>
  <c r="AV177" i="9" s="1"/>
  <c r="AQ177" i="9"/>
  <c r="AQ239" i="9"/>
  <c r="AR239" i="9"/>
  <c r="AQ303" i="9"/>
  <c r="AR303" i="9"/>
  <c r="AK224" i="9"/>
  <c r="AV224" i="9" s="1"/>
  <c r="AQ224" i="9"/>
  <c r="AQ230" i="9"/>
  <c r="AR230" i="9"/>
  <c r="AQ370" i="9"/>
  <c r="AR370" i="9"/>
  <c r="AQ488" i="9"/>
  <c r="AR488" i="9"/>
  <c r="AK96" i="9"/>
  <c r="AV96" i="9" s="1"/>
  <c r="AR96" i="9"/>
  <c r="AQ96" i="9"/>
  <c r="AR91" i="9"/>
  <c r="AQ91" i="9"/>
  <c r="AK91" i="9"/>
  <c r="AV91" i="9" s="1"/>
  <c r="AK448" i="9"/>
  <c r="AV448" i="9" s="1"/>
  <c r="AR448" i="9"/>
  <c r="AQ448" i="9"/>
  <c r="AR501" i="9"/>
  <c r="AQ501" i="9"/>
  <c r="AK501" i="9"/>
  <c r="AV501" i="9" s="1"/>
  <c r="AR333" i="9"/>
  <c r="AQ333" i="9"/>
  <c r="AK333" i="9"/>
  <c r="AV333" i="9" s="1"/>
  <c r="AR317" i="9"/>
  <c r="AQ317" i="9"/>
  <c r="AK317" i="9"/>
  <c r="AV317" i="9" s="1"/>
  <c r="AR301" i="9"/>
  <c r="AQ301" i="9"/>
  <c r="AK301" i="9"/>
  <c r="AV301" i="9" s="1"/>
  <c r="AR285" i="9"/>
  <c r="AQ285" i="9"/>
  <c r="AK285" i="9"/>
  <c r="AV285" i="9" s="1"/>
  <c r="AR269" i="9"/>
  <c r="AQ269" i="9"/>
  <c r="AK269" i="9"/>
  <c r="AV269" i="9" s="1"/>
  <c r="AR253" i="9"/>
  <c r="AQ253" i="9"/>
  <c r="AK253" i="9"/>
  <c r="AV253" i="9" s="1"/>
  <c r="AR237" i="9"/>
  <c r="AQ237" i="9"/>
  <c r="AK237" i="9"/>
  <c r="AV237" i="9" s="1"/>
  <c r="AQ95" i="9"/>
  <c r="AK95" i="9"/>
  <c r="AV95" i="9" s="1"/>
  <c r="AR95" i="9"/>
  <c r="AQ420" i="9"/>
  <c r="AR420" i="9"/>
  <c r="AK420" i="9"/>
  <c r="AV420" i="9" s="1"/>
  <c r="AQ428" i="9"/>
  <c r="AR428" i="9"/>
  <c r="AK428" i="9"/>
  <c r="AV428" i="9" s="1"/>
  <c r="AQ436" i="9"/>
  <c r="AR436" i="9"/>
  <c r="AK436" i="9"/>
  <c r="AV436" i="9" s="1"/>
  <c r="AR100" i="9"/>
  <c r="AQ100" i="9"/>
  <c r="AK100" i="9"/>
  <c r="AV100" i="9" s="1"/>
  <c r="AR99" i="9"/>
  <c r="AQ99" i="9"/>
  <c r="AK99" i="9"/>
  <c r="AV99" i="9" s="1"/>
  <c r="AR452" i="9"/>
  <c r="AQ452" i="9"/>
  <c r="AK452" i="9"/>
  <c r="AV452" i="9" s="1"/>
  <c r="AQ84" i="9"/>
  <c r="AK84" i="9"/>
  <c r="AV84" i="9" s="1"/>
  <c r="AR84" i="9"/>
  <c r="AR496" i="9"/>
  <c r="AQ496" i="9"/>
  <c r="AK496" i="9"/>
  <c r="AV496" i="9" s="1"/>
  <c r="AR462" i="9"/>
  <c r="AQ462" i="9"/>
  <c r="AK462" i="9"/>
  <c r="AV462" i="9" s="1"/>
  <c r="AR431" i="9"/>
  <c r="AQ431" i="9"/>
  <c r="AK431" i="9"/>
  <c r="AV431" i="9" s="1"/>
  <c r="AR352" i="9"/>
  <c r="AQ352" i="9"/>
  <c r="AK352" i="9"/>
  <c r="AV352" i="9" s="1"/>
  <c r="AR378" i="9"/>
  <c r="AK378" i="9"/>
  <c r="AV378" i="9" s="1"/>
  <c r="AQ378" i="9"/>
  <c r="AR334" i="9"/>
  <c r="AQ334" i="9"/>
  <c r="AK334" i="9"/>
  <c r="AV334" i="9" s="1"/>
  <c r="AR302" i="9"/>
  <c r="AK302" i="9"/>
  <c r="AV302" i="9" s="1"/>
  <c r="AQ302" i="9"/>
  <c r="AR270" i="9"/>
  <c r="AQ270" i="9"/>
  <c r="AK270" i="9"/>
  <c r="AV270" i="9" s="1"/>
  <c r="AR238" i="9"/>
  <c r="AK238" i="9"/>
  <c r="AV238" i="9" s="1"/>
  <c r="AQ238" i="9"/>
  <c r="AR180" i="9"/>
  <c r="AQ180" i="9"/>
  <c r="AK180" i="9"/>
  <c r="AV180" i="9" s="1"/>
  <c r="AR156" i="9"/>
  <c r="AK156" i="9"/>
  <c r="AV156" i="9" s="1"/>
  <c r="AQ156" i="9"/>
  <c r="AR110" i="9"/>
  <c r="AQ110" i="9"/>
  <c r="AK110" i="9"/>
  <c r="AV110" i="9" s="1"/>
  <c r="AQ216" i="9"/>
  <c r="AR216" i="9"/>
  <c r="AK216" i="9"/>
  <c r="AV216" i="9" s="1"/>
  <c r="AR347" i="9"/>
  <c r="AQ347" i="9"/>
  <c r="AK347" i="9"/>
  <c r="AV347" i="9" s="1"/>
  <c r="AK107" i="9"/>
  <c r="AV107" i="9" s="1"/>
  <c r="AQ107" i="9"/>
  <c r="AR107" i="9"/>
  <c r="AQ217" i="9"/>
  <c r="AR217" i="9"/>
  <c r="AK217" i="9"/>
  <c r="AV217" i="9" s="1"/>
  <c r="AQ145" i="9"/>
  <c r="AR145" i="9"/>
  <c r="AK145" i="9"/>
  <c r="AV145" i="9" s="1"/>
  <c r="AQ482" i="9"/>
  <c r="AK482" i="9"/>
  <c r="AV482" i="9" s="1"/>
  <c r="AR482" i="9"/>
  <c r="AR464" i="9"/>
  <c r="AK464" i="9"/>
  <c r="AV464" i="9" s="1"/>
  <c r="AQ464" i="9"/>
  <c r="AQ425" i="9"/>
  <c r="AK425" i="9"/>
  <c r="AV425" i="9" s="1"/>
  <c r="AR425" i="9"/>
  <c r="AR404" i="9"/>
  <c r="AK404" i="9"/>
  <c r="AV404" i="9" s="1"/>
  <c r="AQ404" i="9"/>
  <c r="AR372" i="9"/>
  <c r="AQ372" i="9"/>
  <c r="AK372" i="9"/>
  <c r="AV372" i="9" s="1"/>
  <c r="AR336" i="9"/>
  <c r="AK336" i="9"/>
  <c r="AV336" i="9" s="1"/>
  <c r="AQ336" i="9"/>
  <c r="AR304" i="9"/>
  <c r="AQ304" i="9"/>
  <c r="AK304" i="9"/>
  <c r="AV304" i="9" s="1"/>
  <c r="AR272" i="9"/>
  <c r="AK272" i="9"/>
  <c r="AV272" i="9" s="1"/>
  <c r="AQ272" i="9"/>
  <c r="AR240" i="9"/>
  <c r="AQ240" i="9"/>
  <c r="AK240" i="9"/>
  <c r="AV240" i="9" s="1"/>
  <c r="AR160" i="9"/>
  <c r="AK160" i="9"/>
  <c r="AV160" i="9" s="1"/>
  <c r="AQ160" i="9"/>
  <c r="AR134" i="9"/>
  <c r="AQ134" i="9"/>
  <c r="AK134" i="9"/>
  <c r="AV134" i="9" s="1"/>
  <c r="AR108" i="9"/>
  <c r="AK108" i="9"/>
  <c r="AV108" i="9" s="1"/>
  <c r="AQ108" i="9"/>
  <c r="AR218" i="9"/>
  <c r="AQ218" i="9"/>
  <c r="AK218" i="9"/>
  <c r="AV218" i="9" s="1"/>
  <c r="AR175" i="9"/>
  <c r="AK175" i="9"/>
  <c r="AV175" i="9" s="1"/>
  <c r="AQ175" i="9"/>
  <c r="AR185" i="9"/>
  <c r="AQ185" i="9"/>
  <c r="AK185" i="9"/>
  <c r="AV185" i="9" s="1"/>
  <c r="AR121" i="9"/>
  <c r="AK121" i="9"/>
  <c r="AV121" i="9" s="1"/>
  <c r="AQ121" i="9"/>
  <c r="AK109" i="9"/>
  <c r="AV109" i="9" s="1"/>
  <c r="AR109" i="9"/>
  <c r="AQ109" i="9"/>
  <c r="AR455" i="9"/>
  <c r="AK455" i="9"/>
  <c r="AV455" i="9" s="1"/>
  <c r="AQ455" i="9"/>
  <c r="AR463" i="9"/>
  <c r="AK463" i="9"/>
  <c r="AV463" i="9" s="1"/>
  <c r="AQ463" i="9"/>
  <c r="AR471" i="9"/>
  <c r="AQ471" i="9"/>
  <c r="AK471" i="9"/>
  <c r="AV471" i="9" s="1"/>
  <c r="AR479" i="9"/>
  <c r="AQ479" i="9"/>
  <c r="AK479" i="9"/>
  <c r="AV479" i="9" s="1"/>
  <c r="AQ101" i="9"/>
  <c r="AR101" i="9"/>
  <c r="AK101" i="9"/>
  <c r="AV101" i="9" s="1"/>
  <c r="AR173" i="9"/>
  <c r="AQ173" i="9"/>
  <c r="AK173" i="9"/>
  <c r="AV173" i="9" s="1"/>
  <c r="AQ466" i="9"/>
  <c r="AR466" i="9"/>
  <c r="AK466" i="9"/>
  <c r="AV466" i="9" s="1"/>
  <c r="AQ435" i="9"/>
  <c r="AK435" i="9"/>
  <c r="AV435" i="9" s="1"/>
  <c r="AR435" i="9"/>
  <c r="AR340" i="9"/>
  <c r="AK340" i="9"/>
  <c r="AV340" i="9" s="1"/>
  <c r="AQ340" i="9"/>
  <c r="AQ374" i="9"/>
  <c r="AK374" i="9"/>
  <c r="AV374" i="9" s="1"/>
  <c r="AR374" i="9"/>
  <c r="AQ338" i="9"/>
  <c r="AR338" i="9"/>
  <c r="AK338" i="9"/>
  <c r="AV338" i="9" s="1"/>
  <c r="AQ306" i="9"/>
  <c r="AK306" i="9"/>
  <c r="AV306" i="9" s="1"/>
  <c r="AR306" i="9"/>
  <c r="AQ274" i="9"/>
  <c r="AR274" i="9"/>
  <c r="AK274" i="9"/>
  <c r="AV274" i="9" s="1"/>
  <c r="AQ242" i="9"/>
  <c r="AK242" i="9"/>
  <c r="AV242" i="9" s="1"/>
  <c r="AR242" i="9"/>
  <c r="AR158" i="9"/>
  <c r="AK158" i="9"/>
  <c r="AV158" i="9" s="1"/>
  <c r="AQ158" i="9"/>
  <c r="AQ146" i="9"/>
  <c r="AK146" i="9"/>
  <c r="AV146" i="9" s="1"/>
  <c r="AR146" i="9"/>
  <c r="AR106" i="9"/>
  <c r="AK106" i="9"/>
  <c r="AV106" i="9" s="1"/>
  <c r="AQ106" i="9"/>
  <c r="AR228" i="9"/>
  <c r="AQ228" i="9"/>
  <c r="AK228" i="9"/>
  <c r="AV228" i="9" s="1"/>
  <c r="AQ442" i="9"/>
  <c r="AR442" i="9"/>
  <c r="AK442" i="9"/>
  <c r="AV442" i="9" s="1"/>
  <c r="AK331" i="9"/>
  <c r="AV331" i="9" s="1"/>
  <c r="AR331" i="9"/>
  <c r="AQ331" i="9"/>
  <c r="AK315" i="9"/>
  <c r="AV315" i="9" s="1"/>
  <c r="AQ315" i="9"/>
  <c r="AR315" i="9"/>
  <c r="AK299" i="9"/>
  <c r="AV299" i="9" s="1"/>
  <c r="AR299" i="9"/>
  <c r="AQ299" i="9"/>
  <c r="AK283" i="9"/>
  <c r="AV283" i="9" s="1"/>
  <c r="AQ283" i="9"/>
  <c r="AR283" i="9"/>
  <c r="AK267" i="9"/>
  <c r="AV267" i="9" s="1"/>
  <c r="AR267" i="9"/>
  <c r="AQ267" i="9"/>
  <c r="AK251" i="9"/>
  <c r="AV251" i="9" s="1"/>
  <c r="AQ251" i="9"/>
  <c r="AR251" i="9"/>
  <c r="AK235" i="9"/>
  <c r="AV235" i="9" s="1"/>
  <c r="AR235" i="9"/>
  <c r="AQ235" i="9"/>
  <c r="AK147" i="9"/>
  <c r="AV147" i="9" s="1"/>
  <c r="AQ147" i="9"/>
  <c r="AR147" i="9"/>
  <c r="AR227" i="9"/>
  <c r="AK227" i="9"/>
  <c r="AV227" i="9" s="1"/>
  <c r="AQ227" i="9"/>
  <c r="AR211" i="9"/>
  <c r="AQ211" i="9"/>
  <c r="AK211" i="9"/>
  <c r="AV211" i="9" s="1"/>
  <c r="AQ97" i="9"/>
  <c r="AK97" i="9"/>
  <c r="AV97" i="9" s="1"/>
  <c r="AR97" i="9"/>
  <c r="AR486" i="9"/>
  <c r="AK486" i="9"/>
  <c r="AV486" i="9" s="1"/>
  <c r="AQ486" i="9"/>
  <c r="AQ460" i="9"/>
  <c r="AK460" i="9"/>
  <c r="AV460" i="9" s="1"/>
  <c r="AR460" i="9"/>
  <c r="AR437" i="9"/>
  <c r="AK437" i="9"/>
  <c r="AV437" i="9" s="1"/>
  <c r="AQ437" i="9"/>
  <c r="AQ400" i="9"/>
  <c r="AK400" i="9"/>
  <c r="AV400" i="9" s="1"/>
  <c r="AR400" i="9"/>
  <c r="AQ368" i="9"/>
  <c r="AR368" i="9"/>
  <c r="AK368" i="9"/>
  <c r="AV368" i="9" s="1"/>
  <c r="AQ308" i="9"/>
  <c r="AK308" i="9"/>
  <c r="AV308" i="9" s="1"/>
  <c r="AR308" i="9"/>
  <c r="AQ276" i="9"/>
  <c r="AR276" i="9"/>
  <c r="AK276" i="9"/>
  <c r="AV276" i="9" s="1"/>
  <c r="AQ244" i="9"/>
  <c r="AK244" i="9"/>
  <c r="AV244" i="9" s="1"/>
  <c r="AR244" i="9"/>
  <c r="AQ164" i="9"/>
  <c r="AK164" i="9"/>
  <c r="AV164" i="9" s="1"/>
  <c r="AR164" i="9"/>
  <c r="AQ138" i="9"/>
  <c r="AK138" i="9"/>
  <c r="AV138" i="9" s="1"/>
  <c r="AR138" i="9"/>
  <c r="AR90" i="9"/>
  <c r="AQ90" i="9"/>
  <c r="AK90" i="9"/>
  <c r="AV90" i="9" s="1"/>
  <c r="AR453" i="9"/>
  <c r="AK453" i="9"/>
  <c r="AV453" i="9" s="1"/>
  <c r="AQ453" i="9"/>
  <c r="AK343" i="9"/>
  <c r="AV343" i="9" s="1"/>
  <c r="AR343" i="9"/>
  <c r="AQ343" i="9"/>
  <c r="AQ151" i="9"/>
  <c r="AK151" i="9"/>
  <c r="AV151" i="9" s="1"/>
  <c r="AR151" i="9"/>
  <c r="AR201" i="9"/>
  <c r="AQ201" i="9"/>
  <c r="AK201" i="9"/>
  <c r="AV201" i="9" s="1"/>
  <c r="AQ181" i="9"/>
  <c r="AR181" i="9"/>
  <c r="AK181" i="9"/>
  <c r="AV181" i="9" s="1"/>
  <c r="AQ165" i="9"/>
  <c r="AK165" i="9"/>
  <c r="AV165" i="9" s="1"/>
  <c r="AR165" i="9"/>
  <c r="AR470" i="9"/>
  <c r="AQ470" i="9"/>
  <c r="AK470" i="9"/>
  <c r="AV470" i="9" s="1"/>
  <c r="AK344" i="9"/>
  <c r="AV344" i="9" s="1"/>
  <c r="AR344" i="9"/>
  <c r="AQ344" i="9"/>
  <c r="AR354" i="9"/>
  <c r="AQ354" i="9"/>
  <c r="AK354" i="9"/>
  <c r="AV354" i="9" s="1"/>
  <c r="AR278" i="9"/>
  <c r="AQ278" i="9"/>
  <c r="AK278" i="9"/>
  <c r="AV278" i="9" s="1"/>
  <c r="AR188" i="9"/>
  <c r="AQ188" i="9"/>
  <c r="AK188" i="9"/>
  <c r="AV188" i="9" s="1"/>
  <c r="AQ124" i="9"/>
  <c r="AK124" i="9"/>
  <c r="AV124" i="9" s="1"/>
  <c r="AR124" i="9"/>
  <c r="AQ409" i="9"/>
  <c r="AK409" i="9"/>
  <c r="AV409" i="9" s="1"/>
  <c r="AR409" i="9"/>
  <c r="AR221" i="9"/>
  <c r="AK221" i="9"/>
  <c r="AV221" i="9" s="1"/>
  <c r="AQ221" i="9"/>
  <c r="AR85" i="9"/>
  <c r="AQ85" i="9"/>
  <c r="AK85" i="9"/>
  <c r="AV85" i="9" s="1"/>
  <c r="AR456" i="9"/>
  <c r="AQ456" i="9"/>
  <c r="AK456" i="9"/>
  <c r="AV456" i="9" s="1"/>
  <c r="AR350" i="9"/>
  <c r="AQ350" i="9"/>
  <c r="AK350" i="9"/>
  <c r="AV350" i="9" s="1"/>
  <c r="AQ328" i="9"/>
  <c r="AK328" i="9"/>
  <c r="AV328" i="9" s="1"/>
  <c r="AR328" i="9"/>
  <c r="AQ232" i="9"/>
  <c r="AK232" i="9"/>
  <c r="AV232" i="9" s="1"/>
  <c r="AR232" i="9"/>
  <c r="AR189" i="9"/>
  <c r="AQ189" i="9"/>
  <c r="AK189" i="9"/>
  <c r="AV189" i="9" s="1"/>
  <c r="AQ365" i="9"/>
  <c r="AR365" i="9"/>
  <c r="AK365" i="9"/>
  <c r="AV365" i="9" s="1"/>
  <c r="AQ381" i="9"/>
  <c r="AR381" i="9"/>
  <c r="AK381" i="9"/>
  <c r="AV381" i="9" s="1"/>
  <c r="AQ397" i="9"/>
  <c r="AR397" i="9"/>
  <c r="AK397" i="9"/>
  <c r="AV397" i="9" s="1"/>
  <c r="AK474" i="9"/>
  <c r="AV474" i="9" s="1"/>
  <c r="AR474" i="9"/>
  <c r="AQ474" i="9"/>
  <c r="AK427" i="9"/>
  <c r="AV427" i="9" s="1"/>
  <c r="AR427" i="9"/>
  <c r="AQ427" i="9"/>
  <c r="AK366" i="9"/>
  <c r="AV366" i="9" s="1"/>
  <c r="AR366" i="9"/>
  <c r="AQ366" i="9"/>
  <c r="AK282" i="9"/>
  <c r="AV282" i="9" s="1"/>
  <c r="AR282" i="9"/>
  <c r="AQ282" i="9"/>
  <c r="AQ215" i="9"/>
  <c r="AR215" i="9"/>
  <c r="AK215" i="9"/>
  <c r="AV215" i="9" s="1"/>
  <c r="AQ392" i="9"/>
  <c r="AK392" i="9"/>
  <c r="AV392" i="9" s="1"/>
  <c r="AR392" i="9"/>
  <c r="AQ316" i="9"/>
  <c r="AK316" i="9"/>
  <c r="AV316" i="9" s="1"/>
  <c r="AR316" i="9"/>
  <c r="AQ252" i="9"/>
  <c r="AK252" i="9"/>
  <c r="AV252" i="9" s="1"/>
  <c r="AR252" i="9"/>
  <c r="AR150" i="9"/>
  <c r="AQ150" i="9"/>
  <c r="AK150" i="9"/>
  <c r="AV150" i="9" s="1"/>
  <c r="AK206" i="9"/>
  <c r="AV206" i="9" s="1"/>
  <c r="AR206" i="9"/>
  <c r="AQ206" i="9"/>
  <c r="AK449" i="9"/>
  <c r="AV449" i="9" s="1"/>
  <c r="AQ449" i="9"/>
  <c r="AR449" i="9"/>
  <c r="AR105" i="9"/>
  <c r="AQ105" i="9"/>
  <c r="AK105" i="9"/>
  <c r="AV105" i="9" s="1"/>
  <c r="AR375" i="9"/>
  <c r="AK375" i="9"/>
  <c r="AV375" i="9" s="1"/>
  <c r="AQ375" i="9"/>
  <c r="AR422" i="9"/>
  <c r="AK422" i="9"/>
  <c r="AV422" i="9" s="1"/>
  <c r="AQ422" i="9"/>
  <c r="AR438" i="9"/>
  <c r="AK438" i="9"/>
  <c r="AV438" i="9" s="1"/>
  <c r="AQ438" i="9"/>
  <c r="AK469" i="9"/>
  <c r="AV469" i="9" s="1"/>
  <c r="AQ469" i="9"/>
  <c r="AR469" i="9"/>
  <c r="AQ125" i="9"/>
  <c r="AK125" i="9"/>
  <c r="AV125" i="9" s="1"/>
  <c r="AR125" i="9"/>
  <c r="AQ444" i="9"/>
  <c r="AK444" i="9"/>
  <c r="AV444" i="9" s="1"/>
  <c r="AR444" i="9"/>
  <c r="AK337" i="9"/>
  <c r="AV337" i="9" s="1"/>
  <c r="AR337" i="9"/>
  <c r="AQ337" i="9"/>
  <c r="AK305" i="9"/>
  <c r="AV305" i="9" s="1"/>
  <c r="AR305" i="9"/>
  <c r="AQ305" i="9"/>
  <c r="AK273" i="9"/>
  <c r="AV273" i="9" s="1"/>
  <c r="AR273" i="9"/>
  <c r="AQ273" i="9"/>
  <c r="AK241" i="9"/>
  <c r="AV241" i="9" s="1"/>
  <c r="AR241" i="9"/>
  <c r="AQ241" i="9"/>
  <c r="AR119" i="9"/>
  <c r="AQ119" i="9"/>
  <c r="AK119" i="9"/>
  <c r="AV119" i="9" s="1"/>
  <c r="AK63" i="9"/>
  <c r="AV63" i="9" s="1"/>
  <c r="AR53" i="9"/>
  <c r="AQ53" i="9"/>
  <c r="AK148" i="9"/>
  <c r="AV148" i="9" s="1"/>
  <c r="AR148" i="9"/>
  <c r="AQ148" i="9"/>
  <c r="AQ123" i="9"/>
  <c r="AK123" i="9"/>
  <c r="AV123" i="9" s="1"/>
  <c r="AR123" i="9"/>
  <c r="AK116" i="9"/>
  <c r="AV116" i="9" s="1"/>
  <c r="AR116" i="9"/>
  <c r="AQ116" i="9"/>
  <c r="AQ325" i="9"/>
  <c r="AK325" i="9"/>
  <c r="AV325" i="9" s="1"/>
  <c r="AR325" i="9"/>
  <c r="AQ309" i="9"/>
  <c r="AK309" i="9"/>
  <c r="AV309" i="9" s="1"/>
  <c r="AR309" i="9"/>
  <c r="AQ293" i="9"/>
  <c r="AK293" i="9"/>
  <c r="AV293" i="9" s="1"/>
  <c r="AR293" i="9"/>
  <c r="AQ277" i="9"/>
  <c r="AK277" i="9"/>
  <c r="AV277" i="9" s="1"/>
  <c r="AR277" i="9"/>
  <c r="AQ261" i="9"/>
  <c r="AK261" i="9"/>
  <c r="AV261" i="9" s="1"/>
  <c r="AR261" i="9"/>
  <c r="AQ245" i="9"/>
  <c r="AK245" i="9"/>
  <c r="AV245" i="9" s="1"/>
  <c r="AR245" i="9"/>
  <c r="AK127" i="9"/>
  <c r="AV127" i="9" s="1"/>
  <c r="AR127" i="9"/>
  <c r="AQ127" i="9"/>
  <c r="AK416" i="9"/>
  <c r="AV416" i="9" s="1"/>
  <c r="AQ416" i="9"/>
  <c r="AR416" i="9"/>
  <c r="AK424" i="9"/>
  <c r="AV424" i="9" s="1"/>
  <c r="AQ424" i="9"/>
  <c r="AR424" i="9"/>
  <c r="AK432" i="9"/>
  <c r="AV432" i="9" s="1"/>
  <c r="AQ432" i="9"/>
  <c r="AR432" i="9"/>
  <c r="AK440" i="9"/>
  <c r="AV440" i="9" s="1"/>
  <c r="AR440" i="9"/>
  <c r="AQ440" i="9"/>
  <c r="AR131" i="9"/>
  <c r="AQ131" i="9"/>
  <c r="AK131" i="9"/>
  <c r="AV131" i="9" s="1"/>
  <c r="AK500" i="9"/>
  <c r="AV500" i="9" s="1"/>
  <c r="AR500" i="9"/>
  <c r="AQ500" i="9"/>
  <c r="AQ478" i="9"/>
  <c r="AK478" i="9"/>
  <c r="AV478" i="9" s="1"/>
  <c r="AR478" i="9"/>
  <c r="AQ410" i="9"/>
  <c r="AK410" i="9"/>
  <c r="AV410" i="9" s="1"/>
  <c r="AR410" i="9"/>
  <c r="AQ415" i="9"/>
  <c r="AK415" i="9"/>
  <c r="AV415" i="9" s="1"/>
  <c r="AR415" i="9"/>
  <c r="AQ394" i="9"/>
  <c r="AK394" i="9"/>
  <c r="AV394" i="9" s="1"/>
  <c r="AR394" i="9"/>
  <c r="AQ362" i="9"/>
  <c r="AK362" i="9"/>
  <c r="AV362" i="9" s="1"/>
  <c r="AR362" i="9"/>
  <c r="AQ318" i="9"/>
  <c r="AK318" i="9"/>
  <c r="AV318" i="9" s="1"/>
  <c r="AR318" i="9"/>
  <c r="AQ286" i="9"/>
  <c r="AK286" i="9"/>
  <c r="AV286" i="9" s="1"/>
  <c r="AR286" i="9"/>
  <c r="AQ254" i="9"/>
  <c r="AK254" i="9"/>
  <c r="AV254" i="9" s="1"/>
  <c r="AR254" i="9"/>
  <c r="AQ196" i="9"/>
  <c r="AK196" i="9"/>
  <c r="AV196" i="9" s="1"/>
  <c r="AR196" i="9"/>
  <c r="AR162" i="9"/>
  <c r="AQ162" i="9"/>
  <c r="AK162" i="9"/>
  <c r="AV162" i="9" s="1"/>
  <c r="AR136" i="9"/>
  <c r="AQ136" i="9"/>
  <c r="AK136" i="9"/>
  <c r="AV136" i="9" s="1"/>
  <c r="AK88" i="9"/>
  <c r="AV88" i="9" s="1"/>
  <c r="AR88" i="9"/>
  <c r="AQ88" i="9"/>
  <c r="AK497" i="9"/>
  <c r="AV497" i="9" s="1"/>
  <c r="AQ497" i="9"/>
  <c r="AR497" i="9"/>
  <c r="AR203" i="9"/>
  <c r="AK203" i="9"/>
  <c r="AV203" i="9" s="1"/>
  <c r="AQ203" i="9"/>
  <c r="AR225" i="9"/>
  <c r="AK225" i="9"/>
  <c r="AV225" i="9" s="1"/>
  <c r="AQ225" i="9"/>
  <c r="AR209" i="9"/>
  <c r="AK209" i="9"/>
  <c r="AV209" i="9" s="1"/>
  <c r="AQ209" i="9"/>
  <c r="AK113" i="9"/>
  <c r="AV113" i="9" s="1"/>
  <c r="AR113" i="9"/>
  <c r="AQ113" i="9"/>
  <c r="AK498" i="9"/>
  <c r="AV498" i="9" s="1"/>
  <c r="AR498" i="9"/>
  <c r="AQ498" i="9"/>
  <c r="AQ454" i="9"/>
  <c r="AK454" i="9"/>
  <c r="AV454" i="9" s="1"/>
  <c r="AR454" i="9"/>
  <c r="AR342" i="9"/>
  <c r="AQ342" i="9"/>
  <c r="AK342" i="9"/>
  <c r="AV342" i="9" s="1"/>
  <c r="AQ388" i="9"/>
  <c r="AK388" i="9"/>
  <c r="AV388" i="9" s="1"/>
  <c r="AR388" i="9"/>
  <c r="AQ356" i="9"/>
  <c r="AK356" i="9"/>
  <c r="AV356" i="9" s="1"/>
  <c r="AR356" i="9"/>
  <c r="AQ320" i="9"/>
  <c r="AK320" i="9"/>
  <c r="AV320" i="9" s="1"/>
  <c r="AR320" i="9"/>
  <c r="AQ288" i="9"/>
  <c r="AK288" i="9"/>
  <c r="AV288" i="9" s="1"/>
  <c r="AR288" i="9"/>
  <c r="AQ256" i="9"/>
  <c r="AK256" i="9"/>
  <c r="AV256" i="9" s="1"/>
  <c r="AR256" i="9"/>
  <c r="AQ194" i="9"/>
  <c r="AK194" i="9"/>
  <c r="AV194" i="9" s="1"/>
  <c r="AR194" i="9"/>
  <c r="AK140" i="9"/>
  <c r="AV140" i="9" s="1"/>
  <c r="AR140" i="9"/>
  <c r="AQ140" i="9"/>
  <c r="AR122" i="9"/>
  <c r="AQ122" i="9"/>
  <c r="AK122" i="9"/>
  <c r="AV122" i="9" s="1"/>
  <c r="AQ102" i="9"/>
  <c r="AK102" i="9"/>
  <c r="AV102" i="9" s="1"/>
  <c r="AR102" i="9"/>
  <c r="AR485" i="9"/>
  <c r="AK485" i="9"/>
  <c r="AV485" i="9" s="1"/>
  <c r="AQ485" i="9"/>
  <c r="AR447" i="9"/>
  <c r="AK447" i="9"/>
  <c r="AV447" i="9" s="1"/>
  <c r="AQ447" i="9"/>
  <c r="AR153" i="9"/>
  <c r="AQ153" i="9"/>
  <c r="AK153" i="9"/>
  <c r="AV153" i="9" s="1"/>
  <c r="AR89" i="9"/>
  <c r="AQ89" i="9"/>
  <c r="AK89" i="9"/>
  <c r="AV89" i="9" s="1"/>
  <c r="AQ345" i="9"/>
  <c r="AK345" i="9"/>
  <c r="AV345" i="9" s="1"/>
  <c r="AR345" i="9"/>
  <c r="AR459" i="9"/>
  <c r="AK459" i="9"/>
  <c r="AV459" i="9" s="1"/>
  <c r="AQ459" i="9"/>
  <c r="AR467" i="9"/>
  <c r="AK467" i="9"/>
  <c r="AV467" i="9" s="1"/>
  <c r="AQ467" i="9"/>
  <c r="AR475" i="9"/>
  <c r="AK475" i="9"/>
  <c r="AV475" i="9" s="1"/>
  <c r="AQ475" i="9"/>
  <c r="AR495" i="9"/>
  <c r="AK495" i="9"/>
  <c r="AV495" i="9" s="1"/>
  <c r="AQ495" i="9"/>
  <c r="AR141" i="9"/>
  <c r="AQ141" i="9"/>
  <c r="AK141" i="9"/>
  <c r="AV141" i="9" s="1"/>
  <c r="AK492" i="9"/>
  <c r="AV492" i="9" s="1"/>
  <c r="AR492" i="9"/>
  <c r="AQ492" i="9"/>
  <c r="AR445" i="9"/>
  <c r="AQ445" i="9"/>
  <c r="AK445" i="9"/>
  <c r="AV445" i="9" s="1"/>
  <c r="AK419" i="9"/>
  <c r="AV419" i="9" s="1"/>
  <c r="AR419" i="9"/>
  <c r="AQ419" i="9"/>
  <c r="AK390" i="9"/>
  <c r="AV390" i="9" s="1"/>
  <c r="AR390" i="9"/>
  <c r="AQ390" i="9"/>
  <c r="AK358" i="9"/>
  <c r="AV358" i="9" s="1"/>
  <c r="AR358" i="9"/>
  <c r="AQ358" i="9"/>
  <c r="AK322" i="9"/>
  <c r="AV322" i="9" s="1"/>
  <c r="AR322" i="9"/>
  <c r="AQ322" i="9"/>
  <c r="AK290" i="9"/>
  <c r="AV290" i="9" s="1"/>
  <c r="AR290" i="9"/>
  <c r="AQ290" i="9"/>
  <c r="AK258" i="9"/>
  <c r="AV258" i="9" s="1"/>
  <c r="AR258" i="9"/>
  <c r="AQ258" i="9"/>
  <c r="AR192" i="9"/>
  <c r="AQ192" i="9"/>
  <c r="AK192" i="9"/>
  <c r="AV192" i="9" s="1"/>
  <c r="AR152" i="9"/>
  <c r="AQ152" i="9"/>
  <c r="AK152" i="9"/>
  <c r="AV152" i="9" s="1"/>
  <c r="AQ128" i="9"/>
  <c r="AK128" i="9"/>
  <c r="AV128" i="9" s="1"/>
  <c r="AR128" i="9"/>
  <c r="AK86" i="9"/>
  <c r="AV86" i="9" s="1"/>
  <c r="AR86" i="9"/>
  <c r="AQ212" i="9"/>
  <c r="AK212" i="9"/>
  <c r="AV212" i="9" s="1"/>
  <c r="AR212" i="9"/>
  <c r="AQ339" i="9"/>
  <c r="AK339" i="9"/>
  <c r="AV339" i="9" s="1"/>
  <c r="AR339" i="9"/>
  <c r="AR323" i="9"/>
  <c r="AQ323" i="9"/>
  <c r="AK323" i="9"/>
  <c r="AV323" i="9" s="1"/>
  <c r="AR307" i="9"/>
  <c r="AQ307" i="9"/>
  <c r="AK307" i="9"/>
  <c r="AV307" i="9" s="1"/>
  <c r="AR291" i="9"/>
  <c r="AQ291" i="9"/>
  <c r="AK291" i="9"/>
  <c r="AV291" i="9" s="1"/>
  <c r="AR275" i="9"/>
  <c r="AQ275" i="9"/>
  <c r="AK275" i="9"/>
  <c r="AV275" i="9" s="1"/>
  <c r="AR259" i="9"/>
  <c r="AQ259" i="9"/>
  <c r="AK259" i="9"/>
  <c r="AV259" i="9" s="1"/>
  <c r="AR243" i="9"/>
  <c r="AQ243" i="9"/>
  <c r="AK243" i="9"/>
  <c r="AV243" i="9" s="1"/>
  <c r="AK179" i="9"/>
  <c r="AV179" i="9" s="1"/>
  <c r="AR179" i="9"/>
  <c r="AQ179" i="9"/>
  <c r="AR115" i="9"/>
  <c r="AQ115" i="9"/>
  <c r="AK115" i="9"/>
  <c r="AV115" i="9" s="1"/>
  <c r="AK219" i="9"/>
  <c r="AV219" i="9" s="1"/>
  <c r="AQ219" i="9"/>
  <c r="AR219" i="9"/>
  <c r="AQ129" i="9"/>
  <c r="AK129" i="9"/>
  <c r="AV129" i="9" s="1"/>
  <c r="AR129" i="9"/>
  <c r="AR484" i="9"/>
  <c r="AK484" i="9"/>
  <c r="AV484" i="9" s="1"/>
  <c r="AQ484" i="9"/>
  <c r="AK476" i="9"/>
  <c r="AV476" i="9" s="1"/>
  <c r="AR476" i="9"/>
  <c r="AQ476" i="9"/>
  <c r="AQ443" i="9"/>
  <c r="AK443" i="9"/>
  <c r="AV443" i="9" s="1"/>
  <c r="AR443" i="9"/>
  <c r="AQ421" i="9"/>
  <c r="AK421" i="9"/>
  <c r="AV421" i="9" s="1"/>
  <c r="AR421" i="9"/>
  <c r="AK384" i="9"/>
  <c r="AV384" i="9" s="1"/>
  <c r="AR384" i="9"/>
  <c r="AQ384" i="9"/>
  <c r="AK324" i="9"/>
  <c r="AV324" i="9" s="1"/>
  <c r="AR324" i="9"/>
  <c r="AQ324" i="9"/>
  <c r="AK292" i="9"/>
  <c r="AV292" i="9" s="1"/>
  <c r="AR292" i="9"/>
  <c r="AQ292" i="9"/>
  <c r="AK260" i="9"/>
  <c r="AV260" i="9" s="1"/>
  <c r="AR260" i="9"/>
  <c r="AQ260" i="9"/>
  <c r="AR190" i="9"/>
  <c r="AQ190" i="9"/>
  <c r="AK190" i="9"/>
  <c r="AV190" i="9" s="1"/>
  <c r="AK170" i="9"/>
  <c r="AV170" i="9" s="1"/>
  <c r="AQ170" i="9"/>
  <c r="AR170" i="9"/>
  <c r="AQ214" i="9"/>
  <c r="AR214" i="9"/>
  <c r="AK214" i="9"/>
  <c r="AV214" i="9" s="1"/>
  <c r="AR446" i="9"/>
  <c r="AQ446" i="9"/>
  <c r="AK446" i="9"/>
  <c r="AV446" i="9" s="1"/>
  <c r="AQ183" i="9"/>
  <c r="AR183" i="9"/>
  <c r="AK183" i="9"/>
  <c r="AV183" i="9" s="1"/>
  <c r="AR169" i="9"/>
  <c r="AQ169" i="9"/>
  <c r="AK169" i="9"/>
  <c r="AV169" i="9" s="1"/>
  <c r="AQ93" i="9"/>
  <c r="AK93" i="9"/>
  <c r="AV93" i="9" s="1"/>
  <c r="AR93" i="9"/>
  <c r="AR439" i="9"/>
  <c r="AQ439" i="9"/>
  <c r="AK439" i="9"/>
  <c r="AV439" i="9" s="1"/>
  <c r="AR386" i="9"/>
  <c r="AQ386" i="9"/>
  <c r="AK386" i="9"/>
  <c r="AV386" i="9" s="1"/>
  <c r="AR310" i="9"/>
  <c r="AQ310" i="9"/>
  <c r="AK310" i="9"/>
  <c r="AV310" i="9" s="1"/>
  <c r="AR246" i="9"/>
  <c r="AQ246" i="9"/>
  <c r="AK246" i="9"/>
  <c r="AV246" i="9" s="1"/>
  <c r="AQ142" i="9"/>
  <c r="AK142" i="9"/>
  <c r="AV142" i="9" s="1"/>
  <c r="AR142" i="9"/>
  <c r="AR311" i="9"/>
  <c r="AQ311" i="9"/>
  <c r="AK311" i="9"/>
  <c r="AV311" i="9" s="1"/>
  <c r="AQ349" i="9"/>
  <c r="AK349" i="9"/>
  <c r="AV349" i="9" s="1"/>
  <c r="AR349" i="9"/>
  <c r="AR205" i="9"/>
  <c r="AK205" i="9"/>
  <c r="AV205" i="9" s="1"/>
  <c r="AQ205" i="9"/>
  <c r="AQ490" i="9"/>
  <c r="AK490" i="9"/>
  <c r="AV490" i="9" s="1"/>
  <c r="AR490" i="9"/>
  <c r="AK433" i="9"/>
  <c r="AV433" i="9" s="1"/>
  <c r="AR433" i="9"/>
  <c r="AQ433" i="9"/>
  <c r="AQ380" i="9"/>
  <c r="AK380" i="9"/>
  <c r="AV380" i="9" s="1"/>
  <c r="AR380" i="9"/>
  <c r="AQ296" i="9"/>
  <c r="AK296" i="9"/>
  <c r="AV296" i="9" s="1"/>
  <c r="AR296" i="9"/>
  <c r="AK351" i="9"/>
  <c r="AV351" i="9" s="1"/>
  <c r="AR351" i="9"/>
  <c r="AQ351" i="9"/>
  <c r="AQ191" i="9"/>
  <c r="AK191" i="9"/>
  <c r="AV191" i="9" s="1"/>
  <c r="AR191" i="9"/>
  <c r="AR491" i="9"/>
  <c r="AK491" i="9"/>
  <c r="AV491" i="9" s="1"/>
  <c r="AQ491" i="9"/>
  <c r="AQ357" i="9"/>
  <c r="AR357" i="9"/>
  <c r="AK357" i="9"/>
  <c r="AV357" i="9" s="1"/>
  <c r="AQ373" i="9"/>
  <c r="AR373" i="9"/>
  <c r="AK373" i="9"/>
  <c r="AV373" i="9" s="1"/>
  <c r="AQ389" i="9"/>
  <c r="AR389" i="9"/>
  <c r="AK389" i="9"/>
  <c r="AV389" i="9" s="1"/>
  <c r="AQ405" i="9"/>
  <c r="AR405" i="9"/>
  <c r="AK405" i="9"/>
  <c r="AV405" i="9" s="1"/>
  <c r="AK117" i="9"/>
  <c r="AV117" i="9" s="1"/>
  <c r="AR117" i="9"/>
  <c r="AQ117" i="9"/>
  <c r="AK450" i="9"/>
  <c r="AV450" i="9" s="1"/>
  <c r="AR450" i="9"/>
  <c r="AQ450" i="9"/>
  <c r="AK398" i="9"/>
  <c r="AV398" i="9" s="1"/>
  <c r="AR398" i="9"/>
  <c r="AQ398" i="9"/>
  <c r="AK314" i="9"/>
  <c r="AV314" i="9" s="1"/>
  <c r="AR314" i="9"/>
  <c r="AQ314" i="9"/>
  <c r="AK250" i="9"/>
  <c r="AV250" i="9" s="1"/>
  <c r="AR250" i="9"/>
  <c r="AQ250" i="9"/>
  <c r="AR204" i="9"/>
  <c r="AQ204" i="9"/>
  <c r="AK204" i="9"/>
  <c r="AV204" i="9" s="1"/>
  <c r="AQ193" i="9"/>
  <c r="AK193" i="9"/>
  <c r="AV193" i="9" s="1"/>
  <c r="AR193" i="9"/>
  <c r="AQ494" i="9"/>
  <c r="AK494" i="9"/>
  <c r="AV494" i="9" s="1"/>
  <c r="AR494" i="9"/>
  <c r="AR346" i="9"/>
  <c r="AQ346" i="9"/>
  <c r="AK346" i="9"/>
  <c r="AV346" i="9" s="1"/>
  <c r="AQ360" i="9"/>
  <c r="AK360" i="9"/>
  <c r="AV360" i="9" s="1"/>
  <c r="AR360" i="9"/>
  <c r="AQ284" i="9"/>
  <c r="AK284" i="9"/>
  <c r="AV284" i="9" s="1"/>
  <c r="AR284" i="9"/>
  <c r="AK198" i="9"/>
  <c r="AV198" i="9" s="1"/>
  <c r="AR198" i="9"/>
  <c r="AQ198" i="9"/>
  <c r="AK135" i="9"/>
  <c r="AV135" i="9" s="1"/>
  <c r="AR135" i="9"/>
  <c r="AQ135" i="9"/>
  <c r="AK341" i="9"/>
  <c r="AV341" i="9" s="1"/>
  <c r="AR341" i="9"/>
  <c r="AQ341" i="9"/>
  <c r="AQ149" i="9"/>
  <c r="AK149" i="9"/>
  <c r="AV149" i="9" s="1"/>
  <c r="AR149" i="9"/>
  <c r="AR399" i="9"/>
  <c r="AK399" i="9"/>
  <c r="AV399" i="9" s="1"/>
  <c r="AQ399" i="9"/>
  <c r="AR430" i="9"/>
  <c r="AK430" i="9"/>
  <c r="AV430" i="9" s="1"/>
  <c r="AQ430" i="9"/>
  <c r="AK461" i="9"/>
  <c r="AV461" i="9" s="1"/>
  <c r="AQ461" i="9"/>
  <c r="AR461" i="9"/>
  <c r="AK477" i="9"/>
  <c r="AV477" i="9" s="1"/>
  <c r="AQ477" i="9"/>
  <c r="AR477" i="9"/>
  <c r="AR408" i="9"/>
  <c r="AQ408" i="9"/>
  <c r="AK408" i="9"/>
  <c r="AV408" i="9" s="1"/>
  <c r="AQ143" i="9"/>
  <c r="AK143" i="9"/>
  <c r="AV143" i="9" s="1"/>
  <c r="AR143" i="9"/>
  <c r="AK321" i="9"/>
  <c r="AV321" i="9" s="1"/>
  <c r="AR321" i="9"/>
  <c r="AQ321" i="9"/>
  <c r="AK289" i="9"/>
  <c r="AV289" i="9" s="1"/>
  <c r="AR289" i="9"/>
  <c r="AQ289" i="9"/>
  <c r="AK257" i="9"/>
  <c r="AV257" i="9" s="1"/>
  <c r="AR257" i="9"/>
  <c r="AQ257" i="9"/>
  <c r="AD5" i="5"/>
  <c r="J22" i="13"/>
  <c r="N97" i="13"/>
  <c r="G91" i="13"/>
  <c r="AD3" i="13"/>
  <c r="L22" i="13"/>
  <c r="P22" i="13"/>
  <c r="AB22" i="13"/>
  <c r="M25" i="5"/>
  <c r="I25" i="5"/>
  <c r="AC25" i="5"/>
  <c r="AC24" i="5"/>
  <c r="AS72" i="9"/>
  <c r="AS70" i="9"/>
  <c r="AS68" i="9"/>
  <c r="AS66" i="9"/>
  <c r="AS64" i="9"/>
  <c r="AS62" i="9"/>
  <c r="AS60" i="9"/>
  <c r="AS58" i="9"/>
  <c r="AR58" i="9"/>
  <c r="AS56" i="9"/>
  <c r="AS54" i="9"/>
  <c r="AS52" i="9"/>
  <c r="AS50" i="9"/>
  <c r="AS48" i="9"/>
  <c r="AS46" i="9"/>
  <c r="AS44" i="9"/>
  <c r="AS42" i="9"/>
  <c r="AR42" i="9"/>
  <c r="AS40" i="9"/>
  <c r="AR40" i="9"/>
  <c r="AS38" i="9"/>
  <c r="AS36" i="9"/>
  <c r="AR36" i="9"/>
  <c r="AS34" i="9"/>
  <c r="AS32" i="9"/>
  <c r="AR32" i="9"/>
  <c r="AS30" i="9"/>
  <c r="AS28" i="9"/>
  <c r="AR28" i="9"/>
  <c r="AS26" i="9"/>
  <c r="AS24" i="9"/>
  <c r="AR24" i="9"/>
  <c r="AS22" i="9"/>
  <c r="AS20" i="9"/>
  <c r="A13" i="13"/>
  <c r="AD13" i="13" s="1"/>
  <c r="AR20" i="9"/>
  <c r="AS17" i="9"/>
  <c r="AS15" i="9"/>
  <c r="AS13" i="9"/>
  <c r="AS11" i="9"/>
  <c r="AS9" i="9"/>
  <c r="AS7" i="9"/>
  <c r="AS5" i="9"/>
  <c r="AS75" i="9"/>
  <c r="AS77" i="9"/>
  <c r="AS79" i="9"/>
  <c r="AS81" i="9"/>
  <c r="E25" i="5"/>
  <c r="U25" i="5"/>
  <c r="Q25" i="5"/>
  <c r="Y25" i="5"/>
  <c r="AS71" i="9"/>
  <c r="AS69" i="9"/>
  <c r="AS67" i="9"/>
  <c r="AS65" i="9"/>
  <c r="AS63" i="9"/>
  <c r="AS61" i="9"/>
  <c r="AS59" i="9"/>
  <c r="AS57" i="9"/>
  <c r="AS55" i="9"/>
  <c r="AS53" i="9"/>
  <c r="AS51" i="9"/>
  <c r="AS49" i="9"/>
  <c r="AS47" i="9"/>
  <c r="AS45" i="9"/>
  <c r="AS43" i="9"/>
  <c r="AS41" i="9"/>
  <c r="AS39" i="9"/>
  <c r="AR39" i="9"/>
  <c r="AS37" i="9"/>
  <c r="AS35" i="9"/>
  <c r="AR35" i="9"/>
  <c r="AS33" i="9"/>
  <c r="AS31" i="9"/>
  <c r="AR31" i="9"/>
  <c r="AS29" i="9"/>
  <c r="AS27" i="9"/>
  <c r="AS25" i="9"/>
  <c r="AR25" i="9"/>
  <c r="AS23" i="9"/>
  <c r="AR23" i="9"/>
  <c r="AS21" i="9"/>
  <c r="AR21" i="9"/>
  <c r="AS18" i="9"/>
  <c r="AS16" i="9"/>
  <c r="AS14" i="9"/>
  <c r="AS12" i="9"/>
  <c r="AS10" i="9"/>
  <c r="AS8" i="9"/>
  <c r="AS6" i="9"/>
  <c r="AS4" i="9"/>
  <c r="A18" i="13"/>
  <c r="AD18" i="13" s="1"/>
  <c r="AE18" i="13" s="1"/>
  <c r="AS3" i="9"/>
  <c r="AS74" i="9"/>
  <c r="AS76" i="9"/>
  <c r="AS78" i="9"/>
  <c r="AS80" i="9"/>
  <c r="AS82" i="9"/>
  <c r="C22" i="13"/>
  <c r="K22" i="13"/>
  <c r="S22" i="13"/>
  <c r="AA22" i="13"/>
  <c r="H25" i="5"/>
  <c r="P25" i="5"/>
  <c r="X25" i="5"/>
  <c r="G22" i="13"/>
  <c r="M22" i="13"/>
  <c r="U22" i="13"/>
  <c r="AC22" i="13"/>
  <c r="F25" i="5"/>
  <c r="N25" i="5"/>
  <c r="V25" i="5"/>
  <c r="D22" i="13"/>
  <c r="O22" i="13"/>
  <c r="W22" i="13"/>
  <c r="D25" i="5"/>
  <c r="L25" i="5"/>
  <c r="T25" i="5"/>
  <c r="AB25" i="5"/>
  <c r="AB24" i="5"/>
  <c r="I22" i="13"/>
  <c r="Q22" i="13"/>
  <c r="Y22" i="13"/>
  <c r="J25" i="5"/>
  <c r="R25" i="5"/>
  <c r="Z25" i="5"/>
  <c r="L90" i="21" l="1"/>
  <c r="L177" i="21"/>
  <c r="I90" i="21"/>
  <c r="AE14" i="5"/>
  <c r="AR73" i="9"/>
  <c r="C91" i="13"/>
  <c r="T79" i="13"/>
  <c r="C97" i="13"/>
  <c r="T85" i="13"/>
  <c r="U97" i="13"/>
  <c r="Q79" i="13"/>
  <c r="R79" i="13"/>
  <c r="Q85" i="13"/>
  <c r="R85" i="13"/>
  <c r="D6" i="21"/>
  <c r="L178" i="21"/>
  <c r="T97" i="13"/>
  <c r="O103" i="13"/>
  <c r="R103" i="13"/>
  <c r="O109" i="13"/>
  <c r="R109" i="13"/>
  <c r="I187" i="21"/>
  <c r="J187" i="21" a="1"/>
  <c r="J187" i="21" s="1"/>
  <c r="I129" i="21"/>
  <c r="L129" i="21" s="1"/>
  <c r="P129" i="21"/>
  <c r="H164" i="21"/>
  <c r="H136" i="21"/>
  <c r="I136" i="21" s="1"/>
  <c r="H108" i="21"/>
  <c r="H81" i="21"/>
  <c r="H192" i="21"/>
  <c r="L192" i="21" s="1"/>
  <c r="L71" i="21"/>
  <c r="I184" i="21"/>
  <c r="L80" i="21"/>
  <c r="P66" i="21"/>
  <c r="J190" i="21" a="1"/>
  <c r="J190" i="21" s="1"/>
  <c r="P184" i="21"/>
  <c r="J184" i="21" a="1"/>
  <c r="J184" i="21" s="1"/>
  <c r="J118" i="21" a="1"/>
  <c r="J118" i="21" s="1"/>
  <c r="P80" i="21"/>
  <c r="I100" i="21"/>
  <c r="J194" i="21" a="1"/>
  <c r="J194" i="21" s="1"/>
  <c r="L91" i="21"/>
  <c r="AE14" i="13"/>
  <c r="K118" i="21"/>
  <c r="I80" i="21"/>
  <c r="I177" i="21"/>
  <c r="J66" i="21" a="1"/>
  <c r="J66" i="21" s="1"/>
  <c r="P190" i="21"/>
  <c r="I101" i="21"/>
  <c r="L101" i="21" s="1"/>
  <c r="J163" i="21" a="1"/>
  <c r="J163" i="21" s="1"/>
  <c r="J73" i="21" a="1"/>
  <c r="J73" i="21" s="1"/>
  <c r="L100" i="21"/>
  <c r="P91" i="21"/>
  <c r="P177" i="21"/>
  <c r="L190" i="21"/>
  <c r="P101" i="21"/>
  <c r="P163" i="21"/>
  <c r="P73" i="21"/>
  <c r="J165" i="21" a="1"/>
  <c r="J165" i="21" s="1"/>
  <c r="AG13" i="5"/>
  <c r="L83" i="21"/>
  <c r="L106" i="21"/>
  <c r="P83" i="21"/>
  <c r="AG16" i="13"/>
  <c r="L79" i="21"/>
  <c r="S97" i="13"/>
  <c r="AS19" i="9"/>
  <c r="AR19" i="9"/>
  <c r="J142" i="21" a="1"/>
  <c r="J142" i="21" s="1"/>
  <c r="AE11" i="5"/>
  <c r="Y10" i="13"/>
  <c r="AA85" i="13"/>
  <c r="U85" i="13"/>
  <c r="J67" i="21" a="1"/>
  <c r="J67" i="21" s="1"/>
  <c r="I67" i="21"/>
  <c r="L67" i="21"/>
  <c r="P67" i="21"/>
  <c r="P127" i="21"/>
  <c r="J127" i="21" a="1"/>
  <c r="J127" i="21" s="1"/>
  <c r="I127" i="21"/>
  <c r="L127" i="21"/>
  <c r="U10" i="13"/>
  <c r="AA10" i="13"/>
  <c r="P194" i="21"/>
  <c r="H197" i="21"/>
  <c r="L197" i="21" s="1"/>
  <c r="L105" i="13"/>
  <c r="L104" i="13"/>
  <c r="L101" i="13"/>
  <c r="P10" i="13"/>
  <c r="W10" i="13"/>
  <c r="J185" i="21" a="1"/>
  <c r="J185" i="21" s="1"/>
  <c r="I185" i="21"/>
  <c r="J108" i="21" a="1"/>
  <c r="J108" i="21" s="1"/>
  <c r="P108" i="21"/>
  <c r="I194" i="21"/>
  <c r="J158" i="21" a="1"/>
  <c r="J158" i="21" s="1"/>
  <c r="I158" i="21"/>
  <c r="L158" i="21"/>
  <c r="P158" i="21"/>
  <c r="P74" i="21"/>
  <c r="I66" i="21"/>
  <c r="J100" i="21" a="1"/>
  <c r="J100" i="21" s="1"/>
  <c r="I91" i="21"/>
  <c r="AQ78" i="9"/>
  <c r="J71" i="21" a="1"/>
  <c r="J71" i="21" s="1"/>
  <c r="P71" i="21"/>
  <c r="L69" i="21"/>
  <c r="P69" i="21"/>
  <c r="J69" i="21" a="1"/>
  <c r="J69" i="21" s="1"/>
  <c r="I69" i="21"/>
  <c r="I157" i="21"/>
  <c r="P157" i="21"/>
  <c r="J157" i="21" a="1"/>
  <c r="J157" i="21" s="1"/>
  <c r="L157" i="21"/>
  <c r="B9" i="9"/>
  <c r="J126" i="21" a="1"/>
  <c r="J126" i="21" s="1"/>
  <c r="L126" i="21"/>
  <c r="P126" i="21"/>
  <c r="I126" i="21"/>
  <c r="C9" i="9"/>
  <c r="P118" i="21"/>
  <c r="I118" i="21"/>
  <c r="P192" i="21"/>
  <c r="J192" i="21" a="1"/>
  <c r="J192" i="21" s="1"/>
  <c r="I192" i="21"/>
  <c r="J136" i="21" a="1"/>
  <c r="J136" i="21" s="1"/>
  <c r="L136" i="21"/>
  <c r="J188" i="21" a="1"/>
  <c r="J188" i="21" s="1"/>
  <c r="P134" i="21"/>
  <c r="I121" i="21"/>
  <c r="AD19" i="5"/>
  <c r="I74" i="21"/>
  <c r="I70" i="21"/>
  <c r="P87" i="21"/>
  <c r="J106" i="21" a="1"/>
  <c r="J106" i="21" s="1"/>
  <c r="I103" i="21"/>
  <c r="I96" i="21"/>
  <c r="L186" i="21"/>
  <c r="P107" i="21"/>
  <c r="J180" i="21" a="1"/>
  <c r="J180" i="21" s="1"/>
  <c r="J164" i="21" a="1"/>
  <c r="J164" i="21" s="1"/>
  <c r="K119" i="21"/>
  <c r="K120" i="21" s="1"/>
  <c r="K121" i="21" s="1"/>
  <c r="K122" i="21" s="1"/>
  <c r="K123" i="21" s="1"/>
  <c r="K124" i="21" s="1"/>
  <c r="K125" i="21" s="1"/>
  <c r="K126" i="21" s="1"/>
  <c r="K127" i="21" s="1"/>
  <c r="K128" i="21" s="1"/>
  <c r="K129" i="21" s="1"/>
  <c r="K130" i="21" s="1"/>
  <c r="K131" i="21" s="1"/>
  <c r="K132" i="21" s="1"/>
  <c r="J74" i="21" a="1"/>
  <c r="J74" i="21" s="1"/>
  <c r="J70" i="21" a="1"/>
  <c r="J70" i="21" s="1"/>
  <c r="L87" i="21"/>
  <c r="I106" i="21"/>
  <c r="P188" i="21"/>
  <c r="J134" i="21" a="1"/>
  <c r="J134" i="21" s="1"/>
  <c r="J103" i="21" a="1"/>
  <c r="J103" i="21" s="1"/>
  <c r="I186" i="21"/>
  <c r="I148" i="21"/>
  <c r="J107" i="21" a="1"/>
  <c r="J107" i="21" s="1"/>
  <c r="I180" i="21"/>
  <c r="I164" i="21"/>
  <c r="K919" i="21" a="1"/>
  <c r="K919" i="21" s="1"/>
  <c r="P919" i="21" s="1"/>
  <c r="L919" i="21"/>
  <c r="L865" i="21"/>
  <c r="I865" i="21"/>
  <c r="K865" i="21" a="1"/>
  <c r="K865" i="21" s="1"/>
  <c r="P865" i="21" s="1"/>
  <c r="J865" i="21" a="1"/>
  <c r="J865" i="21" s="1"/>
  <c r="K892" i="21" a="1"/>
  <c r="K892" i="21" s="1"/>
  <c r="P892" i="21" s="1"/>
  <c r="I892" i="21"/>
  <c r="L892" i="21"/>
  <c r="J892" i="21" a="1"/>
  <c r="J892" i="21" s="1"/>
  <c r="I946" i="21"/>
  <c r="K946" i="21" a="1"/>
  <c r="K946" i="21" s="1"/>
  <c r="P946" i="21" s="1"/>
  <c r="J946" i="21" a="1"/>
  <c r="J946" i="21" s="1"/>
  <c r="L946" i="21"/>
  <c r="K1027" i="21" a="1"/>
  <c r="K1027" i="21" s="1"/>
  <c r="P1027" i="21" s="1"/>
  <c r="J1027" i="21" a="1"/>
  <c r="J1027" i="21" s="1"/>
  <c r="I973" i="21"/>
  <c r="L973" i="21"/>
  <c r="J973" i="21" a="1"/>
  <c r="J973" i="21" s="1"/>
  <c r="K973" i="21" a="1"/>
  <c r="K973" i="21" s="1"/>
  <c r="P973" i="21" s="1"/>
  <c r="J1000" i="21" a="1"/>
  <c r="J1000" i="21" s="1"/>
  <c r="I1000" i="21"/>
  <c r="K1000" i="21" a="1"/>
  <c r="K1000" i="21" s="1"/>
  <c r="P1000" i="21" s="1"/>
  <c r="L1000" i="21"/>
  <c r="J919" i="21" a="1"/>
  <c r="J919" i="21" s="1"/>
  <c r="I919" i="21"/>
  <c r="L1027" i="21"/>
  <c r="I1027" i="21"/>
  <c r="H133" i="21"/>
  <c r="P133" i="21" s="1"/>
  <c r="H105" i="21"/>
  <c r="P105" i="21" s="1"/>
  <c r="I92" i="21"/>
  <c r="H160" i="21"/>
  <c r="P160" i="21" s="1"/>
  <c r="H161" i="21"/>
  <c r="H113" i="21"/>
  <c r="L113" i="21" s="1"/>
  <c r="H189" i="21"/>
  <c r="P189" i="21" s="1"/>
  <c r="H168" i="21"/>
  <c r="P79" i="21"/>
  <c r="I79" i="21"/>
  <c r="L135" i="21"/>
  <c r="P135" i="21"/>
  <c r="J135" i="21" a="1"/>
  <c r="J135" i="21" s="1"/>
  <c r="I135" i="21"/>
  <c r="F1087" i="21"/>
  <c r="D5" i="21" s="1"/>
  <c r="H1087" i="21"/>
  <c r="K1087" i="21" s="1"/>
  <c r="L1087" i="21" s="1"/>
  <c r="H287" i="21" a="1"/>
  <c r="H287" i="21" s="1"/>
  <c r="K287" i="21" s="1" a="1"/>
  <c r="K287" i="21" s="1"/>
  <c r="L287" i="21" s="1"/>
  <c r="F287" i="21"/>
  <c r="D290" i="21" s="1"/>
  <c r="L151" i="21"/>
  <c r="P151" i="21"/>
  <c r="J151" i="21" a="1"/>
  <c r="J151" i="21" s="1"/>
  <c r="I151" i="21"/>
  <c r="P92" i="21"/>
  <c r="H672" i="21" a="1"/>
  <c r="H672" i="21" s="1"/>
  <c r="K672" i="21" s="1" a="1"/>
  <c r="K672" i="21" s="1"/>
  <c r="L672" i="21" s="1"/>
  <c r="F672" i="21"/>
  <c r="D675" i="21" s="1"/>
  <c r="AE13" i="13"/>
  <c r="AD18" i="5"/>
  <c r="AG14" i="5"/>
  <c r="AG15" i="5"/>
  <c r="K176" i="21"/>
  <c r="K177" i="21" s="1"/>
  <c r="K178" i="21" s="1"/>
  <c r="K179" i="21" s="1"/>
  <c r="K180" i="21" s="1"/>
  <c r="K181" i="21" s="1"/>
  <c r="K182" i="21" s="1"/>
  <c r="K183" i="21" s="1"/>
  <c r="K184" i="21" s="1"/>
  <c r="K185" i="21" s="1"/>
  <c r="K186" i="21" s="1"/>
  <c r="K187" i="21" s="1"/>
  <c r="K188" i="21" s="1"/>
  <c r="J83" i="21" a="1"/>
  <c r="J83" i="21" s="1"/>
  <c r="P70" i="21"/>
  <c r="I87" i="21"/>
  <c r="I188" i="21"/>
  <c r="L188" i="21" s="1"/>
  <c r="L134" i="21"/>
  <c r="P103" i="21"/>
  <c r="P186" i="21"/>
  <c r="I107" i="21"/>
  <c r="K148" i="21"/>
  <c r="K149" i="21" s="1"/>
  <c r="K150" i="21" s="1"/>
  <c r="K151" i="21" s="1"/>
  <c r="K152" i="21" s="1"/>
  <c r="K153" i="21" s="1"/>
  <c r="K154" i="21" s="1"/>
  <c r="K155" i="21" s="1"/>
  <c r="K156" i="21" s="1"/>
  <c r="K157" i="21" s="1"/>
  <c r="K158" i="21" s="1"/>
  <c r="K159" i="21" s="1"/>
  <c r="L180" i="21"/>
  <c r="H117" i="21"/>
  <c r="P117" i="21" s="1"/>
  <c r="L93" i="21"/>
  <c r="AE13" i="5"/>
  <c r="I93" i="21"/>
  <c r="H140" i="21"/>
  <c r="H196" i="21"/>
  <c r="L196" i="21" s="1"/>
  <c r="P93" i="21"/>
  <c r="L109" i="21"/>
  <c r="J130" i="21" a="1"/>
  <c r="J130" i="21" s="1"/>
  <c r="I130" i="21"/>
  <c r="P130" i="21"/>
  <c r="L130" i="21"/>
  <c r="J96" i="21" a="1"/>
  <c r="J96" i="21" s="1"/>
  <c r="J109" i="21" a="1"/>
  <c r="J109" i="21" s="1"/>
  <c r="I132" i="21"/>
  <c r="P132" i="21"/>
  <c r="J132" i="21" a="1"/>
  <c r="J132" i="21" s="1"/>
  <c r="L132" i="21"/>
  <c r="F20" i="5"/>
  <c r="AD16" i="5"/>
  <c r="I124" i="21"/>
  <c r="P124" i="21"/>
  <c r="L124" i="21"/>
  <c r="J124" i="21" a="1"/>
  <c r="J124" i="21" s="1"/>
  <c r="L148" i="21"/>
  <c r="P148" i="21"/>
  <c r="L121" i="21"/>
  <c r="P121" i="21"/>
  <c r="I131" i="21"/>
  <c r="P131" i="21"/>
  <c r="J131" i="21" a="1"/>
  <c r="J131" i="21" s="1"/>
  <c r="L131" i="21"/>
  <c r="I99" i="21"/>
  <c r="L99" i="21"/>
  <c r="J99" i="21" a="1"/>
  <c r="J99" i="21" s="1"/>
  <c r="P99" i="21"/>
  <c r="P198" i="21"/>
  <c r="I198" i="21"/>
  <c r="L198" i="21" s="1"/>
  <c r="P197" i="21"/>
  <c r="J197" i="21" a="1"/>
  <c r="J197" i="21" s="1"/>
  <c r="H167" i="21"/>
  <c r="P84" i="21"/>
  <c r="I84" i="21"/>
  <c r="J84" i="21" a="1"/>
  <c r="J84" i="21" s="1"/>
  <c r="L84" i="21"/>
  <c r="J159" i="21" a="1"/>
  <c r="J159" i="21" s="1"/>
  <c r="I159" i="21"/>
  <c r="L159" i="21"/>
  <c r="P159" i="21"/>
  <c r="L78" i="21"/>
  <c r="I78" i="21"/>
  <c r="P78" i="21"/>
  <c r="J78" i="21" a="1"/>
  <c r="J78" i="21" s="1"/>
  <c r="P162" i="21"/>
  <c r="J162" i="21" a="1"/>
  <c r="J162" i="21" s="1"/>
  <c r="I162" i="21"/>
  <c r="L162" i="21"/>
  <c r="I77" i="21"/>
  <c r="J77" i="21" a="1"/>
  <c r="J77" i="21" s="1"/>
  <c r="L77" i="21"/>
  <c r="P77" i="21"/>
  <c r="J120" i="21" a="1"/>
  <c r="J120" i="21" s="1"/>
  <c r="L120" i="21"/>
  <c r="P120" i="21"/>
  <c r="I120" i="21"/>
  <c r="H193" i="21"/>
  <c r="H141" i="21"/>
  <c r="H139" i="21"/>
  <c r="H112" i="21"/>
  <c r="J68" i="21" a="1"/>
  <c r="J68" i="21" s="1"/>
  <c r="I68" i="21"/>
  <c r="L68" i="21"/>
  <c r="P68" i="21"/>
  <c r="L96" i="21"/>
  <c r="P109" i="21"/>
  <c r="H82" i="21"/>
  <c r="F21" i="5"/>
  <c r="AD17" i="5"/>
  <c r="L142" i="21"/>
  <c r="I142" i="21"/>
  <c r="J181" i="21" a="1"/>
  <c r="J181" i="21" s="1"/>
  <c r="L181" i="21"/>
  <c r="I181" i="21"/>
  <c r="P181" i="21"/>
  <c r="J128" i="21" a="1"/>
  <c r="J128" i="21" s="1"/>
  <c r="L128" i="21"/>
  <c r="I128" i="21"/>
  <c r="P128" i="21"/>
  <c r="J97" i="21" a="1"/>
  <c r="J97" i="21" s="1"/>
  <c r="P97" i="21"/>
  <c r="I97" i="21"/>
  <c r="L97" i="21"/>
  <c r="J138" i="21" a="1"/>
  <c r="J138" i="21" s="1"/>
  <c r="I138" i="21"/>
  <c r="P138" i="21"/>
  <c r="L138" i="21"/>
  <c r="H114" i="21"/>
  <c r="L165" i="21"/>
  <c r="P165" i="21"/>
  <c r="L176" i="21"/>
  <c r="J176" i="21" a="1"/>
  <c r="J176" i="21" s="1"/>
  <c r="I176" i="21"/>
  <c r="P176" i="21"/>
  <c r="H111" i="21"/>
  <c r="I170" i="21"/>
  <c r="P170" i="21"/>
  <c r="L170" i="21"/>
  <c r="J170" i="21" a="1"/>
  <c r="J170" i="21" s="1"/>
  <c r="AE15" i="5"/>
  <c r="AG15" i="13"/>
  <c r="AG14" i="13"/>
  <c r="AG12" i="13"/>
  <c r="AG13" i="13"/>
  <c r="AE15" i="13"/>
  <c r="P191" i="21"/>
  <c r="I191" i="21"/>
  <c r="J191" i="21" a="1"/>
  <c r="J191" i="21" s="1"/>
  <c r="L191" i="21" s="1"/>
  <c r="H166" i="21"/>
  <c r="H110" i="21"/>
  <c r="P119" i="21"/>
  <c r="J119" i="21" a="1"/>
  <c r="J119" i="21" s="1"/>
  <c r="I119" i="21"/>
  <c r="L119" i="21" s="1"/>
  <c r="J137" i="21" a="1"/>
  <c r="J137" i="21" s="1"/>
  <c r="P137" i="21"/>
  <c r="L137" i="21"/>
  <c r="I137" i="21"/>
  <c r="J65" i="21" a="1"/>
  <c r="J65" i="21" s="1"/>
  <c r="P65" i="21"/>
  <c r="L65" i="21"/>
  <c r="I65" i="21"/>
  <c r="H169" i="21"/>
  <c r="J86" i="21" a="1"/>
  <c r="J86" i="21" s="1"/>
  <c r="L86" i="21"/>
  <c r="H195" i="21"/>
  <c r="H85" i="21"/>
  <c r="J72" i="21" a="1"/>
  <c r="J72" i="21" s="1"/>
  <c r="L72" i="21"/>
  <c r="I72" i="21"/>
  <c r="P72" i="21"/>
  <c r="AE12" i="13"/>
  <c r="J104" i="21" a="1"/>
  <c r="J104" i="21" s="1"/>
  <c r="I104" i="21"/>
  <c r="P104" i="21"/>
  <c r="K11" i="9"/>
  <c r="E9" i="9"/>
  <c r="L9" i="9"/>
  <c r="L75" i="21"/>
  <c r="I75" i="21"/>
  <c r="P75" i="21"/>
  <c r="J75" i="21" a="1"/>
  <c r="J75" i="21" s="1"/>
  <c r="J9" i="9"/>
  <c r="N11" i="9"/>
  <c r="H11" i="9"/>
  <c r="F11" i="9"/>
  <c r="E11" i="9"/>
  <c r="D11" i="9"/>
  <c r="C11" i="9"/>
  <c r="B11" i="9"/>
  <c r="L11" i="9"/>
  <c r="M11" i="9"/>
  <c r="O11" i="9"/>
  <c r="G11" i="9"/>
  <c r="J11" i="9"/>
  <c r="I11" i="9"/>
  <c r="J122" i="21" a="1"/>
  <c r="J122" i="21" s="1"/>
  <c r="L122" i="21"/>
  <c r="P122" i="21"/>
  <c r="I122" i="21"/>
  <c r="L107" i="13"/>
  <c r="L99" i="13"/>
  <c r="K75" i="13"/>
  <c r="L102" i="13"/>
  <c r="L106" i="13"/>
  <c r="AT12" i="9"/>
  <c r="AQ12" i="9" s="1"/>
  <c r="AT14" i="9"/>
  <c r="AQ14" i="9" s="1"/>
  <c r="AT16" i="9"/>
  <c r="AQ16" i="9" s="1"/>
  <c r="AT18" i="9"/>
  <c r="AQ18" i="9" s="1"/>
  <c r="AT59" i="9"/>
  <c r="AQ59" i="9" s="1"/>
  <c r="AT61" i="9"/>
  <c r="AQ61" i="9" s="1"/>
  <c r="AT20" i="9"/>
  <c r="AT24" i="9"/>
  <c r="AT26" i="9"/>
  <c r="AQ26" i="9" s="1"/>
  <c r="AT32" i="9"/>
  <c r="AT34" i="9"/>
  <c r="AQ34" i="9" s="1"/>
  <c r="AT40" i="9"/>
  <c r="AT58" i="9"/>
  <c r="AT66" i="9"/>
  <c r="AQ66" i="9" s="1"/>
  <c r="AT68" i="9"/>
  <c r="AT70" i="9"/>
  <c r="AQ70" i="9" s="1"/>
  <c r="AT23" i="9"/>
  <c r="AT31" i="9"/>
  <c r="AT33" i="9"/>
  <c r="AQ33" i="9" s="1"/>
  <c r="AT44" i="9"/>
  <c r="AT46" i="9"/>
  <c r="AQ46" i="9" s="1"/>
  <c r="AT48" i="9"/>
  <c r="AQ48" i="9" s="1"/>
  <c r="AT50" i="9"/>
  <c r="AQ50" i="9" s="1"/>
  <c r="AT52" i="9"/>
  <c r="AQ52" i="9" s="1"/>
  <c r="F68" i="13"/>
  <c r="F65" i="13"/>
  <c r="D65" i="13"/>
  <c r="H100" i="13"/>
  <c r="Y75" i="13"/>
  <c r="G99" i="13"/>
  <c r="W90" i="13"/>
  <c r="F66" i="13"/>
  <c r="H102" i="13"/>
  <c r="S9" i="13"/>
  <c r="W96" i="13"/>
  <c r="K72" i="13"/>
  <c r="H83" i="13"/>
  <c r="L95" i="13"/>
  <c r="J94" i="13"/>
  <c r="C83" i="13"/>
  <c r="G105" i="13"/>
  <c r="M104" i="13"/>
  <c r="H80" i="13"/>
  <c r="N101" i="13"/>
  <c r="Z89" i="13"/>
  <c r="H8" i="13"/>
  <c r="E8" i="13"/>
  <c r="N100" i="13"/>
  <c r="L100" i="13"/>
  <c r="Z76" i="13"/>
  <c r="K76" i="13"/>
  <c r="S7" i="13"/>
  <c r="P7" i="13"/>
  <c r="L7" i="13"/>
  <c r="F64" i="13"/>
  <c r="D64" i="13"/>
  <c r="H75" i="13"/>
  <c r="S100" i="13"/>
  <c r="S101" i="13"/>
  <c r="G9" i="13"/>
  <c r="K66" i="13"/>
  <c r="N9" i="13"/>
  <c r="Y96" i="13"/>
  <c r="N96" i="13"/>
  <c r="H107" i="13"/>
  <c r="Z83" i="13"/>
  <c r="X95" i="13"/>
  <c r="S108" i="13"/>
  <c r="V84" i="13"/>
  <c r="F95" i="13"/>
  <c r="X87" i="13"/>
  <c r="S99" i="13"/>
  <c r="M105" i="13"/>
  <c r="AA93" i="13"/>
  <c r="H105" i="13"/>
  <c r="P93" i="13"/>
  <c r="N98" i="13"/>
  <c r="V86" i="13"/>
  <c r="F62" i="13"/>
  <c r="M98" i="13"/>
  <c r="K92" i="13"/>
  <c r="I107" i="13"/>
  <c r="N95" i="13"/>
  <c r="D5" i="13"/>
  <c r="Q98" i="13"/>
  <c r="Q99" i="13"/>
  <c r="Q100" i="13"/>
  <c r="Q101" i="13"/>
  <c r="D9" i="13"/>
  <c r="Q102" i="13"/>
  <c r="Q105" i="13"/>
  <c r="Q106" i="13"/>
  <c r="D1080" i="21" a="1"/>
  <c r="D1080" i="21" s="1"/>
  <c r="H1080" i="21" s="1" a="1"/>
  <c r="H1080" i="21" s="1"/>
  <c r="D1081" i="21" a="1"/>
  <c r="D1081" i="21" s="1"/>
  <c r="H1081" i="21" s="1" a="1"/>
  <c r="H1081" i="21" s="1"/>
  <c r="D1079" i="21" a="1"/>
  <c r="D1079" i="21" s="1"/>
  <c r="H1079" i="21" s="1" a="1"/>
  <c r="H1079" i="21" s="1"/>
  <c r="D1076" i="21"/>
  <c r="D1078" i="21" a="1"/>
  <c r="D1078" i="21" s="1"/>
  <c r="H1078" i="21" s="1" a="1"/>
  <c r="H1078" i="21" s="1"/>
  <c r="D1077" i="21"/>
  <c r="AT4" i="9"/>
  <c r="AQ4" i="9" s="1"/>
  <c r="AT21" i="9"/>
  <c r="AQ21" i="9" s="1"/>
  <c r="AT25" i="9"/>
  <c r="AQ25" i="9" s="1"/>
  <c r="AT27" i="9"/>
  <c r="AQ27" i="9" s="1"/>
  <c r="AT29" i="9"/>
  <c r="AQ29" i="9" s="1"/>
  <c r="AT35" i="9"/>
  <c r="AQ35" i="9" s="1"/>
  <c r="AT37" i="9"/>
  <c r="AQ37" i="9" s="1"/>
  <c r="AT57" i="9"/>
  <c r="AQ57" i="9" s="1"/>
  <c r="AT63" i="9"/>
  <c r="AQ63" i="9" s="1"/>
  <c r="AT65" i="9"/>
  <c r="AT67" i="9"/>
  <c r="AT69" i="9"/>
  <c r="AQ69" i="9" s="1"/>
  <c r="AT71" i="9"/>
  <c r="AT19" i="9"/>
  <c r="AQ19" i="9" s="1"/>
  <c r="AQ24" i="9"/>
  <c r="AQ32" i="9"/>
  <c r="AT54" i="9"/>
  <c r="AQ54" i="9" s="1"/>
  <c r="AT56" i="9"/>
  <c r="AQ56" i="9" s="1"/>
  <c r="AQ58" i="9"/>
  <c r="D1070" i="21" a="1"/>
  <c r="D1070" i="21" s="1"/>
  <c r="H1070" i="21" s="1" a="1"/>
  <c r="H1070" i="21" s="1"/>
  <c r="D1068" i="21" a="1"/>
  <c r="D1068" i="21" s="1"/>
  <c r="H1068" i="21" s="1" a="1"/>
  <c r="H1068" i="21" s="1"/>
  <c r="D1067" i="21"/>
  <c r="D1071" i="21" a="1"/>
  <c r="D1071" i="21" s="1"/>
  <c r="H1071" i="21" s="1" a="1"/>
  <c r="H1071" i="21" s="1"/>
  <c r="D1069" i="21" a="1"/>
  <c r="D1069" i="21" s="1"/>
  <c r="H1069" i="21" s="1" a="1"/>
  <c r="H1069" i="21" s="1"/>
  <c r="D1066" i="21"/>
  <c r="X92" i="13"/>
  <c r="W92" i="13"/>
  <c r="D68" i="13"/>
  <c r="R68" i="13"/>
  <c r="J80" i="13"/>
  <c r="W80" i="13"/>
  <c r="G101" i="13"/>
  <c r="T89" i="13"/>
  <c r="J89" i="13"/>
  <c r="V76" i="13"/>
  <c r="J76" i="13"/>
  <c r="K64" i="13"/>
  <c r="N99" i="13"/>
  <c r="L75" i="13"/>
  <c r="K63" i="13"/>
  <c r="H99" i="13"/>
  <c r="F63" i="13"/>
  <c r="D63" i="13"/>
  <c r="V89" i="13"/>
  <c r="Z78" i="13"/>
  <c r="D66" i="13"/>
  <c r="M102" i="13"/>
  <c r="P90" i="13"/>
  <c r="H108" i="13"/>
  <c r="H84" i="13"/>
  <c r="R72" i="13"/>
  <c r="W95" i="13"/>
  <c r="D71" i="13"/>
  <c r="J95" i="13"/>
  <c r="K71" i="13"/>
  <c r="G83" i="13"/>
  <c r="J78" i="13"/>
  <c r="Q9" i="13"/>
  <c r="Z94" i="13"/>
  <c r="X94" i="13"/>
  <c r="H94" i="13"/>
  <c r="E94" i="13"/>
  <c r="L82" i="13"/>
  <c r="F70" i="13"/>
  <c r="D70" i="13"/>
  <c r="N107" i="13"/>
  <c r="X83" i="13"/>
  <c r="AA90" i="13"/>
  <c r="AA95" i="13"/>
  <c r="AA94" i="13"/>
  <c r="Z75" i="13"/>
  <c r="X75" i="13"/>
  <c r="AA75" i="13"/>
  <c r="N105" i="13"/>
  <c r="W93" i="13"/>
  <c r="C81" i="13"/>
  <c r="F69" i="13"/>
  <c r="K69" i="13"/>
  <c r="H98" i="13"/>
  <c r="W74" i="13"/>
  <c r="K62" i="13"/>
  <c r="P5" i="13"/>
  <c r="H5" i="13"/>
  <c r="M92" i="13"/>
  <c r="V92" i="13"/>
  <c r="S104" i="13"/>
  <c r="K68" i="13"/>
  <c r="M101" i="13"/>
  <c r="U77" i="13"/>
  <c r="C77" i="13"/>
  <c r="K65" i="13"/>
  <c r="L88" i="13"/>
  <c r="D88" i="13"/>
  <c r="H76" i="13"/>
  <c r="M75" i="13"/>
  <c r="M99" i="13"/>
  <c r="D76" i="13"/>
  <c r="D77" i="13"/>
  <c r="H78" i="13"/>
  <c r="H9" i="13"/>
  <c r="C78" i="13"/>
  <c r="C90" i="13"/>
  <c r="W78" i="13"/>
  <c r="N90" i="13"/>
  <c r="L108" i="13"/>
  <c r="L96" i="13"/>
  <c r="K84" i="13"/>
  <c r="F72" i="13"/>
  <c r="D72" i="13"/>
  <c r="M107" i="13"/>
  <c r="F71" i="13"/>
  <c r="M83" i="13"/>
  <c r="H95" i="13"/>
  <c r="M106" i="13"/>
  <c r="O94" i="13"/>
  <c r="Y82" i="13"/>
  <c r="K70" i="13"/>
  <c r="T95" i="13"/>
  <c r="D84" i="13"/>
  <c r="C107" i="13"/>
  <c r="C106" i="13"/>
  <c r="C75" i="13"/>
  <c r="Z87" i="13"/>
  <c r="V93" i="13"/>
  <c r="V81" i="13"/>
  <c r="D81" i="13"/>
  <c r="D69" i="13"/>
  <c r="O93" i="13"/>
  <c r="H81" i="13"/>
  <c r="Z93" i="13"/>
  <c r="J86" i="13"/>
  <c r="C86" i="13"/>
  <c r="M74" i="13"/>
  <c r="H74" i="13"/>
  <c r="S5" i="13"/>
  <c r="L5" i="13"/>
  <c r="E5" i="13"/>
  <c r="D62" i="13"/>
  <c r="T5" i="13"/>
  <c r="K89" i="13"/>
  <c r="M94" i="13"/>
  <c r="O92" i="13"/>
  <c r="O89" i="13"/>
  <c r="O100" i="13"/>
  <c r="I99" i="13"/>
  <c r="F5" i="13"/>
  <c r="T98" i="13"/>
  <c r="T99" i="13"/>
  <c r="F7" i="13"/>
  <c r="T100" i="13"/>
  <c r="F8" i="13"/>
  <c r="T101" i="13"/>
  <c r="F9" i="13"/>
  <c r="T102" i="13"/>
  <c r="T104" i="13"/>
  <c r="T105" i="13"/>
  <c r="T106" i="13"/>
  <c r="T107" i="13"/>
  <c r="T108" i="13"/>
  <c r="AT85" i="9"/>
  <c r="AT83" i="9"/>
  <c r="AT84" i="9"/>
  <c r="M76" i="13"/>
  <c r="O101" i="13"/>
  <c r="O99" i="13"/>
  <c r="K86" i="13"/>
  <c r="J81" i="13"/>
  <c r="J84" i="13"/>
  <c r="R5" i="13"/>
  <c r="R8" i="13"/>
  <c r="R9" i="13"/>
  <c r="K7" i="13"/>
  <c r="K8" i="13"/>
  <c r="K9" i="13"/>
  <c r="D7" i="13"/>
  <c r="D8" i="13"/>
  <c r="AT6" i="9"/>
  <c r="AQ6" i="9" s="1"/>
  <c r="AT8" i="9"/>
  <c r="AQ8" i="9" s="1"/>
  <c r="AT10" i="9"/>
  <c r="AQ10" i="9" s="1"/>
  <c r="AQ23" i="9"/>
  <c r="AQ31" i="9"/>
  <c r="AT39" i="9"/>
  <c r="AQ39" i="9" s="1"/>
  <c r="AT41" i="9"/>
  <c r="AQ41" i="9" s="1"/>
  <c r="AT43" i="9"/>
  <c r="AQ43" i="9" s="1"/>
  <c r="AT45" i="9"/>
  <c r="AT47" i="9"/>
  <c r="AQ47" i="9" s="1"/>
  <c r="AT49" i="9"/>
  <c r="AQ49" i="9" s="1"/>
  <c r="AT51" i="9"/>
  <c r="AQ51" i="9" s="1"/>
  <c r="AT53" i="9"/>
  <c r="AT55" i="9"/>
  <c r="AQ55" i="9" s="1"/>
  <c r="P5" i="21"/>
  <c r="H5" i="21"/>
  <c r="L5" i="21" s="1"/>
  <c r="AT81" i="9"/>
  <c r="AT79" i="9"/>
  <c r="AT77" i="9"/>
  <c r="AT75" i="9"/>
  <c r="AT5" i="9"/>
  <c r="AQ5" i="9" s="1"/>
  <c r="AT7" i="9"/>
  <c r="AQ7" i="9" s="1"/>
  <c r="AT9" i="9"/>
  <c r="AQ9" i="9" s="1"/>
  <c r="AT11" i="9"/>
  <c r="AQ11" i="9" s="1"/>
  <c r="AT13" i="9"/>
  <c r="AQ13" i="9" s="1"/>
  <c r="AT15" i="9"/>
  <c r="AQ15" i="9" s="1"/>
  <c r="AT17" i="9"/>
  <c r="AQ17" i="9" s="1"/>
  <c r="AQ20" i="9"/>
  <c r="AT22" i="9"/>
  <c r="AQ22" i="9" s="1"/>
  <c r="AT28" i="9"/>
  <c r="AQ28" i="9" s="1"/>
  <c r="AT30" i="9"/>
  <c r="AQ30" i="9" s="1"/>
  <c r="AT36" i="9"/>
  <c r="AQ36" i="9" s="1"/>
  <c r="AT38" i="9"/>
  <c r="AQ38" i="9" s="1"/>
  <c r="AQ40" i="9"/>
  <c r="AT42" i="9"/>
  <c r="AQ42" i="9" s="1"/>
  <c r="AQ44" i="9"/>
  <c r="AT60" i="9"/>
  <c r="AQ60" i="9" s="1"/>
  <c r="AT62" i="9"/>
  <c r="AT72" i="9"/>
  <c r="I197" i="21" l="1"/>
  <c r="P136" i="21"/>
  <c r="L189" i="21"/>
  <c r="AS73" i="9"/>
  <c r="H1067" i="21"/>
  <c r="AT73" i="9"/>
  <c r="AQ73" i="9" s="1"/>
  <c r="H1076" i="21"/>
  <c r="R70" i="13"/>
  <c r="T75" i="13"/>
  <c r="Q8" i="13"/>
  <c r="D83" i="13"/>
  <c r="Q5" i="13"/>
  <c r="R94" i="13"/>
  <c r="R89" i="13"/>
  <c r="R82" i="13"/>
  <c r="D75" i="13"/>
  <c r="P82" i="13"/>
  <c r="Q89" i="13"/>
  <c r="D80" i="13"/>
  <c r="O75" i="13"/>
  <c r="K95" i="13"/>
  <c r="T94" i="13"/>
  <c r="L187" i="21"/>
  <c r="I105" i="21"/>
  <c r="E89" i="13"/>
  <c r="AT64" i="9"/>
  <c r="AQ64" i="9" s="1"/>
  <c r="R63" i="13"/>
  <c r="Q107" i="13"/>
  <c r="G107" i="13"/>
  <c r="C101" i="13"/>
  <c r="Q108" i="13"/>
  <c r="Q104" i="13"/>
  <c r="P95" i="13"/>
  <c r="G106" i="13"/>
  <c r="G102" i="13"/>
  <c r="C105" i="13"/>
  <c r="C99" i="13"/>
  <c r="L87" i="13"/>
  <c r="C87" i="13"/>
  <c r="K94" i="13"/>
  <c r="J90" i="13"/>
  <c r="Q94" i="13"/>
  <c r="M86" i="13"/>
  <c r="D74" i="13"/>
  <c r="N88" i="13"/>
  <c r="N87" i="13"/>
  <c r="E93" i="13"/>
  <c r="D96" i="13"/>
  <c r="T92" i="13"/>
  <c r="H92" i="13"/>
  <c r="M9" i="13"/>
  <c r="C7" i="13"/>
  <c r="E76" i="13"/>
  <c r="T8" i="13"/>
  <c r="R62" i="13"/>
  <c r="C82" i="13"/>
  <c r="E84" i="13"/>
  <c r="E80" i="13"/>
  <c r="G81" i="13"/>
  <c r="R71" i="13"/>
  <c r="D82" i="13"/>
  <c r="E83" i="13"/>
  <c r="K82" i="13"/>
  <c r="F74" i="13"/>
  <c r="F76" i="13"/>
  <c r="F83" i="13"/>
  <c r="R92" i="13"/>
  <c r="E74" i="13"/>
  <c r="R69" i="13"/>
  <c r="R65" i="13"/>
  <c r="D78" i="13"/>
  <c r="R66" i="13"/>
  <c r="R64" i="13"/>
  <c r="F80" i="13"/>
  <c r="F84" i="13"/>
  <c r="P81" i="21"/>
  <c r="J81" i="21" a="1"/>
  <c r="J81" i="21" s="1"/>
  <c r="I81" i="21"/>
  <c r="L81" i="21"/>
  <c r="I108" i="21"/>
  <c r="L108" i="21"/>
  <c r="L164" i="21"/>
  <c r="P164" i="21"/>
  <c r="J105" i="21" a="1"/>
  <c r="J105" i="21" s="1"/>
  <c r="K5" i="13"/>
  <c r="U5" i="13"/>
  <c r="L160" i="21"/>
  <c r="AT74" i="9"/>
  <c r="AA86" i="13"/>
  <c r="AT76" i="9"/>
  <c r="AT86" i="9"/>
  <c r="AQ86" i="9" s="1"/>
  <c r="AT80" i="9"/>
  <c r="AT78" i="9"/>
  <c r="AT82" i="9"/>
  <c r="O8" i="13"/>
  <c r="J133" i="21" a="1"/>
  <c r="J133" i="21" s="1"/>
  <c r="L105" i="21"/>
  <c r="I189" i="21"/>
  <c r="L98" i="13"/>
  <c r="L104" i="21"/>
  <c r="J189" i="21" a="1"/>
  <c r="J189" i="21" s="1"/>
  <c r="K189" i="21"/>
  <c r="K190" i="21" s="1"/>
  <c r="K191" i="21" s="1"/>
  <c r="K192" i="21" s="1"/>
  <c r="F86" i="13"/>
  <c r="O76" i="13"/>
  <c r="N78" i="13"/>
  <c r="C92" i="13"/>
  <c r="T74" i="13"/>
  <c r="AA76" i="13"/>
  <c r="AA84" i="13"/>
  <c r="F96" i="13"/>
  <c r="AA107" i="13"/>
  <c r="U107" i="13"/>
  <c r="AA105" i="13"/>
  <c r="U102" i="13"/>
  <c r="AA102" i="13"/>
  <c r="AA101" i="13"/>
  <c r="AA100" i="13"/>
  <c r="U100" i="13"/>
  <c r="AA99" i="13"/>
  <c r="U99" i="13"/>
  <c r="AA98" i="13"/>
  <c r="U98" i="13"/>
  <c r="E108" i="13"/>
  <c r="V108" i="13"/>
  <c r="G77" i="13"/>
  <c r="E78" i="13"/>
  <c r="K80" i="13"/>
  <c r="F81" i="13"/>
  <c r="G82" i="13"/>
  <c r="D89" i="13"/>
  <c r="O78" i="13"/>
  <c r="R77" i="13"/>
  <c r="U105" i="13"/>
  <c r="R86" i="13"/>
  <c r="C100" i="13"/>
  <c r="I90" i="13"/>
  <c r="K87" i="13"/>
  <c r="P87" i="13"/>
  <c r="C108" i="13"/>
  <c r="R95" i="13"/>
  <c r="U104" i="13"/>
  <c r="U108" i="13"/>
  <c r="AA108" i="13"/>
  <c r="AA106" i="13"/>
  <c r="AA104" i="13"/>
  <c r="E98" i="13"/>
  <c r="V98" i="13"/>
  <c r="E100" i="13"/>
  <c r="V100" i="13"/>
  <c r="E99" i="13"/>
  <c r="V99" i="13"/>
  <c r="E15" i="9"/>
  <c r="AD10" i="13"/>
  <c r="T76" i="13"/>
  <c r="R78" i="13"/>
  <c r="T80" i="13"/>
  <c r="T84" i="13"/>
  <c r="F88" i="13"/>
  <c r="E75" i="13"/>
  <c r="F77" i="13"/>
  <c r="M77" i="13"/>
  <c r="K78" i="13"/>
  <c r="N80" i="13"/>
  <c r="K81" i="13"/>
  <c r="F82" i="13"/>
  <c r="N82" i="13"/>
  <c r="R74" i="13"/>
  <c r="Q75" i="13"/>
  <c r="E87" i="13"/>
  <c r="Q76" i="13"/>
  <c r="G90" i="13"/>
  <c r="Q81" i="13"/>
  <c r="E95" i="13"/>
  <c r="Q84" i="13"/>
  <c r="D87" i="13"/>
  <c r="O77" i="13"/>
  <c r="F90" i="13"/>
  <c r="P80" i="13"/>
  <c r="U78" i="13"/>
  <c r="U82" i="13"/>
  <c r="U83" i="13"/>
  <c r="E102" i="13"/>
  <c r="V102" i="13"/>
  <c r="E107" i="13"/>
  <c r="V107" i="13"/>
  <c r="D93" i="13"/>
  <c r="O83" i="13"/>
  <c r="K88" i="13"/>
  <c r="M88" i="13"/>
  <c r="R88" i="13"/>
  <c r="V88" i="13"/>
  <c r="M100" i="13"/>
  <c r="O90" i="13"/>
  <c r="S90" i="13"/>
  <c r="G87" i="13"/>
  <c r="O87" i="13"/>
  <c r="S106" i="13"/>
  <c r="I96" i="13"/>
  <c r="R96" i="13"/>
  <c r="M108" i="13"/>
  <c r="S105" i="13"/>
  <c r="U95" i="13"/>
  <c r="U101" i="13"/>
  <c r="U106" i="13"/>
  <c r="K193" i="21"/>
  <c r="K194" i="21" s="1"/>
  <c r="K195" i="21" s="1"/>
  <c r="K196" i="21" s="1"/>
  <c r="K197" i="21" s="1"/>
  <c r="K198" i="21" s="1"/>
  <c r="K199" i="21" s="1"/>
  <c r="K200" i="21" s="1"/>
  <c r="K201" i="21" s="1"/>
  <c r="P201" i="21" s="1"/>
  <c r="K133" i="21"/>
  <c r="K134" i="21" s="1"/>
  <c r="K135" i="21" s="1"/>
  <c r="K136" i="21" s="1"/>
  <c r="K137" i="21" s="1"/>
  <c r="K138" i="21" s="1"/>
  <c r="K139" i="21" s="1"/>
  <c r="K140" i="21" s="1"/>
  <c r="K141" i="21" s="1"/>
  <c r="K142" i="21" s="1"/>
  <c r="I160" i="21"/>
  <c r="I133" i="21"/>
  <c r="P113" i="21"/>
  <c r="P78" i="13"/>
  <c r="W82" i="13"/>
  <c r="Z84" i="13"/>
  <c r="T87" i="13"/>
  <c r="Y88" i="13"/>
  <c r="Y77" i="13"/>
  <c r="Z74" i="13"/>
  <c r="AA77" i="13"/>
  <c r="X76" i="13"/>
  <c r="Z80" i="13"/>
  <c r="X86" i="13"/>
  <c r="S82" i="13"/>
  <c r="X84" i="13"/>
  <c r="W88" i="13"/>
  <c r="X89" i="13"/>
  <c r="X8" i="13"/>
  <c r="I196" i="21"/>
  <c r="K160" i="21"/>
  <c r="K161" i="21" s="1"/>
  <c r="K162" i="21" s="1"/>
  <c r="K163" i="21" s="1"/>
  <c r="K164" i="21" s="1"/>
  <c r="K165" i="21" s="1"/>
  <c r="K166" i="21" s="1"/>
  <c r="K167" i="21" s="1"/>
  <c r="K168" i="21" s="1"/>
  <c r="K169" i="21" s="1"/>
  <c r="K170" i="21" s="1"/>
  <c r="K171" i="21" s="1"/>
  <c r="K172" i="21" s="1"/>
  <c r="K173" i="21" s="1"/>
  <c r="P173" i="21" s="1"/>
  <c r="J160" i="21" a="1"/>
  <c r="J160" i="21" s="1"/>
  <c r="L133" i="21"/>
  <c r="J113" i="21" a="1"/>
  <c r="J113" i="21" s="1"/>
  <c r="I113" i="21"/>
  <c r="I168" i="21"/>
  <c r="J168" i="21" a="1"/>
  <c r="J168" i="21" s="1"/>
  <c r="L168" i="21"/>
  <c r="P168" i="21"/>
  <c r="J161" i="21" a="1"/>
  <c r="J161" i="21" s="1"/>
  <c r="I161" i="21"/>
  <c r="P161" i="21"/>
  <c r="L161" i="21"/>
  <c r="H675" i="21"/>
  <c r="L675" i="21" s="1"/>
  <c r="P675" i="21"/>
  <c r="H290" i="21"/>
  <c r="L290" i="21" s="1"/>
  <c r="P290" i="21"/>
  <c r="K15" i="9"/>
  <c r="J196" i="21" a="1"/>
  <c r="J196" i="21" s="1"/>
  <c r="P196" i="21"/>
  <c r="J140" i="21" a="1"/>
  <c r="J140" i="21" s="1"/>
  <c r="L140" i="21"/>
  <c r="P140" i="21"/>
  <c r="I140" i="21"/>
  <c r="Z5" i="13"/>
  <c r="G15" i="9"/>
  <c r="J169" i="21" a="1"/>
  <c r="J169" i="21" s="1"/>
  <c r="P169" i="21"/>
  <c r="I169" i="21"/>
  <c r="L169" i="21"/>
  <c r="I110" i="21"/>
  <c r="P110" i="21"/>
  <c r="J110" i="21" a="1"/>
  <c r="J110" i="21" s="1"/>
  <c r="L110" i="21"/>
  <c r="L111" i="21"/>
  <c r="I111" i="21"/>
  <c r="J111" i="21" a="1"/>
  <c r="J111" i="21" s="1"/>
  <c r="P111" i="21"/>
  <c r="J114" i="21" a="1"/>
  <c r="J114" i="21" s="1"/>
  <c r="P114" i="21"/>
  <c r="I114" i="21"/>
  <c r="L114" i="21"/>
  <c r="L112" i="21"/>
  <c r="J112" i="21" a="1"/>
  <c r="J112" i="21" s="1"/>
  <c r="I112" i="21"/>
  <c r="P112" i="21"/>
  <c r="J141" i="21" a="1"/>
  <c r="J141" i="21" s="1"/>
  <c r="L141" i="21"/>
  <c r="I141" i="21"/>
  <c r="P141" i="21"/>
  <c r="I193" i="21"/>
  <c r="J193" i="21" a="1"/>
  <c r="J193" i="21" s="1"/>
  <c r="P193" i="21"/>
  <c r="L193" i="21"/>
  <c r="P167" i="21"/>
  <c r="I167" i="21"/>
  <c r="L167" i="21"/>
  <c r="J167" i="21" a="1"/>
  <c r="J167" i="21" s="1"/>
  <c r="Y7" i="13"/>
  <c r="Y9" i="13"/>
  <c r="W7" i="13"/>
  <c r="J85" i="21" a="1"/>
  <c r="J85" i="21" s="1"/>
  <c r="P85" i="21"/>
  <c r="L85" i="21"/>
  <c r="I85" i="21"/>
  <c r="L195" i="21"/>
  <c r="I195" i="21"/>
  <c r="J195" i="21" a="1"/>
  <c r="J195" i="21" s="1"/>
  <c r="P195" i="21"/>
  <c r="I166" i="21"/>
  <c r="P166" i="21"/>
  <c r="J166" i="21" a="1"/>
  <c r="J166" i="21" s="1"/>
  <c r="L166" i="21"/>
  <c r="L82" i="21"/>
  <c r="J82" i="21" a="1"/>
  <c r="J82" i="21" s="1"/>
  <c r="I82" i="21"/>
  <c r="P82" i="21"/>
  <c r="I139" i="21"/>
  <c r="L139" i="21"/>
  <c r="J139" i="21" a="1"/>
  <c r="J139" i="21" s="1"/>
  <c r="P139" i="21"/>
  <c r="J15" i="9"/>
  <c r="I15" i="9"/>
  <c r="M15" i="9"/>
  <c r="L15" i="9"/>
  <c r="N15" i="9"/>
  <c r="C15" i="9"/>
  <c r="B15" i="9"/>
  <c r="O15" i="9"/>
  <c r="H15" i="9"/>
  <c r="F15" i="9"/>
  <c r="D15" i="9"/>
  <c r="I7" i="13"/>
  <c r="I8" i="13"/>
  <c r="G5" i="13"/>
  <c r="G7" i="13"/>
  <c r="V8" i="13"/>
  <c r="W5" i="13"/>
  <c r="C5" i="13"/>
  <c r="I9" i="13"/>
  <c r="M5" i="13"/>
  <c r="I5" i="13"/>
  <c r="O5" i="13"/>
  <c r="J5" i="13"/>
  <c r="X5" i="13"/>
  <c r="L6" i="13"/>
  <c r="L4" i="5"/>
  <c r="L24" i="5" s="1"/>
  <c r="G6" i="13"/>
  <c r="G4" i="5"/>
  <c r="G24" i="5" s="1"/>
  <c r="K6" i="13"/>
  <c r="K4" i="5"/>
  <c r="K24" i="5" s="1"/>
  <c r="R6" i="13"/>
  <c r="R4" i="5"/>
  <c r="R24" i="5" s="1"/>
  <c r="I6" i="13"/>
  <c r="I4" i="5"/>
  <c r="I24" i="5" s="1"/>
  <c r="F6" i="13"/>
  <c r="F4" i="5"/>
  <c r="F24" i="5" s="1"/>
  <c r="T6" i="13"/>
  <c r="T4" i="5"/>
  <c r="T24" i="5" s="1"/>
  <c r="J6" i="13"/>
  <c r="J4" i="5"/>
  <c r="J24" i="5" s="1"/>
  <c r="O80" i="13"/>
  <c r="M81" i="13"/>
  <c r="O82" i="13"/>
  <c r="E62" i="13"/>
  <c r="L62" i="13"/>
  <c r="S62" i="13"/>
  <c r="Z62" i="13"/>
  <c r="G74" i="13"/>
  <c r="V74" i="13"/>
  <c r="H86" i="13"/>
  <c r="W86" i="13"/>
  <c r="Q69" i="13"/>
  <c r="S93" i="13"/>
  <c r="S87" i="13"/>
  <c r="Z63" i="13"/>
  <c r="V94" i="13"/>
  <c r="G70" i="13"/>
  <c r="N70" i="13"/>
  <c r="Y70" i="13"/>
  <c r="J82" i="13"/>
  <c r="T82" i="13"/>
  <c r="C94" i="13"/>
  <c r="N94" i="13"/>
  <c r="Y94" i="13"/>
  <c r="N83" i="13"/>
  <c r="G78" i="13"/>
  <c r="AA65" i="13"/>
  <c r="Q6" i="13"/>
  <c r="Q4" i="5"/>
  <c r="Q24" i="5" s="1"/>
  <c r="L63" i="13"/>
  <c r="N75" i="13"/>
  <c r="D6" i="13"/>
  <c r="D4" i="5"/>
  <c r="D24" i="5" s="1"/>
  <c r="K108" i="13"/>
  <c r="K106" i="13"/>
  <c r="K105" i="13"/>
  <c r="K104" i="13"/>
  <c r="K101" i="13"/>
  <c r="K100" i="13"/>
  <c r="R105" i="13"/>
  <c r="R104" i="13"/>
  <c r="R101" i="13"/>
  <c r="R100" i="13"/>
  <c r="R98" i="13"/>
  <c r="M71" i="13"/>
  <c r="M84" i="13"/>
  <c r="I86" i="13"/>
  <c r="I102" i="13"/>
  <c r="O88" i="13"/>
  <c r="O105" i="13"/>
  <c r="M63" i="13"/>
  <c r="F390" i="21"/>
  <c r="L390" i="21" s="1"/>
  <c r="F406" i="21"/>
  <c r="L406" i="21" s="1"/>
  <c r="F420" i="21"/>
  <c r="L420" i="21" s="1"/>
  <c r="F654" i="21"/>
  <c r="L654" i="21" s="1"/>
  <c r="F670" i="21"/>
  <c r="L670" i="21" s="1"/>
  <c r="F693" i="21"/>
  <c r="L693" i="21" s="1"/>
  <c r="F709" i="21"/>
  <c r="L709" i="21" s="1"/>
  <c r="F725" i="21"/>
  <c r="L725" i="21" s="1"/>
  <c r="F743" i="21"/>
  <c r="L743" i="21" s="1"/>
  <c r="F759" i="21"/>
  <c r="L759" i="21" s="1"/>
  <c r="F775" i="21"/>
  <c r="L775" i="21" s="1"/>
  <c r="F789" i="21"/>
  <c r="L789" i="21" s="1"/>
  <c r="F807" i="21"/>
  <c r="L807" i="21" s="1"/>
  <c r="F1037" i="21"/>
  <c r="L1037" i="21" s="1"/>
  <c r="F1055" i="21"/>
  <c r="L1055" i="21" s="1"/>
  <c r="F308" i="21"/>
  <c r="L308" i="21" s="1"/>
  <c r="F324" i="21"/>
  <c r="L324" i="21" s="1"/>
  <c r="F342" i="21"/>
  <c r="L342" i="21" s="1"/>
  <c r="F358" i="21"/>
  <c r="L358" i="21" s="1"/>
  <c r="F374" i="21"/>
  <c r="L374" i="21" s="1"/>
  <c r="F388" i="21"/>
  <c r="L388" i="21" s="1"/>
  <c r="F404" i="21"/>
  <c r="L404" i="21" s="1"/>
  <c r="F422" i="21"/>
  <c r="L422" i="21" s="1"/>
  <c r="F668" i="21"/>
  <c r="L668" i="21" s="1"/>
  <c r="F691" i="21"/>
  <c r="L691" i="21" s="1"/>
  <c r="F707" i="21"/>
  <c r="L707" i="21" s="1"/>
  <c r="F723" i="21"/>
  <c r="L723" i="21" s="1"/>
  <c r="F737" i="21"/>
  <c r="L737" i="21" s="1"/>
  <c r="F753" i="21"/>
  <c r="L753" i="21" s="1"/>
  <c r="F769" i="21"/>
  <c r="L769" i="21" s="1"/>
  <c r="F801" i="21"/>
  <c r="L801" i="21" s="1"/>
  <c r="F1035" i="21"/>
  <c r="L1035" i="21" s="1"/>
  <c r="F1051" i="21"/>
  <c r="L1051" i="21" s="1"/>
  <c r="F299" i="21"/>
  <c r="L299" i="21" s="1"/>
  <c r="F307" i="21"/>
  <c r="L307" i="21" s="1"/>
  <c r="F315" i="21"/>
  <c r="L315" i="21" s="1"/>
  <c r="F323" i="21"/>
  <c r="L323" i="21" s="1"/>
  <c r="F331" i="21"/>
  <c r="L331" i="21" s="1"/>
  <c r="F339" i="21"/>
  <c r="L339" i="21" s="1"/>
  <c r="F347" i="21"/>
  <c r="L347" i="21" s="1"/>
  <c r="F355" i="21"/>
  <c r="L355" i="21" s="1"/>
  <c r="F363" i="21"/>
  <c r="L363" i="21" s="1"/>
  <c r="F371" i="21"/>
  <c r="L371" i="21" s="1"/>
  <c r="F379" i="21"/>
  <c r="L379" i="21" s="1"/>
  <c r="F387" i="21"/>
  <c r="L387" i="21" s="1"/>
  <c r="F395" i="21"/>
  <c r="L395" i="21" s="1"/>
  <c r="F403" i="21"/>
  <c r="L403" i="21" s="1"/>
  <c r="F411" i="21"/>
  <c r="L411" i="21" s="1"/>
  <c r="F419" i="21"/>
  <c r="L419" i="21" s="1"/>
  <c r="F427" i="21"/>
  <c r="L427" i="21" s="1"/>
  <c r="F651" i="21"/>
  <c r="L651" i="21" s="1"/>
  <c r="F667" i="21"/>
  <c r="L667" i="21" s="1"/>
  <c r="F682" i="21"/>
  <c r="L682" i="21" s="1"/>
  <c r="F690" i="21"/>
  <c r="L690" i="21" s="1"/>
  <c r="F698" i="21"/>
  <c r="L698" i="21" s="1"/>
  <c r="F706" i="21"/>
  <c r="L706" i="21" s="1"/>
  <c r="F714" i="21"/>
  <c r="L714" i="21" s="1"/>
  <c r="F722" i="21"/>
  <c r="L722" i="21" s="1"/>
  <c r="F730" i="21"/>
  <c r="L730" i="21" s="1"/>
  <c r="F738" i="21"/>
  <c r="L738" i="21" s="1"/>
  <c r="F746" i="21"/>
  <c r="L746" i="21" s="1"/>
  <c r="F754" i="21"/>
  <c r="L754" i="21" s="1"/>
  <c r="F762" i="21"/>
  <c r="L762" i="21" s="1"/>
  <c r="F770" i="21"/>
  <c r="L770" i="21" s="1"/>
  <c r="F778" i="21"/>
  <c r="L778" i="21" s="1"/>
  <c r="F786" i="21"/>
  <c r="L786" i="21" s="1"/>
  <c r="F802" i="21"/>
  <c r="L802" i="21" s="1"/>
  <c r="F810" i="21"/>
  <c r="L810" i="21" s="1"/>
  <c r="F1034" i="21"/>
  <c r="L1034" i="21" s="1"/>
  <c r="F1042" i="21"/>
  <c r="L1042" i="21" s="1"/>
  <c r="F1050" i="21"/>
  <c r="L1050" i="21" s="1"/>
  <c r="F298" i="21"/>
  <c r="L298" i="21" s="1"/>
  <c r="F314" i="21"/>
  <c r="L314" i="21" s="1"/>
  <c r="F328" i="21"/>
  <c r="L328" i="21" s="1"/>
  <c r="F344" i="21"/>
  <c r="L344" i="21" s="1"/>
  <c r="F360" i="21"/>
  <c r="L360" i="21" s="1"/>
  <c r="F376" i="21"/>
  <c r="L376" i="21" s="1"/>
  <c r="F394" i="21"/>
  <c r="L394" i="21" s="1"/>
  <c r="F410" i="21"/>
  <c r="L410" i="21" s="1"/>
  <c r="F426" i="21"/>
  <c r="L426" i="21" s="1"/>
  <c r="F658" i="21"/>
  <c r="L658" i="21" s="1"/>
  <c r="F681" i="21"/>
  <c r="L681" i="21" s="1"/>
  <c r="F697" i="21"/>
  <c r="L697" i="21" s="1"/>
  <c r="F713" i="21"/>
  <c r="L713" i="21" s="1"/>
  <c r="F729" i="21"/>
  <c r="L729" i="21" s="1"/>
  <c r="F747" i="21"/>
  <c r="L747" i="21" s="1"/>
  <c r="F763" i="21"/>
  <c r="L763" i="21" s="1"/>
  <c r="F779" i="21"/>
  <c r="L779" i="21" s="1"/>
  <c r="F795" i="21"/>
  <c r="L795" i="21" s="1"/>
  <c r="F811" i="21"/>
  <c r="L811" i="21" s="1"/>
  <c r="F1041" i="21"/>
  <c r="L1041" i="21" s="1"/>
  <c r="F296" i="21"/>
  <c r="L296" i="21" s="1"/>
  <c r="F312" i="21"/>
  <c r="L312" i="21" s="1"/>
  <c r="F330" i="21"/>
  <c r="L330" i="21" s="1"/>
  <c r="F346" i="21"/>
  <c r="L346" i="21" s="1"/>
  <c r="F362" i="21"/>
  <c r="L362" i="21" s="1"/>
  <c r="F378" i="21"/>
  <c r="L378" i="21" s="1"/>
  <c r="F392" i="21"/>
  <c r="L392" i="21" s="1"/>
  <c r="F408" i="21"/>
  <c r="L408" i="21" s="1"/>
  <c r="F424" i="21"/>
  <c r="L424" i="21" s="1"/>
  <c r="F656" i="21"/>
  <c r="L656" i="21" s="1"/>
  <c r="F679" i="21"/>
  <c r="L679" i="21" s="1"/>
  <c r="F695" i="21"/>
  <c r="L695" i="21" s="1"/>
  <c r="F711" i="21"/>
  <c r="L711" i="21" s="1"/>
  <c r="F727" i="21"/>
  <c r="L727" i="21" s="1"/>
  <c r="F741" i="21"/>
  <c r="L741" i="21" s="1"/>
  <c r="F757" i="21"/>
  <c r="L757" i="21" s="1"/>
  <c r="F773" i="21"/>
  <c r="L773" i="21" s="1"/>
  <c r="F791" i="21"/>
  <c r="L791" i="21" s="1"/>
  <c r="F805" i="21"/>
  <c r="L805" i="21" s="1"/>
  <c r="F1039" i="21"/>
  <c r="L1039" i="21" s="1"/>
  <c r="F1053" i="21"/>
  <c r="L1053" i="21" s="1"/>
  <c r="F297" i="21"/>
  <c r="L297" i="21" s="1"/>
  <c r="F305" i="21"/>
  <c r="L305" i="21" s="1"/>
  <c r="F313" i="21"/>
  <c r="L313" i="21" s="1"/>
  <c r="F321" i="21"/>
  <c r="L321" i="21" s="1"/>
  <c r="F329" i="21"/>
  <c r="L329" i="21" s="1"/>
  <c r="F337" i="21"/>
  <c r="L337" i="21" s="1"/>
  <c r="F345" i="21"/>
  <c r="L345" i="21" s="1"/>
  <c r="F353" i="21"/>
  <c r="L353" i="21" s="1"/>
  <c r="F361" i="21"/>
  <c r="L361" i="21" s="1"/>
  <c r="F369" i="21"/>
  <c r="L369" i="21" s="1"/>
  <c r="F377" i="21"/>
  <c r="L377" i="21" s="1"/>
  <c r="F385" i="21"/>
  <c r="L385" i="21" s="1"/>
  <c r="F393" i="21"/>
  <c r="L393" i="21" s="1"/>
  <c r="F401" i="21"/>
  <c r="L401" i="21" s="1"/>
  <c r="F409" i="21"/>
  <c r="L409" i="21" s="1"/>
  <c r="F417" i="21"/>
  <c r="L417" i="21" s="1"/>
  <c r="F425" i="21"/>
  <c r="L425" i="21" s="1"/>
  <c r="F649" i="21"/>
  <c r="L649" i="21" s="1"/>
  <c r="F657" i="21"/>
  <c r="L657" i="21" s="1"/>
  <c r="F665" i="21"/>
  <c r="L665" i="21" s="1"/>
  <c r="F680" i="21"/>
  <c r="L680" i="21" s="1"/>
  <c r="F688" i="21"/>
  <c r="L688" i="21" s="1"/>
  <c r="F696" i="21"/>
  <c r="L696" i="21" s="1"/>
  <c r="F704" i="21"/>
  <c r="L704" i="21" s="1"/>
  <c r="F712" i="21"/>
  <c r="L712" i="21" s="1"/>
  <c r="F720" i="21"/>
  <c r="L720" i="21" s="1"/>
  <c r="F728" i="21"/>
  <c r="L728" i="21" s="1"/>
  <c r="F736" i="21"/>
  <c r="L736" i="21" s="1"/>
  <c r="F744" i="21"/>
  <c r="L744" i="21" s="1"/>
  <c r="F752" i="21"/>
  <c r="L752" i="21" s="1"/>
  <c r="F760" i="21"/>
  <c r="L760" i="21" s="1"/>
  <c r="F768" i="21"/>
  <c r="L768" i="21" s="1"/>
  <c r="F776" i="21"/>
  <c r="L776" i="21" s="1"/>
  <c r="F784" i="21"/>
  <c r="L784" i="21" s="1"/>
  <c r="F792" i="21"/>
  <c r="L792" i="21" s="1"/>
  <c r="F800" i="21"/>
  <c r="L800" i="21" s="1"/>
  <c r="F808" i="21"/>
  <c r="L808" i="21" s="1"/>
  <c r="F1032" i="21"/>
  <c r="L1032" i="21" s="1"/>
  <c r="F1040" i="21"/>
  <c r="L1040" i="21" s="1"/>
  <c r="F1048" i="21"/>
  <c r="L1048" i="21" s="1"/>
  <c r="B783" i="21"/>
  <c r="B775" i="21"/>
  <c r="B767" i="21"/>
  <c r="B759" i="21"/>
  <c r="B751" i="21"/>
  <c r="B743" i="21"/>
  <c r="B735" i="21"/>
  <c r="B778" i="21"/>
  <c r="B770" i="21"/>
  <c r="B762" i="21"/>
  <c r="B754" i="21"/>
  <c r="B746" i="21"/>
  <c r="B738" i="21"/>
  <c r="B731" i="21"/>
  <c r="B723" i="21"/>
  <c r="B715" i="21"/>
  <c r="B707" i="21"/>
  <c r="B699" i="21"/>
  <c r="B691" i="21"/>
  <c r="B683" i="21"/>
  <c r="B398" i="21"/>
  <c r="B390" i="21"/>
  <c r="B382" i="21"/>
  <c r="B374" i="21"/>
  <c r="B366" i="21"/>
  <c r="B358" i="21"/>
  <c r="B350" i="21"/>
  <c r="B342" i="21"/>
  <c r="B334" i="21"/>
  <c r="B326" i="21"/>
  <c r="B318" i="21"/>
  <c r="B310" i="21"/>
  <c r="B302" i="21"/>
  <c r="B294" i="21"/>
  <c r="B726" i="21"/>
  <c r="B718" i="21"/>
  <c r="B710" i="21"/>
  <c r="B702" i="21"/>
  <c r="B694" i="21"/>
  <c r="B686" i="21"/>
  <c r="B678" i="21"/>
  <c r="B393" i="21"/>
  <c r="B385" i="21"/>
  <c r="B377" i="21"/>
  <c r="B369" i="21"/>
  <c r="B361" i="21"/>
  <c r="B353" i="21"/>
  <c r="B345" i="21"/>
  <c r="B337" i="21"/>
  <c r="B329" i="21"/>
  <c r="B321" i="21"/>
  <c r="B313" i="21"/>
  <c r="B305" i="21"/>
  <c r="B297" i="21"/>
  <c r="B784" i="21"/>
  <c r="B776" i="21"/>
  <c r="B768" i="21"/>
  <c r="B760" i="21"/>
  <c r="B752" i="21"/>
  <c r="B744" i="21"/>
  <c r="B736" i="21"/>
  <c r="B781" i="21"/>
  <c r="B773" i="21"/>
  <c r="B765" i="21"/>
  <c r="B757" i="21"/>
  <c r="B749" i="21"/>
  <c r="B741" i="21"/>
  <c r="B732" i="21"/>
  <c r="B724" i="21"/>
  <c r="B716" i="21"/>
  <c r="B708" i="21"/>
  <c r="B700" i="21"/>
  <c r="B692" i="21"/>
  <c r="B684" i="21"/>
  <c r="B399" i="21"/>
  <c r="B391" i="21"/>
  <c r="B383" i="21"/>
  <c r="B375" i="21"/>
  <c r="B367" i="21"/>
  <c r="B359" i="21"/>
  <c r="B351" i="21"/>
  <c r="B343" i="21"/>
  <c r="B335" i="21"/>
  <c r="B327" i="21"/>
  <c r="B319" i="21"/>
  <c r="B311" i="21"/>
  <c r="B303" i="21"/>
  <c r="B295" i="21"/>
  <c r="B729" i="21"/>
  <c r="B721" i="21"/>
  <c r="B713" i="21"/>
  <c r="B705" i="21"/>
  <c r="B697" i="21"/>
  <c r="B689" i="21"/>
  <c r="B681" i="21"/>
  <c r="B396" i="21"/>
  <c r="B388" i="21"/>
  <c r="B380" i="21"/>
  <c r="B372" i="21"/>
  <c r="B364" i="21"/>
  <c r="B356" i="21"/>
  <c r="B348" i="21"/>
  <c r="B340" i="21"/>
  <c r="B332" i="21"/>
  <c r="B324" i="21"/>
  <c r="B316" i="21"/>
  <c r="B308" i="21"/>
  <c r="B300" i="21"/>
  <c r="F294" i="21"/>
  <c r="L294" i="21" s="1"/>
  <c r="F302" i="21"/>
  <c r="L302" i="21" s="1"/>
  <c r="F310" i="21"/>
  <c r="L310" i="21" s="1"/>
  <c r="F318" i="21"/>
  <c r="L318" i="21" s="1"/>
  <c r="F326" i="21"/>
  <c r="L326" i="21" s="1"/>
  <c r="F332" i="21"/>
  <c r="L332" i="21" s="1"/>
  <c r="F340" i="21"/>
  <c r="L340" i="21" s="1"/>
  <c r="F348" i="21"/>
  <c r="L348" i="21" s="1"/>
  <c r="F356" i="21"/>
  <c r="L356" i="21" s="1"/>
  <c r="F364" i="21"/>
  <c r="L364" i="21" s="1"/>
  <c r="F372" i="21"/>
  <c r="L372" i="21" s="1"/>
  <c r="F380" i="21"/>
  <c r="L380" i="21" s="1"/>
  <c r="F398" i="21"/>
  <c r="L398" i="21" s="1"/>
  <c r="F414" i="21"/>
  <c r="L414" i="21" s="1"/>
  <c r="F646" i="21"/>
  <c r="L646" i="21" s="1"/>
  <c r="F662" i="21"/>
  <c r="L662" i="21" s="1"/>
  <c r="F685" i="21"/>
  <c r="L685" i="21" s="1"/>
  <c r="F701" i="21"/>
  <c r="L701" i="21" s="1"/>
  <c r="F717" i="21"/>
  <c r="L717" i="21" s="1"/>
  <c r="F733" i="21"/>
  <c r="L733" i="21" s="1"/>
  <c r="F751" i="21"/>
  <c r="L751" i="21" s="1"/>
  <c r="F767" i="21"/>
  <c r="L767" i="21" s="1"/>
  <c r="F783" i="21"/>
  <c r="L783" i="21" s="1"/>
  <c r="F799" i="21"/>
  <c r="L799" i="21" s="1"/>
  <c r="F1029" i="21"/>
  <c r="L1029" i="21" s="1"/>
  <c r="F1045" i="21"/>
  <c r="L1045" i="21" s="1"/>
  <c r="F300" i="21"/>
  <c r="L300" i="21" s="1"/>
  <c r="F316" i="21"/>
  <c r="L316" i="21" s="1"/>
  <c r="F334" i="21"/>
  <c r="L334" i="21" s="1"/>
  <c r="F350" i="21"/>
  <c r="L350" i="21" s="1"/>
  <c r="F366" i="21"/>
  <c r="L366" i="21" s="1"/>
  <c r="F382" i="21"/>
  <c r="L382" i="21" s="1"/>
  <c r="F396" i="21"/>
  <c r="L396" i="21" s="1"/>
  <c r="F412" i="21"/>
  <c r="L412" i="21" s="1"/>
  <c r="F644" i="21"/>
  <c r="L644" i="21" s="1"/>
  <c r="F660" i="21"/>
  <c r="L660" i="21" s="1"/>
  <c r="F683" i="21"/>
  <c r="L683" i="21" s="1"/>
  <c r="F699" i="21"/>
  <c r="L699" i="21" s="1"/>
  <c r="F715" i="21"/>
  <c r="L715" i="21" s="1"/>
  <c r="F731" i="21"/>
  <c r="L731" i="21" s="1"/>
  <c r="F745" i="21"/>
  <c r="L745" i="21" s="1"/>
  <c r="F761" i="21"/>
  <c r="L761" i="21" s="1"/>
  <c r="F777" i="21"/>
  <c r="L777" i="21" s="1"/>
  <c r="F793" i="21"/>
  <c r="L793" i="21" s="1"/>
  <c r="F809" i="21"/>
  <c r="L809" i="21" s="1"/>
  <c r="F1043" i="21"/>
  <c r="L1043" i="21" s="1"/>
  <c r="F295" i="21"/>
  <c r="L295" i="21" s="1"/>
  <c r="F303" i="21"/>
  <c r="L303" i="21" s="1"/>
  <c r="F311" i="21"/>
  <c r="L311" i="21" s="1"/>
  <c r="F319" i="21"/>
  <c r="L319" i="21" s="1"/>
  <c r="F327" i="21"/>
  <c r="L327" i="21" s="1"/>
  <c r="F335" i="21"/>
  <c r="L335" i="21" s="1"/>
  <c r="F343" i="21"/>
  <c r="L343" i="21" s="1"/>
  <c r="F351" i="21"/>
  <c r="L351" i="21" s="1"/>
  <c r="F359" i="21"/>
  <c r="L359" i="21" s="1"/>
  <c r="F367" i="21"/>
  <c r="L367" i="21" s="1"/>
  <c r="F375" i="21"/>
  <c r="L375" i="21" s="1"/>
  <c r="F383" i="21"/>
  <c r="L383" i="21" s="1"/>
  <c r="F391" i="21"/>
  <c r="L391" i="21" s="1"/>
  <c r="F399" i="21"/>
  <c r="L399" i="21" s="1"/>
  <c r="F407" i="21"/>
  <c r="L407" i="21" s="1"/>
  <c r="F415" i="21"/>
  <c r="L415" i="21" s="1"/>
  <c r="F423" i="21"/>
  <c r="L423" i="21" s="1"/>
  <c r="F655" i="21"/>
  <c r="L655" i="21" s="1"/>
  <c r="F663" i="21"/>
  <c r="L663" i="21" s="1"/>
  <c r="F678" i="21"/>
  <c r="L678" i="21" s="1"/>
  <c r="F686" i="21"/>
  <c r="L686" i="21" s="1"/>
  <c r="F694" i="21"/>
  <c r="L694" i="21" s="1"/>
  <c r="F702" i="21"/>
  <c r="L702" i="21" s="1"/>
  <c r="F710" i="21"/>
  <c r="L710" i="21" s="1"/>
  <c r="F718" i="21"/>
  <c r="L718" i="21" s="1"/>
  <c r="F726" i="21"/>
  <c r="L726" i="21" s="1"/>
  <c r="F734" i="21"/>
  <c r="L734" i="21" s="1"/>
  <c r="F742" i="21"/>
  <c r="L742" i="21" s="1"/>
  <c r="F750" i="21"/>
  <c r="L750" i="21" s="1"/>
  <c r="F758" i="21"/>
  <c r="L758" i="21" s="1"/>
  <c r="F766" i="21"/>
  <c r="L766" i="21" s="1"/>
  <c r="F774" i="21"/>
  <c r="L774" i="21" s="1"/>
  <c r="F782" i="21"/>
  <c r="L782" i="21" s="1"/>
  <c r="F790" i="21"/>
  <c r="L790" i="21" s="1"/>
  <c r="F798" i="21"/>
  <c r="L798" i="21" s="1"/>
  <c r="F806" i="21"/>
  <c r="L806" i="21" s="1"/>
  <c r="F1030" i="21"/>
  <c r="L1030" i="21" s="1"/>
  <c r="F1038" i="21"/>
  <c r="L1038" i="21" s="1"/>
  <c r="F1046" i="21"/>
  <c r="L1046" i="21" s="1"/>
  <c r="F1054" i="21"/>
  <c r="L1054" i="21" s="1"/>
  <c r="F306" i="21"/>
  <c r="L306" i="21" s="1"/>
  <c r="F322" i="21"/>
  <c r="L322" i="21" s="1"/>
  <c r="F338" i="21"/>
  <c r="L338" i="21" s="1"/>
  <c r="F352" i="21"/>
  <c r="L352" i="21" s="1"/>
  <c r="F368" i="21"/>
  <c r="L368" i="21" s="1"/>
  <c r="F386" i="21"/>
  <c r="L386" i="21" s="1"/>
  <c r="F418" i="21"/>
  <c r="L418" i="21" s="1"/>
  <c r="F650" i="21"/>
  <c r="L650" i="21" s="1"/>
  <c r="F666" i="21"/>
  <c r="L666" i="21" s="1"/>
  <c r="F689" i="21"/>
  <c r="L689" i="21" s="1"/>
  <c r="F705" i="21"/>
  <c r="L705" i="21" s="1"/>
  <c r="F721" i="21"/>
  <c r="L721" i="21" s="1"/>
  <c r="F739" i="21"/>
  <c r="L739" i="21" s="1"/>
  <c r="F755" i="21"/>
  <c r="L755" i="21" s="1"/>
  <c r="F771" i="21"/>
  <c r="L771" i="21" s="1"/>
  <c r="F785" i="21"/>
  <c r="L785" i="21" s="1"/>
  <c r="F803" i="21"/>
  <c r="L803" i="21" s="1"/>
  <c r="F1033" i="21"/>
  <c r="L1033" i="21" s="1"/>
  <c r="F1049" i="21"/>
  <c r="L1049" i="21" s="1"/>
  <c r="F304" i="21"/>
  <c r="L304" i="21" s="1"/>
  <c r="F320" i="21"/>
  <c r="L320" i="21" s="1"/>
  <c r="F336" i="21"/>
  <c r="L336" i="21" s="1"/>
  <c r="F354" i="21"/>
  <c r="L354" i="21" s="1"/>
  <c r="F370" i="21"/>
  <c r="L370" i="21" s="1"/>
  <c r="F384" i="21"/>
  <c r="L384" i="21" s="1"/>
  <c r="F400" i="21"/>
  <c r="L400" i="21" s="1"/>
  <c r="F416" i="21"/>
  <c r="L416" i="21" s="1"/>
  <c r="F648" i="21"/>
  <c r="L648" i="21" s="1"/>
  <c r="F664" i="21"/>
  <c r="L664" i="21" s="1"/>
  <c r="F687" i="21"/>
  <c r="L687" i="21" s="1"/>
  <c r="F703" i="21"/>
  <c r="L703" i="21" s="1"/>
  <c r="F719" i="21"/>
  <c r="L719" i="21" s="1"/>
  <c r="F735" i="21"/>
  <c r="L735" i="21" s="1"/>
  <c r="F749" i="21"/>
  <c r="L749" i="21" s="1"/>
  <c r="F765" i="21"/>
  <c r="L765" i="21" s="1"/>
  <c r="F781" i="21"/>
  <c r="L781" i="21" s="1"/>
  <c r="F797" i="21"/>
  <c r="L797" i="21" s="1"/>
  <c r="F1031" i="21"/>
  <c r="L1031" i="21" s="1"/>
  <c r="F1047" i="21"/>
  <c r="L1047" i="21" s="1"/>
  <c r="F293" i="21"/>
  <c r="L293" i="21" s="1"/>
  <c r="F301" i="21"/>
  <c r="L301" i="21" s="1"/>
  <c r="F309" i="21"/>
  <c r="L309" i="21" s="1"/>
  <c r="F317" i="21"/>
  <c r="L317" i="21" s="1"/>
  <c r="F325" i="21"/>
  <c r="L325" i="21" s="1"/>
  <c r="F333" i="21"/>
  <c r="L333" i="21" s="1"/>
  <c r="F341" i="21"/>
  <c r="L341" i="21" s="1"/>
  <c r="F349" i="21"/>
  <c r="L349" i="21" s="1"/>
  <c r="F357" i="21"/>
  <c r="L357" i="21" s="1"/>
  <c r="F365" i="21"/>
  <c r="L365" i="21" s="1"/>
  <c r="F373" i="21"/>
  <c r="L373" i="21" s="1"/>
  <c r="F381" i="21"/>
  <c r="L381" i="21" s="1"/>
  <c r="F389" i="21"/>
  <c r="L389" i="21" s="1"/>
  <c r="F397" i="21"/>
  <c r="L397" i="21" s="1"/>
  <c r="F405" i="21"/>
  <c r="L405" i="21" s="1"/>
  <c r="F413" i="21"/>
  <c r="L413" i="21" s="1"/>
  <c r="F421" i="21"/>
  <c r="L421" i="21" s="1"/>
  <c r="F645" i="21"/>
  <c r="L645" i="21" s="1"/>
  <c r="F653" i="21"/>
  <c r="L653" i="21" s="1"/>
  <c r="F661" i="21"/>
  <c r="L661" i="21" s="1"/>
  <c r="F669" i="21"/>
  <c r="L669" i="21" s="1"/>
  <c r="F684" i="21"/>
  <c r="L684" i="21" s="1"/>
  <c r="F692" i="21"/>
  <c r="L692" i="21" s="1"/>
  <c r="F700" i="21"/>
  <c r="L700" i="21" s="1"/>
  <c r="F708" i="21"/>
  <c r="L708" i="21" s="1"/>
  <c r="F716" i="21"/>
  <c r="L716" i="21" s="1"/>
  <c r="F724" i="21"/>
  <c r="L724" i="21" s="1"/>
  <c r="F732" i="21"/>
  <c r="L732" i="21" s="1"/>
  <c r="F740" i="21"/>
  <c r="L740" i="21" s="1"/>
  <c r="F748" i="21"/>
  <c r="L748" i="21" s="1"/>
  <c r="F756" i="21"/>
  <c r="L756" i="21" s="1"/>
  <c r="F764" i="21"/>
  <c r="L764" i="21" s="1"/>
  <c r="F772" i="21"/>
  <c r="L772" i="21" s="1"/>
  <c r="F780" i="21"/>
  <c r="L780" i="21" s="1"/>
  <c r="F788" i="21"/>
  <c r="L788" i="21" s="1"/>
  <c r="F796" i="21"/>
  <c r="L796" i="21" s="1"/>
  <c r="F804" i="21"/>
  <c r="L804" i="21" s="1"/>
  <c r="F812" i="21"/>
  <c r="L812" i="21" s="1"/>
  <c r="F1036" i="21"/>
  <c r="L1036" i="21" s="1"/>
  <c r="F1044" i="21"/>
  <c r="L1044" i="21" s="1"/>
  <c r="F1052" i="21"/>
  <c r="L1052" i="21" s="1"/>
  <c r="B779" i="21"/>
  <c r="B771" i="21"/>
  <c r="B763" i="21"/>
  <c r="B755" i="21"/>
  <c r="B747" i="21"/>
  <c r="B739" i="21"/>
  <c r="B782" i="21"/>
  <c r="B774" i="21"/>
  <c r="B766" i="21"/>
  <c r="B758" i="21"/>
  <c r="B750" i="21"/>
  <c r="B742" i="21"/>
  <c r="B734" i="21"/>
  <c r="B727" i="21"/>
  <c r="B719" i="21"/>
  <c r="B711" i="21"/>
  <c r="B703" i="21"/>
  <c r="B695" i="21"/>
  <c r="B687" i="21"/>
  <c r="B679" i="21"/>
  <c r="B394" i="21"/>
  <c r="B386" i="21"/>
  <c r="B378" i="21"/>
  <c r="B370" i="21"/>
  <c r="B362" i="21"/>
  <c r="B354" i="21"/>
  <c r="B346" i="21"/>
  <c r="B338" i="21"/>
  <c r="B330" i="21"/>
  <c r="B322" i="21"/>
  <c r="B314" i="21"/>
  <c r="B306" i="21"/>
  <c r="B298" i="21"/>
  <c r="B730" i="21"/>
  <c r="B722" i="21"/>
  <c r="B714" i="21"/>
  <c r="B706" i="21"/>
  <c r="B698" i="21"/>
  <c r="B690" i="21"/>
  <c r="B682" i="21"/>
  <c r="B397" i="21"/>
  <c r="B389" i="21"/>
  <c r="B381" i="21"/>
  <c r="B373" i="21"/>
  <c r="B365" i="21"/>
  <c r="B357" i="21"/>
  <c r="B349" i="21"/>
  <c r="B341" i="21"/>
  <c r="B333" i="21"/>
  <c r="B325" i="21"/>
  <c r="B317" i="21"/>
  <c r="B309" i="21"/>
  <c r="B301" i="21"/>
  <c r="B293" i="21"/>
  <c r="B780" i="21"/>
  <c r="B772" i="21"/>
  <c r="B764" i="21"/>
  <c r="B756" i="21"/>
  <c r="B748" i="21"/>
  <c r="B740" i="21"/>
  <c r="B785" i="21"/>
  <c r="B777" i="21"/>
  <c r="B769" i="21"/>
  <c r="B761" i="21"/>
  <c r="B753" i="21"/>
  <c r="B745" i="21"/>
  <c r="B737" i="21"/>
  <c r="B728" i="21"/>
  <c r="B720" i="21"/>
  <c r="B712" i="21"/>
  <c r="B704" i="21"/>
  <c r="B696" i="21"/>
  <c r="B688" i="21"/>
  <c r="B680" i="21"/>
  <c r="B395" i="21"/>
  <c r="B387" i="21"/>
  <c r="B379" i="21"/>
  <c r="B371" i="21"/>
  <c r="B363" i="21"/>
  <c r="B355" i="21"/>
  <c r="B347" i="21"/>
  <c r="B339" i="21"/>
  <c r="B331" i="21"/>
  <c r="B323" i="21"/>
  <c r="B315" i="21"/>
  <c r="B307" i="21"/>
  <c r="B299" i="21"/>
  <c r="B733" i="21"/>
  <c r="B725" i="21"/>
  <c r="B717" i="21"/>
  <c r="B709" i="21"/>
  <c r="B701" i="21"/>
  <c r="B693" i="21"/>
  <c r="B685" i="21"/>
  <c r="B400" i="21"/>
  <c r="B392" i="21"/>
  <c r="B384" i="21"/>
  <c r="B376" i="21"/>
  <c r="B368" i="21"/>
  <c r="B360" i="21"/>
  <c r="B352" i="21"/>
  <c r="B344" i="21"/>
  <c r="B336" i="21"/>
  <c r="B328" i="21"/>
  <c r="B320" i="21"/>
  <c r="B312" i="21"/>
  <c r="B304" i="21"/>
  <c r="B296" i="21"/>
  <c r="AT3" i="9"/>
  <c r="AQ3" i="9" s="1"/>
  <c r="F108" i="13"/>
  <c r="F106" i="13"/>
  <c r="F104" i="13"/>
  <c r="I69" i="13"/>
  <c r="I82" i="13"/>
  <c r="I100" i="13"/>
  <c r="I68" i="13"/>
  <c r="M64" i="13"/>
  <c r="N5" i="13"/>
  <c r="AA5" i="13"/>
  <c r="T62" i="13"/>
  <c r="N74" i="13"/>
  <c r="AA74" i="13"/>
  <c r="P86" i="13"/>
  <c r="G98" i="13"/>
  <c r="V69" i="13"/>
  <c r="E81" i="13"/>
  <c r="N81" i="13"/>
  <c r="L69" i="13"/>
  <c r="AA69" i="13"/>
  <c r="W81" i="13"/>
  <c r="AA63" i="13"/>
  <c r="U6" i="13"/>
  <c r="U4" i="5"/>
  <c r="U24" i="5" s="1"/>
  <c r="V95" i="13"/>
  <c r="AA72" i="13"/>
  <c r="V90" i="13"/>
  <c r="S95" i="13"/>
  <c r="C70" i="13"/>
  <c r="Q82" i="13"/>
  <c r="V82" i="13"/>
  <c r="G94" i="13"/>
  <c r="W94" i="13"/>
  <c r="J66" i="13"/>
  <c r="C95" i="13"/>
  <c r="H71" i="13"/>
  <c r="Y95" i="13"/>
  <c r="E72" i="13"/>
  <c r="H72" i="13"/>
  <c r="Z72" i="13"/>
  <c r="L84" i="13"/>
  <c r="S84" i="13"/>
  <c r="E96" i="13"/>
  <c r="X96" i="13"/>
  <c r="N108" i="13"/>
  <c r="Q78" i="13"/>
  <c r="Z66" i="13"/>
  <c r="AA64" i="13"/>
  <c r="H6" i="13"/>
  <c r="H4" i="5"/>
  <c r="H24" i="5" s="1"/>
  <c r="J87" i="13"/>
  <c r="Q63" i="13"/>
  <c r="T63" i="13"/>
  <c r="Y87" i="13"/>
  <c r="Y63" i="13"/>
  <c r="J64" i="13"/>
  <c r="N7" i="13"/>
  <c r="Q64" i="13"/>
  <c r="T64" i="13"/>
  <c r="V64" i="13"/>
  <c r="C76" i="13"/>
  <c r="N76" i="13"/>
  <c r="J88" i="13"/>
  <c r="T88" i="13"/>
  <c r="G65" i="13"/>
  <c r="J8" i="13"/>
  <c r="N65" i="13"/>
  <c r="Y65" i="13"/>
  <c r="J77" i="13"/>
  <c r="T77" i="13"/>
  <c r="C89" i="13"/>
  <c r="N89" i="13"/>
  <c r="Y89" i="13"/>
  <c r="U80" i="13"/>
  <c r="N104" i="13"/>
  <c r="AA68" i="13"/>
  <c r="W68" i="13"/>
  <c r="N68" i="13"/>
  <c r="AA92" i="13"/>
  <c r="L92" i="13"/>
  <c r="Y5" i="13"/>
  <c r="G62" i="13"/>
  <c r="N62" i="13"/>
  <c r="AA62" i="13"/>
  <c r="N69" i="13"/>
  <c r="H69" i="13"/>
  <c r="H93" i="13"/>
  <c r="W69" i="13"/>
  <c r="L71" i="13"/>
  <c r="E71" i="13"/>
  <c r="L72" i="13"/>
  <c r="S72" i="13"/>
  <c r="W72" i="13"/>
  <c r="E66" i="13"/>
  <c r="E90" i="13"/>
  <c r="C66" i="13"/>
  <c r="E6" i="13"/>
  <c r="E4" i="5"/>
  <c r="E24" i="5" s="1"/>
  <c r="S75" i="13"/>
  <c r="G64" i="13"/>
  <c r="J7" i="13"/>
  <c r="N64" i="13"/>
  <c r="T7" i="13"/>
  <c r="Y64" i="13"/>
  <c r="C8" i="13"/>
  <c r="J65" i="13"/>
  <c r="N8" i="13"/>
  <c r="V65" i="13"/>
  <c r="E68" i="13"/>
  <c r="I1069" i="21" a="1"/>
  <c r="I1069" i="21" s="1"/>
  <c r="J1069" i="21" a="1"/>
  <c r="J1069" i="21" s="1"/>
  <c r="K1069" i="21" a="1"/>
  <c r="K1069" i="21" s="1"/>
  <c r="I1070" i="21" a="1"/>
  <c r="I1070" i="21" s="1"/>
  <c r="J1070" i="21" a="1"/>
  <c r="J1070" i="21" s="1"/>
  <c r="K1070" i="21" a="1"/>
  <c r="K1070" i="21" s="1"/>
  <c r="I1081" i="21" a="1"/>
  <c r="I1081" i="21" s="1"/>
  <c r="K1081" i="21" a="1"/>
  <c r="K1081" i="21" s="1"/>
  <c r="J1081" i="21" a="1"/>
  <c r="J1081" i="21" s="1"/>
  <c r="D107" i="13"/>
  <c r="D105" i="13"/>
  <c r="D102" i="13"/>
  <c r="D99" i="13"/>
  <c r="D98" i="13"/>
  <c r="I108" i="13"/>
  <c r="I105" i="13"/>
  <c r="M95" i="13"/>
  <c r="O84" i="13"/>
  <c r="I64" i="13"/>
  <c r="O9" i="13"/>
  <c r="I80" i="13"/>
  <c r="O66" i="13"/>
  <c r="M80" i="13"/>
  <c r="O81" i="13"/>
  <c r="M82" i="13"/>
  <c r="I77" i="13"/>
  <c r="M87" i="13"/>
  <c r="M78" i="13"/>
  <c r="I74" i="13"/>
  <c r="O7" i="13"/>
  <c r="O63" i="13"/>
  <c r="O69" i="13"/>
  <c r="O70" i="13"/>
  <c r="M8" i="13"/>
  <c r="I65" i="13"/>
  <c r="M66" i="13"/>
  <c r="Y86" i="13"/>
  <c r="H62" i="13"/>
  <c r="P62" i="13"/>
  <c r="C74" i="13"/>
  <c r="Q74" i="13"/>
  <c r="E86" i="13"/>
  <c r="U86" i="13"/>
  <c r="Q93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L70" i="13"/>
  <c r="W70" i="13"/>
  <c r="H82" i="13"/>
  <c r="Z82" i="13"/>
  <c r="P94" i="13"/>
  <c r="U94" i="13"/>
  <c r="J9" i="13"/>
  <c r="P71" i="13"/>
  <c r="Q95" i="13"/>
  <c r="T71" i="13"/>
  <c r="J72" i="13"/>
  <c r="Q72" i="13"/>
  <c r="T72" i="13"/>
  <c r="V72" i="13"/>
  <c r="C84" i="13"/>
  <c r="N84" i="13"/>
  <c r="J96" i="13"/>
  <c r="T96" i="13"/>
  <c r="L90" i="13"/>
  <c r="G66" i="13"/>
  <c r="H90" i="13"/>
  <c r="AA89" i="13"/>
  <c r="AA88" i="13"/>
  <c r="J63" i="13"/>
  <c r="P63" i="13"/>
  <c r="W87" i="13"/>
  <c r="E64" i="13"/>
  <c r="H64" i="13"/>
  <c r="Z64" i="13"/>
  <c r="L76" i="13"/>
  <c r="S76" i="13"/>
  <c r="E88" i="13"/>
  <c r="X88" i="13"/>
  <c r="L65" i="13"/>
  <c r="H77" i="13"/>
  <c r="Z77" i="13"/>
  <c r="P89" i="13"/>
  <c r="U89" i="13"/>
  <c r="G80" i="13"/>
  <c r="Q80" i="13"/>
  <c r="Q68" i="13"/>
  <c r="S68" i="13"/>
  <c r="J68" i="13"/>
  <c r="S92" i="13"/>
  <c r="J92" i="13"/>
  <c r="E92" i="13"/>
  <c r="C62" i="13"/>
  <c r="P69" i="13"/>
  <c r="AA71" i="13"/>
  <c r="X9" i="13"/>
  <c r="V70" i="13"/>
  <c r="U66" i="13"/>
  <c r="J71" i="13"/>
  <c r="Y71" i="13"/>
  <c r="C72" i="13"/>
  <c r="G72" i="13"/>
  <c r="N72" i="13"/>
  <c r="Y72" i="13"/>
  <c r="L9" i="13"/>
  <c r="S66" i="13"/>
  <c r="V9" i="13"/>
  <c r="X64" i="13"/>
  <c r="W4" i="5"/>
  <c r="W24" i="5" s="1"/>
  <c r="C63" i="13"/>
  <c r="H7" i="13"/>
  <c r="S64" i="13"/>
  <c r="E65" i="13"/>
  <c r="H65" i="13"/>
  <c r="L8" i="13"/>
  <c r="S8" i="13"/>
  <c r="L68" i="13"/>
  <c r="K107" i="13"/>
  <c r="K102" i="13"/>
  <c r="K99" i="13"/>
  <c r="K98" i="13"/>
  <c r="R108" i="13"/>
  <c r="R107" i="13"/>
  <c r="R106" i="13"/>
  <c r="R102" i="13"/>
  <c r="R99" i="13"/>
  <c r="I84" i="13"/>
  <c r="I71" i="13"/>
  <c r="I81" i="13"/>
  <c r="I70" i="13"/>
  <c r="O71" i="13"/>
  <c r="O108" i="13"/>
  <c r="I63" i="13"/>
  <c r="I88" i="13"/>
  <c r="I104" i="13"/>
  <c r="O86" i="13"/>
  <c r="I101" i="13"/>
  <c r="M89" i="13"/>
  <c r="F107" i="13"/>
  <c r="F105" i="13"/>
  <c r="F102" i="13"/>
  <c r="F101" i="13"/>
  <c r="F100" i="13"/>
  <c r="F99" i="13"/>
  <c r="F98" i="13"/>
  <c r="I72" i="13"/>
  <c r="I98" i="13"/>
  <c r="I89" i="13"/>
  <c r="Y62" i="13"/>
  <c r="N93" i="13"/>
  <c r="E69" i="13"/>
  <c r="J93" i="13"/>
  <c r="U93" i="13"/>
  <c r="X6" i="13"/>
  <c r="X4" i="5"/>
  <c r="X24" i="5" s="1"/>
  <c r="C71" i="13"/>
  <c r="P84" i="13"/>
  <c r="U84" i="13"/>
  <c r="H96" i="13"/>
  <c r="Z96" i="13"/>
  <c r="P66" i="13"/>
  <c r="S78" i="13"/>
  <c r="T66" i="13"/>
  <c r="X78" i="13"/>
  <c r="H87" i="13"/>
  <c r="G76" i="13"/>
  <c r="Y76" i="13"/>
  <c r="Q88" i="13"/>
  <c r="G100" i="13"/>
  <c r="C65" i="13"/>
  <c r="Q77" i="13"/>
  <c r="V77" i="13"/>
  <c r="G89" i="13"/>
  <c r="W89" i="13"/>
  <c r="V80" i="13"/>
  <c r="H104" i="13"/>
  <c r="G68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E70" i="13"/>
  <c r="H70" i="13"/>
  <c r="Z70" i="13"/>
  <c r="N106" i="13"/>
  <c r="Q66" i="13"/>
  <c r="U90" i="13"/>
  <c r="N71" i="13"/>
  <c r="P72" i="13"/>
  <c r="U72" i="13"/>
  <c r="L66" i="13"/>
  <c r="N102" i="13"/>
  <c r="V66" i="13"/>
  <c r="Y90" i="13"/>
  <c r="V78" i="13"/>
  <c r="E63" i="13"/>
  <c r="H63" i="13"/>
  <c r="N63" i="13"/>
  <c r="Q87" i="13"/>
  <c r="G63" i="13"/>
  <c r="P75" i="13"/>
  <c r="U75" i="13"/>
  <c r="C64" i="13"/>
  <c r="Q7" i="13"/>
  <c r="G8" i="13"/>
  <c r="Q65" i="13"/>
  <c r="T65" i="13"/>
  <c r="Y8" i="13"/>
  <c r="Y68" i="13"/>
  <c r="U68" i="13"/>
  <c r="P68" i="13"/>
  <c r="I1071" i="21" a="1"/>
  <c r="I1071" i="21" s="1"/>
  <c r="J1071" i="21" a="1"/>
  <c r="J1071" i="21" s="1"/>
  <c r="K1071" i="21" a="1"/>
  <c r="K1071" i="21" s="1"/>
  <c r="I1068" i="21" a="1"/>
  <c r="I1068" i="21" s="1"/>
  <c r="J1068" i="21" a="1"/>
  <c r="J1068" i="21" s="1"/>
  <c r="K1068" i="21" a="1"/>
  <c r="K1068" i="21" s="1"/>
  <c r="I1078" i="21" a="1"/>
  <c r="I1078" i="21" s="1"/>
  <c r="K1078" i="21" a="1"/>
  <c r="K1078" i="21" s="1"/>
  <c r="J1078" i="21" a="1"/>
  <c r="J1078" i="21" s="1"/>
  <c r="I1079" i="21" a="1"/>
  <c r="I1079" i="21" s="1"/>
  <c r="K1079" i="21" a="1"/>
  <c r="K1079" i="21" s="1"/>
  <c r="J1079" i="21" a="1"/>
  <c r="J1079" i="21" s="1"/>
  <c r="I1080" i="21" a="1"/>
  <c r="I1080" i="21" s="1"/>
  <c r="K1080" i="21" a="1"/>
  <c r="K1080" i="21" s="1"/>
  <c r="J1080" i="21" a="1"/>
  <c r="J1080" i="21" s="1"/>
  <c r="D108" i="13"/>
  <c r="D106" i="13"/>
  <c r="D104" i="13"/>
  <c r="D101" i="13"/>
  <c r="D100" i="13"/>
  <c r="I95" i="13"/>
  <c r="I94" i="13"/>
  <c r="O95" i="13"/>
  <c r="I62" i="13"/>
  <c r="I87" i="13"/>
  <c r="I78" i="13"/>
  <c r="O62" i="13"/>
  <c r="O64" i="13"/>
  <c r="O104" i="13"/>
  <c r="O106" i="13"/>
  <c r="M65" i="13"/>
  <c r="I106" i="13"/>
  <c r="M72" i="13"/>
  <c r="O72" i="13"/>
  <c r="M7" i="13"/>
  <c r="I76" i="13"/>
  <c r="I66" i="13"/>
  <c r="I92" i="13"/>
  <c r="O65" i="13"/>
  <c r="M68" i="13"/>
  <c r="O68" i="13"/>
  <c r="M69" i="13"/>
  <c r="M70" i="13"/>
  <c r="M62" i="13"/>
  <c r="U74" i="13"/>
  <c r="Q86" i="13"/>
  <c r="W62" i="13"/>
  <c r="J74" i="13"/>
  <c r="X74" i="13"/>
  <c r="L86" i="13"/>
  <c r="Z86" i="13"/>
  <c r="L93" i="13"/>
  <c r="U69" i="13"/>
  <c r="X81" i="13"/>
  <c r="T93" i="13"/>
  <c r="J69" i="13"/>
  <c r="C69" i="13"/>
  <c r="Y69" i="13"/>
  <c r="P81" i="13"/>
  <c r="Y93" i="13"/>
  <c r="AA87" i="13"/>
  <c r="V6" i="13"/>
  <c r="V4" i="5"/>
  <c r="V24" i="5" s="1"/>
  <c r="V63" i="13"/>
  <c r="W84" i="13"/>
  <c r="P70" i="13"/>
  <c r="S70" i="13"/>
  <c r="U70" i="13"/>
  <c r="E82" i="13"/>
  <c r="X82" i="13"/>
  <c r="L94" i="13"/>
  <c r="S94" i="13"/>
  <c r="H106" i="13"/>
  <c r="G71" i="13"/>
  <c r="G95" i="13"/>
  <c r="Y83" i="13"/>
  <c r="G84" i="13"/>
  <c r="Y84" i="13"/>
  <c r="Q96" i="13"/>
  <c r="G108" i="13"/>
  <c r="N66" i="13"/>
  <c r="P9" i="13"/>
  <c r="T9" i="13"/>
  <c r="C9" i="13"/>
  <c r="W77" i="13"/>
  <c r="W76" i="13"/>
  <c r="G75" i="13"/>
  <c r="P76" i="13"/>
  <c r="U76" i="13"/>
  <c r="H88" i="13"/>
  <c r="Z88" i="13"/>
  <c r="P65" i="13"/>
  <c r="S65" i="13"/>
  <c r="U65" i="13"/>
  <c r="W65" i="13"/>
  <c r="E77" i="13"/>
  <c r="X77" i="13"/>
  <c r="L89" i="13"/>
  <c r="S89" i="13"/>
  <c r="H101" i="13"/>
  <c r="AA80" i="13"/>
  <c r="C80" i="13"/>
  <c r="V68" i="13"/>
  <c r="C68" i="13"/>
  <c r="Q92" i="13"/>
  <c r="Y92" i="13"/>
  <c r="G92" i="13"/>
  <c r="J62" i="13"/>
  <c r="Q62" i="13"/>
  <c r="X62" i="13"/>
  <c r="X69" i="13"/>
  <c r="G69" i="13"/>
  <c r="Z69" i="13"/>
  <c r="Y4" i="5"/>
  <c r="Y24" i="5" s="1"/>
  <c r="AA70" i="13"/>
  <c r="AA66" i="13"/>
  <c r="Z71" i="13"/>
  <c r="J70" i="13"/>
  <c r="Q70" i="13"/>
  <c r="T70" i="13"/>
  <c r="Q71" i="13"/>
  <c r="Y66" i="13"/>
  <c r="E9" i="13"/>
  <c r="W66" i="13"/>
  <c r="H66" i="13"/>
  <c r="X65" i="13"/>
  <c r="C6" i="13"/>
  <c r="C4" i="5"/>
  <c r="E7" i="13"/>
  <c r="L64" i="13"/>
  <c r="P64" i="13"/>
  <c r="U64" i="13"/>
  <c r="W64" i="13"/>
  <c r="Z7" i="13"/>
  <c r="P8" i="13"/>
  <c r="U8" i="13"/>
  <c r="Z65" i="13"/>
  <c r="X68" i="13"/>
  <c r="T68" i="13"/>
  <c r="H68" i="13"/>
  <c r="J1076" i="21" l="1"/>
  <c r="I1076" i="21"/>
  <c r="K1076" i="21"/>
  <c r="J1067" i="21"/>
  <c r="I1067" i="21"/>
  <c r="K1067" i="21"/>
  <c r="D1061" i="21" a="1"/>
  <c r="D1061" i="21" s="1"/>
  <c r="H1061" i="21" s="1" a="1"/>
  <c r="H1061" i="21" s="1"/>
  <c r="D1056" i="21"/>
  <c r="H1056" i="21" s="1"/>
  <c r="D1058" i="21" a="1"/>
  <c r="D1058" i="21" s="1"/>
  <c r="H1058" i="21" s="1" a="1"/>
  <c r="H1058" i="21" s="1"/>
  <c r="D1059" i="21" a="1"/>
  <c r="D1059" i="21" s="1"/>
  <c r="H1059" i="21" s="1" a="1"/>
  <c r="H1059" i="21" s="1"/>
  <c r="D1060" i="21" a="1"/>
  <c r="D1060" i="21" s="1"/>
  <c r="H1060" i="21" s="1" a="1"/>
  <c r="H1060" i="21" s="1"/>
  <c r="D1057" i="21"/>
  <c r="H1057" i="21" s="1"/>
  <c r="H1066" i="21"/>
  <c r="H1077" i="21"/>
  <c r="M96" i="13"/>
  <c r="P96" i="13"/>
  <c r="O102" i="13"/>
  <c r="S102" i="13"/>
  <c r="O98" i="13"/>
  <c r="S98" i="13"/>
  <c r="Q83" i="13"/>
  <c r="S83" i="13"/>
  <c r="T83" i="13"/>
  <c r="O107" i="13"/>
  <c r="S107" i="13"/>
  <c r="T81" i="13"/>
  <c r="R84" i="13"/>
  <c r="Y78" i="13"/>
  <c r="T78" i="13"/>
  <c r="U81" i="13"/>
  <c r="R81" i="13"/>
  <c r="R87" i="13"/>
  <c r="R83" i="13"/>
  <c r="S77" i="13"/>
  <c r="R76" i="13"/>
  <c r="R75" i="13"/>
  <c r="P88" i="13"/>
  <c r="L1080" i="21"/>
  <c r="AW7" i="9" a="1"/>
  <c r="AW7" i="9" s="1"/>
  <c r="A23" i="9" s="1"/>
  <c r="AW23" i="9" a="1"/>
  <c r="AW23" i="9" s="1"/>
  <c r="A39" i="9" s="1"/>
  <c r="AW39" i="9" a="1"/>
  <c r="AW39" i="9" s="1"/>
  <c r="A55" i="9" s="1"/>
  <c r="AW55" i="9" a="1"/>
  <c r="AW55" i="9" s="1"/>
  <c r="A71" i="9" s="1"/>
  <c r="AW71" i="9" a="1"/>
  <c r="AW71" i="9" s="1"/>
  <c r="A87" i="9" s="1"/>
  <c r="AW87" i="9" a="1"/>
  <c r="AW87" i="9" s="1"/>
  <c r="AW103" i="9" a="1"/>
  <c r="AW103" i="9" s="1"/>
  <c r="AW10" i="9" a="1"/>
  <c r="AW10" i="9" s="1"/>
  <c r="A26" i="9" s="1"/>
  <c r="AW26" i="9" a="1"/>
  <c r="AW26" i="9" s="1"/>
  <c r="A42" i="9" s="1"/>
  <c r="AW42" i="9" a="1"/>
  <c r="AW42" i="9" s="1"/>
  <c r="A58" i="9" s="1"/>
  <c r="AW58" i="9" a="1"/>
  <c r="AW58" i="9" s="1"/>
  <c r="A74" i="9" s="1"/>
  <c r="AW74" i="9" a="1"/>
  <c r="AW74" i="9" s="1"/>
  <c r="A90" i="9" s="1"/>
  <c r="AW90" i="9" a="1"/>
  <c r="AW90" i="9" s="1"/>
  <c r="AW106" i="9" a="1"/>
  <c r="AW106" i="9" s="1"/>
  <c r="AW122" i="9" a="1"/>
  <c r="AW122" i="9" s="1"/>
  <c r="AW138" i="9" a="1"/>
  <c r="AW138" i="9" s="1"/>
  <c r="AW154" i="9" a="1"/>
  <c r="AW154" i="9" s="1"/>
  <c r="AW170" i="9" a="1"/>
  <c r="AW170" i="9" s="1"/>
  <c r="AW186" i="9" a="1"/>
  <c r="AW186" i="9" s="1"/>
  <c r="AW202" i="9" a="1"/>
  <c r="AW202" i="9" s="1"/>
  <c r="AW491" i="9" a="1"/>
  <c r="AW491" i="9" s="1"/>
  <c r="AW475" i="9" a="1"/>
  <c r="AW475" i="9" s="1"/>
  <c r="AW459" i="9" a="1"/>
  <c r="AW459" i="9" s="1"/>
  <c r="AW443" i="9" a="1"/>
  <c r="AW443" i="9" s="1"/>
  <c r="AW427" i="9" a="1"/>
  <c r="AW427" i="9" s="1"/>
  <c r="AW494" i="9" a="1"/>
  <c r="AW494" i="9" s="1"/>
  <c r="AW478" i="9" a="1"/>
  <c r="AW478" i="9" s="1"/>
  <c r="AW462" i="9" a="1"/>
  <c r="AW462" i="9" s="1"/>
  <c r="AW446" i="9" a="1"/>
  <c r="AW446" i="9" s="1"/>
  <c r="AW430" i="9" a="1"/>
  <c r="AW430" i="9" s="1"/>
  <c r="AW416" i="9" a="1"/>
  <c r="AW416" i="9" s="1"/>
  <c r="AW401" i="9" a="1"/>
  <c r="AW401" i="9" s="1"/>
  <c r="AW385" i="9" a="1"/>
  <c r="AW385" i="9" s="1"/>
  <c r="AW369" i="9" a="1"/>
  <c r="AW369" i="9" s="1"/>
  <c r="AW353" i="9" a="1"/>
  <c r="AW353" i="9" s="1"/>
  <c r="AW337" i="9" a="1"/>
  <c r="AW337" i="9" s="1"/>
  <c r="AW321" i="9" a="1"/>
  <c r="AW321" i="9" s="1"/>
  <c r="AW305" i="9" a="1"/>
  <c r="AW305" i="9" s="1"/>
  <c r="AW414" i="9" a="1"/>
  <c r="AW414" i="9" s="1"/>
  <c r="AW398" i="9" a="1"/>
  <c r="AW398" i="9" s="1"/>
  <c r="AW382" i="9" a="1"/>
  <c r="AW382" i="9" s="1"/>
  <c r="AW366" i="9" a="1"/>
  <c r="AW366" i="9" s="1"/>
  <c r="AW350" i="9" a="1"/>
  <c r="AW350" i="9" s="1"/>
  <c r="AW334" i="9" a="1"/>
  <c r="AW334" i="9" s="1"/>
  <c r="AW318" i="9" a="1"/>
  <c r="AW318" i="9" s="1"/>
  <c r="AW302" i="9" a="1"/>
  <c r="AW302" i="9" s="1"/>
  <c r="AW288" i="9" a="1"/>
  <c r="AW288" i="9" s="1"/>
  <c r="AW277" i="9" a="1"/>
  <c r="AW277" i="9" s="1"/>
  <c r="AW261" i="9" a="1"/>
  <c r="AW261" i="9" s="1"/>
  <c r="AW245" i="9" a="1"/>
  <c r="AW245" i="9" s="1"/>
  <c r="AW229" i="9" a="1"/>
  <c r="AW229" i="9" s="1"/>
  <c r="AW213" i="9" a="1"/>
  <c r="AW213" i="9" s="1"/>
  <c r="AW197" i="9" a="1"/>
  <c r="AW197" i="9" s="1"/>
  <c r="AW181" i="9" a="1"/>
  <c r="AW181" i="9" s="1"/>
  <c r="AW165" i="9" a="1"/>
  <c r="AW165" i="9" s="1"/>
  <c r="AW149" i="9" a="1"/>
  <c r="AW149" i="9" s="1"/>
  <c r="AW133" i="9" a="1"/>
  <c r="AW133" i="9" s="1"/>
  <c r="AW117" i="9" a="1"/>
  <c r="AW117" i="9" s="1"/>
  <c r="AW272" i="9" a="1"/>
  <c r="AW272" i="9" s="1"/>
  <c r="AW256" i="9" a="1"/>
  <c r="AW256" i="9" s="1"/>
  <c r="AW240" i="9" a="1"/>
  <c r="AW240" i="9" s="1"/>
  <c r="AW224" i="9" a="1"/>
  <c r="AW224" i="9" s="1"/>
  <c r="AW208" i="9" a="1"/>
  <c r="AW208" i="9" s="1"/>
  <c r="AW489" i="9" a="1"/>
  <c r="AW489" i="9" s="1"/>
  <c r="AW473" i="9" a="1"/>
  <c r="AW473" i="9" s="1"/>
  <c r="AW457" i="9" a="1"/>
  <c r="AW457" i="9" s="1"/>
  <c r="AW441" i="9" a="1"/>
  <c r="AW441" i="9" s="1"/>
  <c r="AW425" i="9" a="1"/>
  <c r="AW425" i="9" s="1"/>
  <c r="AW492" i="9" a="1"/>
  <c r="AW492" i="9" s="1"/>
  <c r="AW476" i="9" a="1"/>
  <c r="AW476" i="9" s="1"/>
  <c r="AW460" i="9" a="1"/>
  <c r="AW460" i="9" s="1"/>
  <c r="AW444" i="9" a="1"/>
  <c r="AW444" i="9" s="1"/>
  <c r="AW428" i="9" a="1"/>
  <c r="AW428" i="9" s="1"/>
  <c r="AW415" i="9" a="1"/>
  <c r="AW415" i="9" s="1"/>
  <c r="AW399" i="9" a="1"/>
  <c r="AW399" i="9" s="1"/>
  <c r="AW383" i="9" a="1"/>
  <c r="AW383" i="9" s="1"/>
  <c r="AW367" i="9" a="1"/>
  <c r="AW367" i="9" s="1"/>
  <c r="AW351" i="9" a="1"/>
  <c r="AW351" i="9" s="1"/>
  <c r="AW335" i="9" a="1"/>
  <c r="AW335" i="9" s="1"/>
  <c r="AW206" i="9" a="1"/>
  <c r="AW206" i="9" s="1"/>
  <c r="AW15" i="9" a="1"/>
  <c r="AW15" i="9" s="1"/>
  <c r="A31" i="9" s="1"/>
  <c r="AW31" i="9" a="1"/>
  <c r="AW31" i="9" s="1"/>
  <c r="A47" i="9" s="1"/>
  <c r="AW47" i="9" a="1"/>
  <c r="AW47" i="9" s="1"/>
  <c r="A63" i="9" s="1"/>
  <c r="AW63" i="9" a="1"/>
  <c r="AW63" i="9" s="1"/>
  <c r="A79" i="9" s="1"/>
  <c r="AW79" i="9" a="1"/>
  <c r="AW79" i="9" s="1"/>
  <c r="A95" i="9" s="1"/>
  <c r="AW95" i="9" a="1"/>
  <c r="AW95" i="9" s="1"/>
  <c r="AW111" i="9" a="1"/>
  <c r="AW111" i="9" s="1"/>
  <c r="AW18" i="9" a="1"/>
  <c r="AW18" i="9" s="1"/>
  <c r="A34" i="9" s="1"/>
  <c r="AW34" i="9" a="1"/>
  <c r="AW34" i="9" s="1"/>
  <c r="A50" i="9" s="1"/>
  <c r="AW50" i="9" a="1"/>
  <c r="AW50" i="9" s="1"/>
  <c r="A66" i="9" s="1"/>
  <c r="AW66" i="9" a="1"/>
  <c r="AW66" i="9" s="1"/>
  <c r="A82" i="9" s="1"/>
  <c r="AW82" i="9" a="1"/>
  <c r="AW82" i="9" s="1"/>
  <c r="A98" i="9" s="1"/>
  <c r="AW98" i="9" a="1"/>
  <c r="AW98" i="9" s="1"/>
  <c r="AW114" i="9" a="1"/>
  <c r="AW114" i="9" s="1"/>
  <c r="AW130" i="9" a="1"/>
  <c r="AW130" i="9" s="1"/>
  <c r="AW146" i="9" a="1"/>
  <c r="AW146" i="9" s="1"/>
  <c r="AW162" i="9" a="1"/>
  <c r="AW162" i="9" s="1"/>
  <c r="AW178" i="9" a="1"/>
  <c r="AW178" i="9" s="1"/>
  <c r="AW194" i="9" a="1"/>
  <c r="AW194" i="9" s="1"/>
  <c r="AW499" i="9" a="1"/>
  <c r="AW499" i="9" s="1"/>
  <c r="AW483" i="9" a="1"/>
  <c r="AW483" i="9" s="1"/>
  <c r="AW467" i="9" a="1"/>
  <c r="AW467" i="9" s="1"/>
  <c r="AW451" i="9" a="1"/>
  <c r="AW451" i="9" s="1"/>
  <c r="AW435" i="9" a="1"/>
  <c r="AW435" i="9" s="1"/>
  <c r="AW419" i="9" a="1"/>
  <c r="AW419" i="9" s="1"/>
  <c r="AW486" i="9" a="1"/>
  <c r="AW486" i="9" s="1"/>
  <c r="AW470" i="9" a="1"/>
  <c r="AW470" i="9" s="1"/>
  <c r="AW454" i="9" a="1"/>
  <c r="AW454" i="9" s="1"/>
  <c r="AW438" i="9" a="1"/>
  <c r="AW438" i="9" s="1"/>
  <c r="AW422" i="9" a="1"/>
  <c r="AW422" i="9" s="1"/>
  <c r="AW409" i="9" a="1"/>
  <c r="AW409" i="9" s="1"/>
  <c r="AW393" i="9" a="1"/>
  <c r="AW393" i="9" s="1"/>
  <c r="AW377" i="9" a="1"/>
  <c r="AW377" i="9" s="1"/>
  <c r="AW361" i="9" a="1"/>
  <c r="AW361" i="9" s="1"/>
  <c r="AW345" i="9" a="1"/>
  <c r="AW345" i="9" s="1"/>
  <c r="AW329" i="9" a="1"/>
  <c r="AW329" i="9" s="1"/>
  <c r="AW313" i="9" a="1"/>
  <c r="AW313" i="9" s="1"/>
  <c r="AW297" i="9" a="1"/>
  <c r="AW297" i="9" s="1"/>
  <c r="AW406" i="9" a="1"/>
  <c r="AW406" i="9" s="1"/>
  <c r="AW390" i="9" a="1"/>
  <c r="AW390" i="9" s="1"/>
  <c r="AW374" i="9" a="1"/>
  <c r="AW374" i="9" s="1"/>
  <c r="AW358" i="9" a="1"/>
  <c r="AW358" i="9" s="1"/>
  <c r="AW342" i="9" a="1"/>
  <c r="AW342" i="9" s="1"/>
  <c r="AW326" i="9" a="1"/>
  <c r="AW326" i="9" s="1"/>
  <c r="AW310" i="9" a="1"/>
  <c r="AW310" i="9" s="1"/>
  <c r="AW294" i="9" a="1"/>
  <c r="AW294" i="9" s="1"/>
  <c r="AW284" i="9" a="1"/>
  <c r="AW284" i="9" s="1"/>
  <c r="AW269" i="9" a="1"/>
  <c r="AW269" i="9" s="1"/>
  <c r="AW253" i="9" a="1"/>
  <c r="AW253" i="9" s="1"/>
  <c r="AW237" i="9" a="1"/>
  <c r="AW237" i="9" s="1"/>
  <c r="AW221" i="9" a="1"/>
  <c r="AW221" i="9" s="1"/>
  <c r="AW205" i="9" a="1"/>
  <c r="AW205" i="9" s="1"/>
  <c r="AW189" i="9" a="1"/>
  <c r="AW189" i="9" s="1"/>
  <c r="AW173" i="9" a="1"/>
  <c r="AW173" i="9" s="1"/>
  <c r="AW157" i="9" a="1"/>
  <c r="AW157" i="9" s="1"/>
  <c r="AW141" i="9" a="1"/>
  <c r="AW141" i="9" s="1"/>
  <c r="AW125" i="9" a="1"/>
  <c r="AW125" i="9" s="1"/>
  <c r="AW280" i="9" a="1"/>
  <c r="AW280" i="9" s="1"/>
  <c r="AW264" i="9" a="1"/>
  <c r="AW264" i="9" s="1"/>
  <c r="AW248" i="9" a="1"/>
  <c r="AW248" i="9" s="1"/>
  <c r="AW232" i="9" a="1"/>
  <c r="AW232" i="9" s="1"/>
  <c r="AW216" i="9" a="1"/>
  <c r="AW216" i="9" s="1"/>
  <c r="AW497" i="9" a="1"/>
  <c r="AW497" i="9" s="1"/>
  <c r="AW481" i="9" a="1"/>
  <c r="AW481" i="9" s="1"/>
  <c r="AW465" i="9" a="1"/>
  <c r="AW465" i="9" s="1"/>
  <c r="AW449" i="9" a="1"/>
  <c r="AW449" i="9" s="1"/>
  <c r="AW433" i="9" a="1"/>
  <c r="AW433" i="9" s="1"/>
  <c r="AW500" i="9" a="1"/>
  <c r="AW500" i="9" s="1"/>
  <c r="AW484" i="9" a="1"/>
  <c r="AW484" i="9" s="1"/>
  <c r="AW468" i="9" a="1"/>
  <c r="AW468" i="9" s="1"/>
  <c r="AW452" i="9" a="1"/>
  <c r="AW452" i="9" s="1"/>
  <c r="AW436" i="9" a="1"/>
  <c r="AW436" i="9" s="1"/>
  <c r="AW420" i="9" a="1"/>
  <c r="AW420" i="9" s="1"/>
  <c r="AW391" i="9" a="1"/>
  <c r="AW391" i="9" s="1"/>
  <c r="AW359" i="9" a="1"/>
  <c r="AW359" i="9" s="1"/>
  <c r="AW327" i="9" a="1"/>
  <c r="AW327" i="9" s="1"/>
  <c r="AW311" i="9" a="1"/>
  <c r="AW311" i="9" s="1"/>
  <c r="AW295" i="9" a="1"/>
  <c r="AW295" i="9" s="1"/>
  <c r="AW404" i="9" a="1"/>
  <c r="AW404" i="9" s="1"/>
  <c r="AW388" i="9" a="1"/>
  <c r="AW388" i="9" s="1"/>
  <c r="AW372" i="9" a="1"/>
  <c r="AW372" i="9" s="1"/>
  <c r="AW356" i="9" a="1"/>
  <c r="AW356" i="9" s="1"/>
  <c r="AW340" i="9" a="1"/>
  <c r="AW340" i="9" s="1"/>
  <c r="AW324" i="9" a="1"/>
  <c r="AW324" i="9" s="1"/>
  <c r="AW308" i="9" a="1"/>
  <c r="AW308" i="9" s="1"/>
  <c r="AW292" i="9" a="1"/>
  <c r="AW292" i="9" s="1"/>
  <c r="AW283" i="9" a="1"/>
  <c r="AW283" i="9" s="1"/>
  <c r="AW267" i="9" a="1"/>
  <c r="AW267" i="9" s="1"/>
  <c r="AW251" i="9" a="1"/>
  <c r="AW251" i="9" s="1"/>
  <c r="AW235" i="9" a="1"/>
  <c r="AW235" i="9" s="1"/>
  <c r="AW219" i="9" a="1"/>
  <c r="AW219" i="9" s="1"/>
  <c r="AW203" i="9" a="1"/>
  <c r="AW203" i="9" s="1"/>
  <c r="AW187" i="9" a="1"/>
  <c r="AW187" i="9" s="1"/>
  <c r="AW171" i="9" a="1"/>
  <c r="AW171" i="9" s="1"/>
  <c r="AW155" i="9" a="1"/>
  <c r="AW155" i="9" s="1"/>
  <c r="AW139" i="9" a="1"/>
  <c r="AW139" i="9" s="1"/>
  <c r="AW123" i="9" a="1"/>
  <c r="AW123" i="9" s="1"/>
  <c r="AW278" i="9" a="1"/>
  <c r="AW278" i="9" s="1"/>
  <c r="AW262" i="9" a="1"/>
  <c r="AW262" i="9" s="1"/>
  <c r="AW246" i="9" a="1"/>
  <c r="AW246" i="9" s="1"/>
  <c r="AW230" i="9" a="1"/>
  <c r="AW230" i="9" s="1"/>
  <c r="AW214" i="9" a="1"/>
  <c r="AW214" i="9" s="1"/>
  <c r="AW17" i="9" a="1"/>
  <c r="AW17" i="9" s="1"/>
  <c r="A33" i="9" s="1"/>
  <c r="AW33" i="9" a="1"/>
  <c r="AW33" i="9" s="1"/>
  <c r="A49" i="9" s="1"/>
  <c r="AW49" i="9" a="1"/>
  <c r="AW49" i="9" s="1"/>
  <c r="A65" i="9" s="1"/>
  <c r="AW65" i="9" a="1"/>
  <c r="AW65" i="9" s="1"/>
  <c r="A81" i="9" s="1"/>
  <c r="AW81" i="9" a="1"/>
  <c r="AW81" i="9" s="1"/>
  <c r="A97" i="9" s="1"/>
  <c r="AW97" i="9" a="1"/>
  <c r="AW97" i="9" s="1"/>
  <c r="AW4" i="9" a="1"/>
  <c r="AW4" i="9" s="1"/>
  <c r="A20" i="9" s="1"/>
  <c r="AW20" i="9" a="1"/>
  <c r="AW20" i="9" s="1"/>
  <c r="A36" i="9" s="1"/>
  <c r="AW36" i="9" a="1"/>
  <c r="AW36" i="9" s="1"/>
  <c r="A52" i="9" s="1"/>
  <c r="AW52" i="9" a="1"/>
  <c r="AW52" i="9" s="1"/>
  <c r="A68" i="9" s="1"/>
  <c r="AW68" i="9" a="1"/>
  <c r="AW68" i="9" s="1"/>
  <c r="A84" i="9" s="1"/>
  <c r="AW84" i="9" a="1"/>
  <c r="AW84" i="9" s="1"/>
  <c r="AW100" i="9" a="1"/>
  <c r="AW100" i="9" s="1"/>
  <c r="AW116" i="9" a="1"/>
  <c r="AW116" i="9" s="1"/>
  <c r="AW132" i="9" a="1"/>
  <c r="AW132" i="9" s="1"/>
  <c r="AW148" i="9" a="1"/>
  <c r="AW148" i="9" s="1"/>
  <c r="AW164" i="9" a="1"/>
  <c r="AW164" i="9" s="1"/>
  <c r="AW180" i="9" a="1"/>
  <c r="AW180" i="9" s="1"/>
  <c r="AW196" i="9" a="1"/>
  <c r="AW196" i="9" s="1"/>
  <c r="AW192" i="9" a="1"/>
  <c r="AW192" i="9" s="1"/>
  <c r="AW3" i="9" a="1"/>
  <c r="AW3" i="9" s="1"/>
  <c r="A19" i="9" s="1"/>
  <c r="AW19" i="9" a="1"/>
  <c r="AW19" i="9" s="1"/>
  <c r="A35" i="9" s="1"/>
  <c r="AW35" i="9" a="1"/>
  <c r="AW35" i="9" s="1"/>
  <c r="A51" i="9" s="1"/>
  <c r="AW51" i="9" a="1"/>
  <c r="AW51" i="9" s="1"/>
  <c r="A67" i="9" s="1"/>
  <c r="AW67" i="9" a="1"/>
  <c r="AW67" i="9" s="1"/>
  <c r="A83" i="9" s="1"/>
  <c r="AW83" i="9" a="1"/>
  <c r="AW83" i="9" s="1"/>
  <c r="AW99" i="9" a="1"/>
  <c r="AW99" i="9" s="1"/>
  <c r="AW6" i="9" a="1"/>
  <c r="AW6" i="9" s="1"/>
  <c r="A22" i="9" s="1"/>
  <c r="AW22" i="9" a="1"/>
  <c r="AW22" i="9" s="1"/>
  <c r="A38" i="9" s="1"/>
  <c r="AW38" i="9" a="1"/>
  <c r="AW38" i="9" s="1"/>
  <c r="A54" i="9" s="1"/>
  <c r="AW54" i="9" a="1"/>
  <c r="AW54" i="9" s="1"/>
  <c r="A70" i="9" s="1"/>
  <c r="AW70" i="9" a="1"/>
  <c r="AW70" i="9" s="1"/>
  <c r="A86" i="9" s="1"/>
  <c r="AW86" i="9" a="1"/>
  <c r="AW86" i="9" s="1"/>
  <c r="AW102" i="9" a="1"/>
  <c r="AW102" i="9" s="1"/>
  <c r="AW118" i="9" a="1"/>
  <c r="AW118" i="9" s="1"/>
  <c r="AW134" i="9" a="1"/>
  <c r="AW134" i="9" s="1"/>
  <c r="AW150" i="9" a="1"/>
  <c r="AW150" i="9" s="1"/>
  <c r="AW166" i="9" a="1"/>
  <c r="AW166" i="9" s="1"/>
  <c r="AW182" i="9" a="1"/>
  <c r="AW182" i="9" s="1"/>
  <c r="AW198" i="9" a="1"/>
  <c r="AW198" i="9" s="1"/>
  <c r="AW495" i="9" a="1"/>
  <c r="AW495" i="9" s="1"/>
  <c r="AW479" i="9" a="1"/>
  <c r="AW479" i="9" s="1"/>
  <c r="AW463" i="9" a="1"/>
  <c r="AW463" i="9" s="1"/>
  <c r="AW447" i="9" a="1"/>
  <c r="AW447" i="9" s="1"/>
  <c r="AW431" i="9" a="1"/>
  <c r="AW431" i="9" s="1"/>
  <c r="AW498" i="9" a="1"/>
  <c r="AW498" i="9" s="1"/>
  <c r="AW482" i="9" a="1"/>
  <c r="AW482" i="9" s="1"/>
  <c r="AW466" i="9" a="1"/>
  <c r="AW466" i="9" s="1"/>
  <c r="AW450" i="9" a="1"/>
  <c r="AW450" i="9" s="1"/>
  <c r="AW434" i="9" a="1"/>
  <c r="AW434" i="9" s="1"/>
  <c r="AW418" i="9" a="1"/>
  <c r="AW418" i="9" s="1"/>
  <c r="AW405" i="9" a="1"/>
  <c r="AW405" i="9" s="1"/>
  <c r="AW389" i="9" a="1"/>
  <c r="AW389" i="9" s="1"/>
  <c r="AW373" i="9" a="1"/>
  <c r="AW373" i="9" s="1"/>
  <c r="AW407" i="9" a="1"/>
  <c r="AW407" i="9" s="1"/>
  <c r="AW375" i="9" a="1"/>
  <c r="AW375" i="9" s="1"/>
  <c r="AW343" i="9" a="1"/>
  <c r="AW343" i="9" s="1"/>
  <c r="AW319" i="9" a="1"/>
  <c r="AW319" i="9" s="1"/>
  <c r="AW303" i="9" a="1"/>
  <c r="AW303" i="9" s="1"/>
  <c r="AW412" i="9" a="1"/>
  <c r="AW412" i="9" s="1"/>
  <c r="AW396" i="9" a="1"/>
  <c r="AW396" i="9" s="1"/>
  <c r="AW380" i="9" a="1"/>
  <c r="AW380" i="9" s="1"/>
  <c r="AW364" i="9" a="1"/>
  <c r="AW364" i="9" s="1"/>
  <c r="AW348" i="9" a="1"/>
  <c r="AW348" i="9" s="1"/>
  <c r="AW332" i="9" a="1"/>
  <c r="AW332" i="9" s="1"/>
  <c r="AW316" i="9" a="1"/>
  <c r="AW316" i="9" s="1"/>
  <c r="AW300" i="9" a="1"/>
  <c r="AW300" i="9" s="1"/>
  <c r="AW287" i="9" a="1"/>
  <c r="AW287" i="9" s="1"/>
  <c r="AW275" i="9" a="1"/>
  <c r="AW275" i="9" s="1"/>
  <c r="AW259" i="9" a="1"/>
  <c r="AW259" i="9" s="1"/>
  <c r="AW243" i="9" a="1"/>
  <c r="AW243" i="9" s="1"/>
  <c r="AW227" i="9" a="1"/>
  <c r="AW227" i="9" s="1"/>
  <c r="AW211" i="9" a="1"/>
  <c r="AW211" i="9" s="1"/>
  <c r="AW195" i="9" a="1"/>
  <c r="AW195" i="9" s="1"/>
  <c r="AW179" i="9" a="1"/>
  <c r="AW179" i="9" s="1"/>
  <c r="AW163" i="9" a="1"/>
  <c r="AW163" i="9" s="1"/>
  <c r="AW147" i="9" a="1"/>
  <c r="AW147" i="9" s="1"/>
  <c r="AW131" i="9" a="1"/>
  <c r="AW131" i="9" s="1"/>
  <c r="AW115" i="9" a="1"/>
  <c r="AW115" i="9" s="1"/>
  <c r="AW270" i="9" a="1"/>
  <c r="AW270" i="9" s="1"/>
  <c r="AW254" i="9" a="1"/>
  <c r="AW254" i="9" s="1"/>
  <c r="AW238" i="9" a="1"/>
  <c r="AW238" i="9" s="1"/>
  <c r="AW222" i="9" a="1"/>
  <c r="AW222" i="9" s="1"/>
  <c r="AW9" i="9" a="1"/>
  <c r="AW9" i="9" s="1"/>
  <c r="A25" i="9" s="1"/>
  <c r="AW25" i="9" a="1"/>
  <c r="AW25" i="9" s="1"/>
  <c r="A41" i="9" s="1"/>
  <c r="AW41" i="9" a="1"/>
  <c r="AW41" i="9" s="1"/>
  <c r="A57" i="9" s="1"/>
  <c r="AW57" i="9" a="1"/>
  <c r="AW57" i="9" s="1"/>
  <c r="A73" i="9" s="1"/>
  <c r="AW73" i="9" a="1"/>
  <c r="AW73" i="9" s="1"/>
  <c r="A89" i="9" s="1"/>
  <c r="AW89" i="9" a="1"/>
  <c r="AW89" i="9" s="1"/>
  <c r="AW105" i="9" a="1"/>
  <c r="AW105" i="9" s="1"/>
  <c r="AW12" i="9" a="1"/>
  <c r="AW12" i="9" s="1"/>
  <c r="A28" i="9" s="1"/>
  <c r="AW28" i="9" a="1"/>
  <c r="AW28" i="9" s="1"/>
  <c r="A44" i="9" s="1"/>
  <c r="AW44" i="9" a="1"/>
  <c r="AW44" i="9" s="1"/>
  <c r="A60" i="9" s="1"/>
  <c r="AW60" i="9" a="1"/>
  <c r="AW60" i="9" s="1"/>
  <c r="A76" i="9" s="1"/>
  <c r="AW76" i="9" a="1"/>
  <c r="AW76" i="9" s="1"/>
  <c r="A92" i="9" s="1"/>
  <c r="AW92" i="9" a="1"/>
  <c r="AW92" i="9" s="1"/>
  <c r="AW108" i="9" a="1"/>
  <c r="AW108" i="9" s="1"/>
  <c r="AW124" i="9" a="1"/>
  <c r="AW124" i="9" s="1"/>
  <c r="AW140" i="9" a="1"/>
  <c r="AW140" i="9" s="1"/>
  <c r="AW156" i="9" a="1"/>
  <c r="AW156" i="9" s="1"/>
  <c r="AW172" i="9" a="1"/>
  <c r="AW172" i="9" s="1"/>
  <c r="AW188" i="9" a="1"/>
  <c r="AW188" i="9" s="1"/>
  <c r="AW204" i="9" a="1"/>
  <c r="AW204" i="9" s="1"/>
  <c r="AW210" i="9" a="1"/>
  <c r="AW210" i="9" s="1"/>
  <c r="AW11" i="9" a="1"/>
  <c r="AW11" i="9" s="1"/>
  <c r="A27" i="9" s="1"/>
  <c r="AW27" i="9" a="1"/>
  <c r="AW27" i="9" s="1"/>
  <c r="A43" i="9" s="1"/>
  <c r="AW43" i="9" a="1"/>
  <c r="AW43" i="9" s="1"/>
  <c r="A59" i="9" s="1"/>
  <c r="AW59" i="9" a="1"/>
  <c r="AW59" i="9" s="1"/>
  <c r="A75" i="9" s="1"/>
  <c r="AW75" i="9" a="1"/>
  <c r="AW75" i="9" s="1"/>
  <c r="A91" i="9" s="1"/>
  <c r="AW91" i="9" a="1"/>
  <c r="AW91" i="9" s="1"/>
  <c r="AW107" i="9" a="1"/>
  <c r="AW107" i="9" s="1"/>
  <c r="AW14" i="9" a="1"/>
  <c r="AW14" i="9" s="1"/>
  <c r="A30" i="9" s="1"/>
  <c r="AW30" i="9" a="1"/>
  <c r="AW30" i="9" s="1"/>
  <c r="A46" i="9" s="1"/>
  <c r="AW46" i="9" a="1"/>
  <c r="AW46" i="9" s="1"/>
  <c r="A62" i="9" s="1"/>
  <c r="AW62" i="9" a="1"/>
  <c r="AW62" i="9" s="1"/>
  <c r="A78" i="9" s="1"/>
  <c r="AW78" i="9" a="1"/>
  <c r="AW78" i="9" s="1"/>
  <c r="A94" i="9" s="1"/>
  <c r="AW94" i="9" a="1"/>
  <c r="AW94" i="9" s="1"/>
  <c r="AW110" i="9" a="1"/>
  <c r="AW110" i="9" s="1"/>
  <c r="AW126" i="9" a="1"/>
  <c r="AW126" i="9" s="1"/>
  <c r="AW142" i="9" a="1"/>
  <c r="AW142" i="9" s="1"/>
  <c r="AW158" i="9" a="1"/>
  <c r="AW158" i="9" s="1"/>
  <c r="AW174" i="9" a="1"/>
  <c r="AW174" i="9" s="1"/>
  <c r="AW190" i="9" a="1"/>
  <c r="AW190" i="9" s="1"/>
  <c r="AW502" i="9" a="1"/>
  <c r="AW502" i="9" s="1"/>
  <c r="AW487" i="9" a="1"/>
  <c r="AW487" i="9" s="1"/>
  <c r="AW471" i="9" a="1"/>
  <c r="AW471" i="9" s="1"/>
  <c r="AW455" i="9" a="1"/>
  <c r="AW455" i="9" s="1"/>
  <c r="AW439" i="9" a="1"/>
  <c r="AW439" i="9" s="1"/>
  <c r="AW423" i="9" a="1"/>
  <c r="AW423" i="9" s="1"/>
  <c r="AW490" i="9" a="1"/>
  <c r="AW490" i="9" s="1"/>
  <c r="AW474" i="9" a="1"/>
  <c r="AW474" i="9" s="1"/>
  <c r="AW458" i="9" a="1"/>
  <c r="AW458" i="9" s="1"/>
  <c r="AW442" i="9" a="1"/>
  <c r="AW442" i="9" s="1"/>
  <c r="AW426" i="9" a="1"/>
  <c r="AW426" i="9" s="1"/>
  <c r="AW413" i="9" a="1"/>
  <c r="AW413" i="9" s="1"/>
  <c r="AW397" i="9" a="1"/>
  <c r="AW397" i="9" s="1"/>
  <c r="AW381" i="9" a="1"/>
  <c r="AW381" i="9" s="1"/>
  <c r="AW365" i="9" a="1"/>
  <c r="AW365" i="9" s="1"/>
  <c r="AW349" i="9" a="1"/>
  <c r="AW349" i="9" s="1"/>
  <c r="AW200" i="9" a="1"/>
  <c r="AW200" i="9" s="1"/>
  <c r="AW176" i="9" a="1"/>
  <c r="AW176" i="9" s="1"/>
  <c r="AW160" i="9" a="1"/>
  <c r="AW160" i="9" s="1"/>
  <c r="AW144" i="9" a="1"/>
  <c r="AW144" i="9" s="1"/>
  <c r="AW128" i="9" a="1"/>
  <c r="AW128" i="9" s="1"/>
  <c r="AW112" i="9" a="1"/>
  <c r="AW112" i="9" s="1"/>
  <c r="AW96" i="9" a="1"/>
  <c r="AW96" i="9" s="1"/>
  <c r="AW80" i="9" a="1"/>
  <c r="AW80" i="9" s="1"/>
  <c r="A96" i="9" s="1"/>
  <c r="AW64" i="9" a="1"/>
  <c r="AW64" i="9" s="1"/>
  <c r="A80" i="9" s="1"/>
  <c r="AW48" i="9" a="1"/>
  <c r="AW48" i="9" s="1"/>
  <c r="A64" i="9" s="1"/>
  <c r="AW32" i="9" a="1"/>
  <c r="AW32" i="9" s="1"/>
  <c r="A48" i="9" s="1"/>
  <c r="AW16" i="9" a="1"/>
  <c r="AW16" i="9" s="1"/>
  <c r="A32" i="9" s="1"/>
  <c r="AW109" i="9" a="1"/>
  <c r="AW109" i="9" s="1"/>
  <c r="AW93" i="9" a="1"/>
  <c r="AW93" i="9" s="1"/>
  <c r="AW77" i="9" a="1"/>
  <c r="AW77" i="9" s="1"/>
  <c r="A93" i="9" s="1"/>
  <c r="AW61" i="9" a="1"/>
  <c r="AW61" i="9" s="1"/>
  <c r="A77" i="9" s="1"/>
  <c r="AW45" i="9" a="1"/>
  <c r="AW45" i="9" s="1"/>
  <c r="A61" i="9" s="1"/>
  <c r="AW29" i="9" a="1"/>
  <c r="AW29" i="9" s="1"/>
  <c r="A45" i="9" s="1"/>
  <c r="AW13" i="9" a="1"/>
  <c r="AW13" i="9" s="1"/>
  <c r="A29" i="9" s="1"/>
  <c r="AW218" i="9" a="1"/>
  <c r="AW218" i="9" s="1"/>
  <c r="AW234" i="9" a="1"/>
  <c r="AW234" i="9" s="1"/>
  <c r="AW250" i="9" a="1"/>
  <c r="AW250" i="9" s="1"/>
  <c r="AW266" i="9" a="1"/>
  <c r="AW266" i="9" s="1"/>
  <c r="AW282" i="9" a="1"/>
  <c r="AW282" i="9" s="1"/>
  <c r="AW127" i="9" a="1"/>
  <c r="AW127" i="9" s="1"/>
  <c r="AW143" i="9" a="1"/>
  <c r="AW143" i="9" s="1"/>
  <c r="AW159" i="9" a="1"/>
  <c r="AW159" i="9" s="1"/>
  <c r="AW175" i="9" a="1"/>
  <c r="AW175" i="9" s="1"/>
  <c r="AW191" i="9" a="1"/>
  <c r="AW191" i="9" s="1"/>
  <c r="AW207" i="9" a="1"/>
  <c r="AW207" i="9" s="1"/>
  <c r="AW223" i="9" a="1"/>
  <c r="AW223" i="9" s="1"/>
  <c r="AW239" i="9" a="1"/>
  <c r="AW239" i="9" s="1"/>
  <c r="AW255" i="9" a="1"/>
  <c r="AW255" i="9" s="1"/>
  <c r="AW271" i="9" a="1"/>
  <c r="AW271" i="9" s="1"/>
  <c r="AW285" i="9" a="1"/>
  <c r="AW285" i="9" s="1"/>
  <c r="AW296" i="9" a="1"/>
  <c r="AW296" i="9" s="1"/>
  <c r="AW312" i="9" a="1"/>
  <c r="AW312" i="9" s="1"/>
  <c r="AW328" i="9" a="1"/>
  <c r="AW328" i="9" s="1"/>
  <c r="AW344" i="9" a="1"/>
  <c r="AW344" i="9" s="1"/>
  <c r="AW360" i="9" a="1"/>
  <c r="AW360" i="9" s="1"/>
  <c r="AW376" i="9" a="1"/>
  <c r="AW376" i="9" s="1"/>
  <c r="AW392" i="9" a="1"/>
  <c r="AW392" i="9" s="1"/>
  <c r="AW408" i="9" a="1"/>
  <c r="AW408" i="9" s="1"/>
  <c r="AW299" i="9" a="1"/>
  <c r="AW299" i="9" s="1"/>
  <c r="AW315" i="9" a="1"/>
  <c r="AW315" i="9" s="1"/>
  <c r="AW331" i="9" a="1"/>
  <c r="AW331" i="9" s="1"/>
  <c r="AW347" i="9" a="1"/>
  <c r="AW347" i="9" s="1"/>
  <c r="AW363" i="9" a="1"/>
  <c r="AW363" i="9" s="1"/>
  <c r="AW379" i="9" a="1"/>
  <c r="AW379" i="9" s="1"/>
  <c r="AW395" i="9" a="1"/>
  <c r="AW395" i="9" s="1"/>
  <c r="AW411" i="9" a="1"/>
  <c r="AW411" i="9" s="1"/>
  <c r="AW424" i="9" a="1"/>
  <c r="AW424" i="9" s="1"/>
  <c r="AW440" i="9" a="1"/>
  <c r="AW440" i="9" s="1"/>
  <c r="AW456" i="9" a="1"/>
  <c r="AW456" i="9" s="1"/>
  <c r="AW472" i="9" a="1"/>
  <c r="AW472" i="9" s="1"/>
  <c r="AW488" i="9" a="1"/>
  <c r="AW488" i="9" s="1"/>
  <c r="AW421" i="9" a="1"/>
  <c r="AW421" i="9" s="1"/>
  <c r="AW437" i="9" a="1"/>
  <c r="AW437" i="9" s="1"/>
  <c r="AW453" i="9" a="1"/>
  <c r="AW453" i="9" s="1"/>
  <c r="AW469" i="9" a="1"/>
  <c r="AW469" i="9" s="1"/>
  <c r="AW485" i="9" a="1"/>
  <c r="AW485" i="9" s="1"/>
  <c r="AW501" i="9" a="1"/>
  <c r="AW501" i="9" s="1"/>
  <c r="AW220" i="9" a="1"/>
  <c r="AW220" i="9" s="1"/>
  <c r="AW236" i="9" a="1"/>
  <c r="AW236" i="9" s="1"/>
  <c r="AW252" i="9" a="1"/>
  <c r="AW252" i="9" s="1"/>
  <c r="AW268" i="9" a="1"/>
  <c r="AW268" i="9" s="1"/>
  <c r="AW113" i="9" a="1"/>
  <c r="AW113" i="9" s="1"/>
  <c r="AW129" i="9" a="1"/>
  <c r="AW129" i="9" s="1"/>
  <c r="AW145" i="9" a="1"/>
  <c r="AW145" i="9" s="1"/>
  <c r="AW161" i="9" a="1"/>
  <c r="AW161" i="9" s="1"/>
  <c r="AW177" i="9" a="1"/>
  <c r="AW177" i="9" s="1"/>
  <c r="AW193" i="9" a="1"/>
  <c r="AW193" i="9" s="1"/>
  <c r="AW209" i="9" a="1"/>
  <c r="AW209" i="9" s="1"/>
  <c r="AW225" i="9" a="1"/>
  <c r="AW225" i="9" s="1"/>
  <c r="AW241" i="9" a="1"/>
  <c r="AW241" i="9" s="1"/>
  <c r="AW257" i="9" a="1"/>
  <c r="AW257" i="9" s="1"/>
  <c r="AW273" i="9" a="1"/>
  <c r="AW273" i="9" s="1"/>
  <c r="AW286" i="9" a="1"/>
  <c r="AW286" i="9" s="1"/>
  <c r="AW298" i="9" a="1"/>
  <c r="AW298" i="9" s="1"/>
  <c r="AW314" i="9" a="1"/>
  <c r="AW314" i="9" s="1"/>
  <c r="AW330" i="9" a="1"/>
  <c r="AW330" i="9" s="1"/>
  <c r="AW346" i="9" a="1"/>
  <c r="AW346" i="9" s="1"/>
  <c r="AW362" i="9" a="1"/>
  <c r="AW362" i="9" s="1"/>
  <c r="AW378" i="9" a="1"/>
  <c r="AW378" i="9" s="1"/>
  <c r="AW394" i="9" a="1"/>
  <c r="AW394" i="9" s="1"/>
  <c r="AW410" i="9" a="1"/>
  <c r="AW410" i="9" s="1"/>
  <c r="AW301" i="9" a="1"/>
  <c r="AW301" i="9" s="1"/>
  <c r="AW317" i="9" a="1"/>
  <c r="AW317" i="9" s="1"/>
  <c r="AW333" i="9" a="1"/>
  <c r="AW333" i="9" s="1"/>
  <c r="AW357" i="9" a="1"/>
  <c r="AW357" i="9" s="1"/>
  <c r="AW184" i="9" a="1"/>
  <c r="AW184" i="9" s="1"/>
  <c r="AW168" i="9" a="1"/>
  <c r="AW168" i="9" s="1"/>
  <c r="AW152" i="9" a="1"/>
  <c r="AW152" i="9" s="1"/>
  <c r="AW136" i="9" a="1"/>
  <c r="AW136" i="9" s="1"/>
  <c r="AW120" i="9" a="1"/>
  <c r="AW120" i="9" s="1"/>
  <c r="AW104" i="9" a="1"/>
  <c r="AW104" i="9" s="1"/>
  <c r="AW88" i="9" a="1"/>
  <c r="AW88" i="9" s="1"/>
  <c r="AW72" i="9" a="1"/>
  <c r="AW72" i="9" s="1"/>
  <c r="A88" i="9" s="1"/>
  <c r="AW56" i="9" a="1"/>
  <c r="AW56" i="9" s="1"/>
  <c r="A72" i="9" s="1"/>
  <c r="F72" i="9" s="1"/>
  <c r="AW40" i="9" a="1"/>
  <c r="AW40" i="9" s="1"/>
  <c r="A56" i="9" s="1"/>
  <c r="AW24" i="9" a="1"/>
  <c r="AW24" i="9" s="1"/>
  <c r="A40" i="9" s="1"/>
  <c r="F40" i="9" s="1"/>
  <c r="AW8" i="9" a="1"/>
  <c r="AW8" i="9" s="1"/>
  <c r="A24" i="9" s="1"/>
  <c r="AW101" i="9" a="1"/>
  <c r="AW101" i="9" s="1"/>
  <c r="AW85" i="9" a="1"/>
  <c r="AW85" i="9" s="1"/>
  <c r="AW69" i="9" a="1"/>
  <c r="AW69" i="9" s="1"/>
  <c r="A85" i="9" s="1"/>
  <c r="F85" i="9" s="1"/>
  <c r="AW53" i="9" a="1"/>
  <c r="AW53" i="9" s="1"/>
  <c r="A69" i="9" s="1"/>
  <c r="AW37" i="9" a="1"/>
  <c r="AW37" i="9" s="1"/>
  <c r="A53" i="9" s="1"/>
  <c r="D53" i="9" s="1"/>
  <c r="AW21" i="9" a="1"/>
  <c r="AW21" i="9" s="1"/>
  <c r="A37" i="9" s="1"/>
  <c r="AW5" i="9" a="1"/>
  <c r="AW5" i="9" s="1"/>
  <c r="A21" i="9" s="1"/>
  <c r="F21" i="9" s="1"/>
  <c r="AW226" i="9" a="1"/>
  <c r="AW226" i="9" s="1"/>
  <c r="AW242" i="9" a="1"/>
  <c r="AW242" i="9" s="1"/>
  <c r="AW258" i="9" a="1"/>
  <c r="AW258" i="9" s="1"/>
  <c r="AW274" i="9" a="1"/>
  <c r="AW274" i="9" s="1"/>
  <c r="AW119" i="9" a="1"/>
  <c r="AW119" i="9" s="1"/>
  <c r="AW135" i="9" a="1"/>
  <c r="AW135" i="9" s="1"/>
  <c r="AW151" i="9" a="1"/>
  <c r="AW151" i="9" s="1"/>
  <c r="AW167" i="9" a="1"/>
  <c r="AW167" i="9" s="1"/>
  <c r="AW183" i="9" a="1"/>
  <c r="AW183" i="9" s="1"/>
  <c r="AW199" i="9" a="1"/>
  <c r="AW199" i="9" s="1"/>
  <c r="AW215" i="9" a="1"/>
  <c r="AW215" i="9" s="1"/>
  <c r="AW231" i="9" a="1"/>
  <c r="AW231" i="9" s="1"/>
  <c r="AW247" i="9" a="1"/>
  <c r="AW247" i="9" s="1"/>
  <c r="AW263" i="9" a="1"/>
  <c r="AW263" i="9" s="1"/>
  <c r="AW279" i="9" a="1"/>
  <c r="AW279" i="9" s="1"/>
  <c r="AW289" i="9" a="1"/>
  <c r="AW289" i="9" s="1"/>
  <c r="AW304" i="9" a="1"/>
  <c r="AW304" i="9" s="1"/>
  <c r="AW320" i="9" a="1"/>
  <c r="AW320" i="9" s="1"/>
  <c r="AW336" i="9" a="1"/>
  <c r="AW336" i="9" s="1"/>
  <c r="AW352" i="9" a="1"/>
  <c r="AW352" i="9" s="1"/>
  <c r="AW368" i="9" a="1"/>
  <c r="AW368" i="9" s="1"/>
  <c r="AW384" i="9" a="1"/>
  <c r="AW384" i="9" s="1"/>
  <c r="AW400" i="9" a="1"/>
  <c r="AW400" i="9" s="1"/>
  <c r="AW291" i="9" a="1"/>
  <c r="AW291" i="9" s="1"/>
  <c r="AW307" i="9" a="1"/>
  <c r="AW307" i="9" s="1"/>
  <c r="AW323" i="9" a="1"/>
  <c r="AW323" i="9" s="1"/>
  <c r="AW339" i="9" a="1"/>
  <c r="AW339" i="9" s="1"/>
  <c r="AW355" i="9" a="1"/>
  <c r="AW355" i="9" s="1"/>
  <c r="AW371" i="9" a="1"/>
  <c r="AW371" i="9" s="1"/>
  <c r="AW387" i="9" a="1"/>
  <c r="AW387" i="9" s="1"/>
  <c r="AW403" i="9" a="1"/>
  <c r="AW403" i="9" s="1"/>
  <c r="AW417" i="9" a="1"/>
  <c r="AW417" i="9" s="1"/>
  <c r="AW432" i="9" a="1"/>
  <c r="AW432" i="9" s="1"/>
  <c r="AW448" i="9" a="1"/>
  <c r="AW448" i="9" s="1"/>
  <c r="AW464" i="9" a="1"/>
  <c r="AW464" i="9" s="1"/>
  <c r="AW480" i="9" a="1"/>
  <c r="AW480" i="9" s="1"/>
  <c r="AW496" i="9" a="1"/>
  <c r="AW496" i="9" s="1"/>
  <c r="AW429" i="9" a="1"/>
  <c r="AW429" i="9" s="1"/>
  <c r="AW445" i="9" a="1"/>
  <c r="AW445" i="9" s="1"/>
  <c r="AW461" i="9" a="1"/>
  <c r="AW461" i="9" s="1"/>
  <c r="AW477" i="9" a="1"/>
  <c r="AW477" i="9" s="1"/>
  <c r="AW493" i="9" a="1"/>
  <c r="AW493" i="9" s="1"/>
  <c r="AW212" i="9" a="1"/>
  <c r="AW212" i="9" s="1"/>
  <c r="AW228" i="9" a="1"/>
  <c r="AW228" i="9" s="1"/>
  <c r="AW244" i="9" a="1"/>
  <c r="AW244" i="9" s="1"/>
  <c r="AW260" i="9" a="1"/>
  <c r="AW260" i="9" s="1"/>
  <c r="AW276" i="9" a="1"/>
  <c r="AW276" i="9" s="1"/>
  <c r="AW121" i="9" a="1"/>
  <c r="AW121" i="9" s="1"/>
  <c r="AW137" i="9" a="1"/>
  <c r="AW137" i="9" s="1"/>
  <c r="AW153" i="9" a="1"/>
  <c r="AW153" i="9" s="1"/>
  <c r="AW169" i="9" a="1"/>
  <c r="AW169" i="9" s="1"/>
  <c r="AW185" i="9" a="1"/>
  <c r="AW185" i="9" s="1"/>
  <c r="AW201" i="9" a="1"/>
  <c r="AW201" i="9" s="1"/>
  <c r="AW217" i="9" a="1"/>
  <c r="AW217" i="9" s="1"/>
  <c r="AW233" i="9" a="1"/>
  <c r="AW233" i="9" s="1"/>
  <c r="AW249" i="9" a="1"/>
  <c r="AW249" i="9" s="1"/>
  <c r="AW265" i="9" a="1"/>
  <c r="AW265" i="9" s="1"/>
  <c r="AW281" i="9" a="1"/>
  <c r="AW281" i="9" s="1"/>
  <c r="AW290" i="9" a="1"/>
  <c r="AW290" i="9" s="1"/>
  <c r="AW306" i="9" a="1"/>
  <c r="AW306" i="9" s="1"/>
  <c r="AW322" i="9" a="1"/>
  <c r="AW322" i="9" s="1"/>
  <c r="AW338" i="9" a="1"/>
  <c r="AW338" i="9" s="1"/>
  <c r="AW354" i="9" a="1"/>
  <c r="AW354" i="9" s="1"/>
  <c r="AW370" i="9" a="1"/>
  <c r="AW370" i="9" s="1"/>
  <c r="AW386" i="9" a="1"/>
  <c r="AW386" i="9" s="1"/>
  <c r="AW402" i="9" a="1"/>
  <c r="AW402" i="9" s="1"/>
  <c r="AW293" i="9" a="1"/>
  <c r="AW293" i="9" s="1"/>
  <c r="AW309" i="9" a="1"/>
  <c r="AW309" i="9" s="1"/>
  <c r="AW325" i="9" a="1"/>
  <c r="AW325" i="9" s="1"/>
  <c r="AW341" i="9" a="1"/>
  <c r="AW341" i="9" s="1"/>
  <c r="C104" i="13"/>
  <c r="G104" i="13"/>
  <c r="D94" i="13"/>
  <c r="C98" i="13"/>
  <c r="C102" i="13"/>
  <c r="K93" i="13"/>
  <c r="M93" i="13"/>
  <c r="S96" i="13"/>
  <c r="K96" i="13"/>
  <c r="Q90" i="13"/>
  <c r="F89" i="13"/>
  <c r="H89" i="13"/>
  <c r="D92" i="13"/>
  <c r="C93" i="13"/>
  <c r="G93" i="13"/>
  <c r="I93" i="13"/>
  <c r="N92" i="13"/>
  <c r="P92" i="13"/>
  <c r="K90" i="13"/>
  <c r="M90" i="13"/>
  <c r="D90" i="13"/>
  <c r="O96" i="13"/>
  <c r="G96" i="13"/>
  <c r="S88" i="13"/>
  <c r="G88" i="13"/>
  <c r="G86" i="13"/>
  <c r="C96" i="13"/>
  <c r="C88" i="13"/>
  <c r="D86" i="13"/>
  <c r="N86" i="13"/>
  <c r="D95" i="13"/>
  <c r="F94" i="13"/>
  <c r="F93" i="13"/>
  <c r="F87" i="13"/>
  <c r="F92" i="13"/>
  <c r="T86" i="13"/>
  <c r="S86" i="13"/>
  <c r="K74" i="13"/>
  <c r="L74" i="13"/>
  <c r="V87" i="13"/>
  <c r="U87" i="13"/>
  <c r="I83" i="13"/>
  <c r="J83" i="13"/>
  <c r="K77" i="13"/>
  <c r="L77" i="13"/>
  <c r="F75" i="13"/>
  <c r="F78" i="13"/>
  <c r="L80" i="13"/>
  <c r="V96" i="13"/>
  <c r="U96" i="13"/>
  <c r="K83" i="13"/>
  <c r="L83" i="13"/>
  <c r="I75" i="13"/>
  <c r="J75" i="13"/>
  <c r="N77" i="13"/>
  <c r="O74" i="13"/>
  <c r="P74" i="13"/>
  <c r="P77" i="13"/>
  <c r="L78" i="13"/>
  <c r="U88" i="13"/>
  <c r="L81" i="13"/>
  <c r="U9" i="13"/>
  <c r="U7" i="13"/>
  <c r="L1078" i="21"/>
  <c r="R80" i="13"/>
  <c r="X80" i="13"/>
  <c r="S74" i="13"/>
  <c r="Y74" i="13"/>
  <c r="H6" i="21" a="1"/>
  <c r="H1107" i="21" a="1"/>
  <c r="H1104" i="21" a="1"/>
  <c r="H1105" i="21" a="1"/>
  <c r="H1109" i="21" a="1"/>
  <c r="H1102" i="21" a="1"/>
  <c r="H1108" i="21" a="1"/>
  <c r="H1106" i="21" a="1"/>
  <c r="E106" i="13"/>
  <c r="V106" i="13"/>
  <c r="T90" i="13"/>
  <c r="Z90" i="13"/>
  <c r="P83" i="13"/>
  <c r="W83" i="13"/>
  <c r="Y80" i="13"/>
  <c r="S80" i="13"/>
  <c r="E104" i="13"/>
  <c r="V104" i="13"/>
  <c r="E105" i="13"/>
  <c r="V105" i="13"/>
  <c r="E101" i="13"/>
  <c r="V101" i="13"/>
  <c r="S81" i="13"/>
  <c r="Y81" i="13"/>
  <c r="R93" i="13"/>
  <c r="X93" i="13"/>
  <c r="R90" i="13"/>
  <c r="X90" i="13"/>
  <c r="K143" i="21"/>
  <c r="K144" i="21"/>
  <c r="K145" i="21" s="1"/>
  <c r="P145" i="21" s="1"/>
  <c r="Z9" i="13"/>
  <c r="Y6" i="13"/>
  <c r="AA8" i="13"/>
  <c r="H29" i="21"/>
  <c r="P29" i="21" s="1"/>
  <c r="H23" i="21"/>
  <c r="P23" i="21" s="1"/>
  <c r="R7" i="13"/>
  <c r="W6" i="13"/>
  <c r="W8" i="13"/>
  <c r="AA9" i="13"/>
  <c r="X7" i="13"/>
  <c r="Z8" i="13"/>
  <c r="V7" i="13"/>
  <c r="W9" i="13"/>
  <c r="AA7" i="13"/>
  <c r="V5" i="13"/>
  <c r="AD5" i="13"/>
  <c r="L1077" i="21"/>
  <c r="L1067" i="21"/>
  <c r="L1071" i="21"/>
  <c r="L1066" i="21"/>
  <c r="L1070" i="21"/>
  <c r="L1079" i="21"/>
  <c r="L1069" i="21"/>
  <c r="L1081" i="21"/>
  <c r="L1068" i="21"/>
  <c r="L1076" i="21"/>
  <c r="H8" i="21"/>
  <c r="P8" i="21" s="1"/>
  <c r="S6" i="13"/>
  <c r="S4" i="5"/>
  <c r="S24" i="5" s="1"/>
  <c r="M6" i="13"/>
  <c r="M4" i="5"/>
  <c r="M24" i="5" s="1"/>
  <c r="A12" i="5"/>
  <c r="AD12" i="5" s="1"/>
  <c r="AE12" i="5" s="1"/>
  <c r="Z6" i="13"/>
  <c r="Z4" i="5"/>
  <c r="Z24" i="5" s="1"/>
  <c r="F36" i="9"/>
  <c r="D36" i="9"/>
  <c r="D21" i="9"/>
  <c r="D81" i="9"/>
  <c r="F81" i="9"/>
  <c r="D88" i="9"/>
  <c r="F88" i="9"/>
  <c r="F69" i="9"/>
  <c r="D69" i="9"/>
  <c r="D45" i="9"/>
  <c r="F45" i="9"/>
  <c r="D68" i="9"/>
  <c r="F68" i="9"/>
  <c r="F52" i="9"/>
  <c r="D52" i="9"/>
  <c r="D79" i="9"/>
  <c r="F79" i="9"/>
  <c r="D90" i="9"/>
  <c r="F90" i="9"/>
  <c r="D71" i="9"/>
  <c r="F71" i="9"/>
  <c r="F55" i="9"/>
  <c r="D55" i="9"/>
  <c r="D62" i="9"/>
  <c r="F62" i="9"/>
  <c r="D24" i="9"/>
  <c r="F24" i="9"/>
  <c r="F26" i="9"/>
  <c r="D26" i="9"/>
  <c r="F97" i="9"/>
  <c r="D97" i="9"/>
  <c r="F77" i="9"/>
  <c r="D77" i="9"/>
  <c r="D84" i="9"/>
  <c r="F84" i="9"/>
  <c r="D61" i="9"/>
  <c r="F61" i="9"/>
  <c r="D41" i="9"/>
  <c r="F41" i="9"/>
  <c r="D64" i="9"/>
  <c r="F64" i="9"/>
  <c r="D32" i="9"/>
  <c r="F32" i="9"/>
  <c r="D83" i="9"/>
  <c r="F83" i="9"/>
  <c r="F86" i="9"/>
  <c r="D86" i="9"/>
  <c r="D67" i="9"/>
  <c r="F67" i="9"/>
  <c r="D47" i="9"/>
  <c r="F47" i="9"/>
  <c r="D54" i="9"/>
  <c r="F54" i="9"/>
  <c r="F20" i="9"/>
  <c r="D20" i="9"/>
  <c r="D85" i="9"/>
  <c r="D80" i="9"/>
  <c r="F80" i="9"/>
  <c r="D49" i="9"/>
  <c r="F49" i="9"/>
  <c r="D56" i="9"/>
  <c r="F56" i="9"/>
  <c r="F28" i="9"/>
  <c r="D28" i="9"/>
  <c r="D94" i="9"/>
  <c r="F94" i="9"/>
  <c r="D63" i="9"/>
  <c r="F63" i="9"/>
  <c r="D35" i="9"/>
  <c r="F35" i="9"/>
  <c r="D58" i="9"/>
  <c r="F58" i="9"/>
  <c r="D38" i="9"/>
  <c r="F38" i="9"/>
  <c r="D22" i="9"/>
  <c r="F22" i="9"/>
  <c r="D27" i="9"/>
  <c r="F27" i="9"/>
  <c r="AA6" i="13"/>
  <c r="AA4" i="5"/>
  <c r="AA24" i="5" s="1"/>
  <c r="H13" i="21"/>
  <c r="P13" i="21" s="1"/>
  <c r="I304" i="21" a="1"/>
  <c r="I304" i="21" s="1"/>
  <c r="K304" i="21"/>
  <c r="G304" i="21"/>
  <c r="H304" i="21" s="1"/>
  <c r="P304" i="21" s="1"/>
  <c r="I320" i="21" a="1"/>
  <c r="I320" i="21" s="1"/>
  <c r="K320" i="21"/>
  <c r="G320" i="21"/>
  <c r="H320" i="21" s="1"/>
  <c r="P320" i="21" s="1"/>
  <c r="I336" i="21" a="1"/>
  <c r="I336" i="21" s="1"/>
  <c r="K336" i="21"/>
  <c r="G336" i="21"/>
  <c r="H336" i="21" s="1"/>
  <c r="P336" i="21" s="1"/>
  <c r="I352" i="21" a="1"/>
  <c r="I352" i="21" s="1"/>
  <c r="K352" i="21"/>
  <c r="G352" i="21"/>
  <c r="H352" i="21" s="1"/>
  <c r="P352" i="21" s="1"/>
  <c r="I368" i="21" a="1"/>
  <c r="I368" i="21" s="1"/>
  <c r="K368" i="21"/>
  <c r="G368" i="21"/>
  <c r="H368" i="21" s="1"/>
  <c r="P368" i="21" s="1"/>
  <c r="I384" i="21" a="1"/>
  <c r="I384" i="21" s="1"/>
  <c r="K384" i="21"/>
  <c r="G384" i="21"/>
  <c r="H384" i="21" s="1"/>
  <c r="I400" i="21" a="1"/>
  <c r="I400" i="21" s="1"/>
  <c r="K400" i="21"/>
  <c r="G400" i="21"/>
  <c r="H400" i="21" s="1"/>
  <c r="P400" i="21" s="1"/>
  <c r="I693" i="21" a="1"/>
  <c r="I693" i="21" s="1"/>
  <c r="K693" i="21"/>
  <c r="G693" i="21"/>
  <c r="H693" i="21" s="1"/>
  <c r="P693" i="21" s="1"/>
  <c r="I709" i="21" a="1"/>
  <c r="I709" i="21" s="1"/>
  <c r="K709" i="21"/>
  <c r="G709" i="21"/>
  <c r="H709" i="21" s="1"/>
  <c r="P709" i="21" s="1"/>
  <c r="I725" i="21" a="1"/>
  <c r="I725" i="21" s="1"/>
  <c r="K725" i="21"/>
  <c r="G725" i="21"/>
  <c r="H725" i="21" s="1"/>
  <c r="P725" i="21" s="1"/>
  <c r="I299" i="21" a="1"/>
  <c r="I299" i="21" s="1"/>
  <c r="K299" i="21"/>
  <c r="G299" i="21"/>
  <c r="H299" i="21" s="1"/>
  <c r="P299" i="21" s="1"/>
  <c r="I315" i="21" a="1"/>
  <c r="I315" i="21" s="1"/>
  <c r="K315" i="21"/>
  <c r="G315" i="21"/>
  <c r="H315" i="21" s="1"/>
  <c r="P315" i="21" s="1"/>
  <c r="I331" i="21" a="1"/>
  <c r="I331" i="21" s="1"/>
  <c r="K331" i="21"/>
  <c r="G331" i="21"/>
  <c r="H331" i="21" s="1"/>
  <c r="P331" i="21" s="1"/>
  <c r="I347" i="21" a="1"/>
  <c r="I347" i="21" s="1"/>
  <c r="K347" i="21"/>
  <c r="G347" i="21"/>
  <c r="H347" i="21" s="1"/>
  <c r="P347" i="21" s="1"/>
  <c r="I363" i="21" a="1"/>
  <c r="I363" i="21" s="1"/>
  <c r="K363" i="21"/>
  <c r="G363" i="21"/>
  <c r="H363" i="21" s="1"/>
  <c r="P363" i="21" s="1"/>
  <c r="I379" i="21" a="1"/>
  <c r="I379" i="21" s="1"/>
  <c r="K379" i="21"/>
  <c r="G379" i="21"/>
  <c r="H379" i="21" s="1"/>
  <c r="P379" i="21" s="1"/>
  <c r="I395" i="21" a="1"/>
  <c r="I395" i="21" s="1"/>
  <c r="K395" i="21"/>
  <c r="G395" i="21"/>
  <c r="H395" i="21" s="1"/>
  <c r="P395" i="21" s="1"/>
  <c r="I688" i="21" a="1"/>
  <c r="I688" i="21" s="1"/>
  <c r="K688" i="21"/>
  <c r="G688" i="21"/>
  <c r="H688" i="21" s="1"/>
  <c r="P688" i="21" s="1"/>
  <c r="I704" i="21" a="1"/>
  <c r="I704" i="21" s="1"/>
  <c r="K704" i="21"/>
  <c r="G704" i="21"/>
  <c r="H704" i="21" s="1"/>
  <c r="P704" i="21" s="1"/>
  <c r="I720" i="21" a="1"/>
  <c r="I720" i="21" s="1"/>
  <c r="K720" i="21"/>
  <c r="G720" i="21"/>
  <c r="H720" i="21" s="1"/>
  <c r="P720" i="21" s="1"/>
  <c r="I737" i="21" a="1"/>
  <c r="I737" i="21" s="1"/>
  <c r="K737" i="21"/>
  <c r="G737" i="21"/>
  <c r="H737" i="21" s="1"/>
  <c r="P737" i="21" s="1"/>
  <c r="I753" i="21" a="1"/>
  <c r="I753" i="21" s="1"/>
  <c r="K753" i="21"/>
  <c r="G753" i="21"/>
  <c r="H753" i="21" s="1"/>
  <c r="P753" i="21" s="1"/>
  <c r="I769" i="21" a="1"/>
  <c r="I769" i="21" s="1"/>
  <c r="K769" i="21"/>
  <c r="G769" i="21"/>
  <c r="H769" i="21" s="1"/>
  <c r="P769" i="21" s="1"/>
  <c r="I785" i="21" a="1"/>
  <c r="I785" i="21" s="1"/>
  <c r="G785" i="21"/>
  <c r="K785" i="21"/>
  <c r="I748" i="21" a="1"/>
  <c r="I748" i="21" s="1"/>
  <c r="K748" i="21"/>
  <c r="G748" i="21"/>
  <c r="H748" i="21" s="1"/>
  <c r="P748" i="21" s="1"/>
  <c r="I764" i="21" a="1"/>
  <c r="I764" i="21" s="1"/>
  <c r="K764" i="21"/>
  <c r="G764" i="21"/>
  <c r="H764" i="21" s="1"/>
  <c r="P764" i="21" s="1"/>
  <c r="I780" i="21" a="1"/>
  <c r="I780" i="21" s="1"/>
  <c r="K780" i="21"/>
  <c r="G780" i="21"/>
  <c r="H780" i="21" s="1"/>
  <c r="P780" i="21" s="1"/>
  <c r="I301" i="21" a="1"/>
  <c r="I301" i="21" s="1"/>
  <c r="K301" i="21"/>
  <c r="G301" i="21"/>
  <c r="H301" i="21" s="1"/>
  <c r="P301" i="21" s="1"/>
  <c r="I317" i="21" a="1"/>
  <c r="I317" i="21" s="1"/>
  <c r="K317" i="21"/>
  <c r="G317" i="21"/>
  <c r="H317" i="21" s="1"/>
  <c r="P317" i="21" s="1"/>
  <c r="I333" i="21" a="1"/>
  <c r="I333" i="21" s="1"/>
  <c r="K333" i="21"/>
  <c r="G333" i="21"/>
  <c r="H333" i="21" s="1"/>
  <c r="P333" i="21" s="1"/>
  <c r="I349" i="21" a="1"/>
  <c r="I349" i="21" s="1"/>
  <c r="K349" i="21"/>
  <c r="G349" i="21"/>
  <c r="H349" i="21" s="1"/>
  <c r="P349" i="21" s="1"/>
  <c r="I365" i="21" a="1"/>
  <c r="I365" i="21" s="1"/>
  <c r="K365" i="21"/>
  <c r="G365" i="21"/>
  <c r="H365" i="21" s="1"/>
  <c r="P365" i="21" s="1"/>
  <c r="I381" i="21" a="1"/>
  <c r="I381" i="21" s="1"/>
  <c r="G381" i="21"/>
  <c r="K381" i="21"/>
  <c r="I397" i="21" a="1"/>
  <c r="I397" i="21" s="1"/>
  <c r="K397" i="21"/>
  <c r="G397" i="21"/>
  <c r="H397" i="21" s="1"/>
  <c r="I690" i="21" a="1"/>
  <c r="I690" i="21" s="1"/>
  <c r="K690" i="21"/>
  <c r="G690" i="21"/>
  <c r="H690" i="21" s="1"/>
  <c r="P690" i="21" s="1"/>
  <c r="I706" i="21" a="1"/>
  <c r="I706" i="21" s="1"/>
  <c r="K706" i="21"/>
  <c r="G706" i="21"/>
  <c r="H706" i="21" s="1"/>
  <c r="P706" i="21" s="1"/>
  <c r="I722" i="21" a="1"/>
  <c r="I722" i="21" s="1"/>
  <c r="K722" i="21"/>
  <c r="G722" i="21"/>
  <c r="H722" i="21" s="1"/>
  <c r="P722" i="21" s="1"/>
  <c r="I298" i="21" a="1"/>
  <c r="I298" i="21" s="1"/>
  <c r="K298" i="21"/>
  <c r="G298" i="21"/>
  <c r="H298" i="21" s="1"/>
  <c r="P298" i="21" s="1"/>
  <c r="I314" i="21" a="1"/>
  <c r="I314" i="21" s="1"/>
  <c r="K314" i="21"/>
  <c r="G314" i="21"/>
  <c r="H314" i="21" s="1"/>
  <c r="P314" i="21" s="1"/>
  <c r="I330" i="21" a="1"/>
  <c r="I330" i="21" s="1"/>
  <c r="K330" i="21"/>
  <c r="G330" i="21"/>
  <c r="H330" i="21" s="1"/>
  <c r="P330" i="21" s="1"/>
  <c r="I346" i="21" a="1"/>
  <c r="I346" i="21" s="1"/>
  <c r="K346" i="21"/>
  <c r="G346" i="21"/>
  <c r="H346" i="21" s="1"/>
  <c r="P346" i="21" s="1"/>
  <c r="I362" i="21" a="1"/>
  <c r="I362" i="21" s="1"/>
  <c r="K362" i="21"/>
  <c r="G362" i="21"/>
  <c r="H362" i="21" s="1"/>
  <c r="P362" i="21" s="1"/>
  <c r="I378" i="21" a="1"/>
  <c r="I378" i="21" s="1"/>
  <c r="K378" i="21"/>
  <c r="G378" i="21"/>
  <c r="H378" i="21" s="1"/>
  <c r="P378" i="21" s="1"/>
  <c r="I394" i="21" a="1"/>
  <c r="I394" i="21" s="1"/>
  <c r="K394" i="21"/>
  <c r="G394" i="21"/>
  <c r="H394" i="21" s="1"/>
  <c r="P394" i="21" s="1"/>
  <c r="I687" i="21" a="1"/>
  <c r="I687" i="21" s="1"/>
  <c r="K687" i="21"/>
  <c r="G687" i="21"/>
  <c r="H687" i="21" s="1"/>
  <c r="P687" i="21" s="1"/>
  <c r="I703" i="21" a="1"/>
  <c r="I703" i="21" s="1"/>
  <c r="K703" i="21"/>
  <c r="G703" i="21"/>
  <c r="H703" i="21" s="1"/>
  <c r="P703" i="21" s="1"/>
  <c r="I719" i="21" a="1"/>
  <c r="I719" i="21" s="1"/>
  <c r="K719" i="21"/>
  <c r="G719" i="21"/>
  <c r="H719" i="21" s="1"/>
  <c r="P719" i="21" s="1"/>
  <c r="I734" i="21" a="1"/>
  <c r="I734" i="21" s="1"/>
  <c r="K734" i="21"/>
  <c r="G734" i="21"/>
  <c r="H734" i="21" s="1"/>
  <c r="P734" i="21" s="1"/>
  <c r="I750" i="21" a="1"/>
  <c r="I750" i="21" s="1"/>
  <c r="K750" i="21"/>
  <c r="G750" i="21"/>
  <c r="H750" i="21" s="1"/>
  <c r="P750" i="21" s="1"/>
  <c r="I766" i="21" a="1"/>
  <c r="I766" i="21" s="1"/>
  <c r="K766" i="21"/>
  <c r="G766" i="21"/>
  <c r="H766" i="21" s="1"/>
  <c r="P766" i="21" s="1"/>
  <c r="I782" i="21" a="1"/>
  <c r="I782" i="21" s="1"/>
  <c r="K782" i="21"/>
  <c r="G782" i="21"/>
  <c r="H782" i="21" s="1"/>
  <c r="P782" i="21" s="1"/>
  <c r="I747" i="21" a="1"/>
  <c r="I747" i="21" s="1"/>
  <c r="K747" i="21"/>
  <c r="G747" i="21"/>
  <c r="H747" i="21" s="1"/>
  <c r="P747" i="21" s="1"/>
  <c r="I763" i="21" a="1"/>
  <c r="I763" i="21" s="1"/>
  <c r="K763" i="21"/>
  <c r="G763" i="21"/>
  <c r="H763" i="21" s="1"/>
  <c r="P763" i="21" s="1"/>
  <c r="I779" i="21" a="1"/>
  <c r="I779" i="21" s="1"/>
  <c r="K779" i="21"/>
  <c r="G779" i="21"/>
  <c r="H779" i="21" s="1"/>
  <c r="P779" i="21" s="1"/>
  <c r="I300" i="21" a="1"/>
  <c r="I300" i="21" s="1"/>
  <c r="K300" i="21"/>
  <c r="G300" i="21"/>
  <c r="H300" i="21" s="1"/>
  <c r="I316" i="21" a="1"/>
  <c r="I316" i="21" s="1"/>
  <c r="K316" i="21"/>
  <c r="G316" i="21"/>
  <c r="H316" i="21" s="1"/>
  <c r="P316" i="21" s="1"/>
  <c r="I332" i="21" a="1"/>
  <c r="I332" i="21" s="1"/>
  <c r="K332" i="21"/>
  <c r="G332" i="21"/>
  <c r="H332" i="21" s="1"/>
  <c r="P332" i="21" s="1"/>
  <c r="I348" i="21" a="1"/>
  <c r="I348" i="21" s="1"/>
  <c r="K348" i="21"/>
  <c r="G348" i="21"/>
  <c r="H348" i="21" s="1"/>
  <c r="P348" i="21" s="1"/>
  <c r="I364" i="21" a="1"/>
  <c r="I364" i="21" s="1"/>
  <c r="K364" i="21"/>
  <c r="G364" i="21"/>
  <c r="H364" i="21" s="1"/>
  <c r="I380" i="21" a="1"/>
  <c r="I380" i="21" s="1"/>
  <c r="K380" i="21"/>
  <c r="G380" i="21"/>
  <c r="H380" i="21" s="1"/>
  <c r="P380" i="21" s="1"/>
  <c r="I396" i="21" a="1"/>
  <c r="I396" i="21" s="1"/>
  <c r="K396" i="21"/>
  <c r="G396" i="21"/>
  <c r="H396" i="21" s="1"/>
  <c r="P396" i="21" s="1"/>
  <c r="I689" i="21" a="1"/>
  <c r="I689" i="21" s="1"/>
  <c r="K689" i="21"/>
  <c r="G689" i="21"/>
  <c r="H689" i="21" s="1"/>
  <c r="P689" i="21" s="1"/>
  <c r="I705" i="21" a="1"/>
  <c r="I705" i="21" s="1"/>
  <c r="K705" i="21"/>
  <c r="G705" i="21"/>
  <c r="H705" i="21" s="1"/>
  <c r="P705" i="21" s="1"/>
  <c r="I721" i="21" a="1"/>
  <c r="I721" i="21" s="1"/>
  <c r="K721" i="21"/>
  <c r="G721" i="21"/>
  <c r="H721" i="21" s="1"/>
  <c r="P721" i="21" s="1"/>
  <c r="I295" i="21" a="1"/>
  <c r="I295" i="21" s="1"/>
  <c r="K295" i="21"/>
  <c r="G295" i="21"/>
  <c r="H295" i="21" s="1"/>
  <c r="P295" i="21" s="1"/>
  <c r="I311" i="21" a="1"/>
  <c r="I311" i="21" s="1"/>
  <c r="K311" i="21"/>
  <c r="G311" i="21"/>
  <c r="H311" i="21" s="1"/>
  <c r="P311" i="21" s="1"/>
  <c r="I327" i="21" a="1"/>
  <c r="I327" i="21" s="1"/>
  <c r="K327" i="21"/>
  <c r="G327" i="21"/>
  <c r="H327" i="21" s="1"/>
  <c r="P327" i="21" s="1"/>
  <c r="I343" i="21" a="1"/>
  <c r="I343" i="21" s="1"/>
  <c r="K343" i="21"/>
  <c r="G343" i="21"/>
  <c r="H343" i="21" s="1"/>
  <c r="P343" i="21" s="1"/>
  <c r="I359" i="21" a="1"/>
  <c r="I359" i="21" s="1"/>
  <c r="K359" i="21"/>
  <c r="G359" i="21"/>
  <c r="H359" i="21" s="1"/>
  <c r="P359" i="21" s="1"/>
  <c r="I375" i="21" a="1"/>
  <c r="I375" i="21" s="1"/>
  <c r="K375" i="21"/>
  <c r="G375" i="21"/>
  <c r="H375" i="21" s="1"/>
  <c r="I391" i="21" a="1"/>
  <c r="I391" i="21" s="1"/>
  <c r="K391" i="21"/>
  <c r="G391" i="21"/>
  <c r="H391" i="21" s="1"/>
  <c r="I684" i="21" a="1"/>
  <c r="I684" i="21" s="1"/>
  <c r="K684" i="21"/>
  <c r="G684" i="21"/>
  <c r="H684" i="21" s="1"/>
  <c r="P684" i="21" s="1"/>
  <c r="I700" i="21" a="1"/>
  <c r="I700" i="21" s="1"/>
  <c r="K700" i="21"/>
  <c r="G700" i="21"/>
  <c r="H700" i="21" s="1"/>
  <c r="P700" i="21" s="1"/>
  <c r="I716" i="21" a="1"/>
  <c r="I716" i="21" s="1"/>
  <c r="K716" i="21"/>
  <c r="G716" i="21"/>
  <c r="H716" i="21" s="1"/>
  <c r="P716" i="21" s="1"/>
  <c r="I732" i="21" a="1"/>
  <c r="I732" i="21" s="1"/>
  <c r="K732" i="21"/>
  <c r="G732" i="21"/>
  <c r="H732" i="21" s="1"/>
  <c r="P732" i="21" s="1"/>
  <c r="I749" i="21" a="1"/>
  <c r="I749" i="21" s="1"/>
  <c r="K749" i="21"/>
  <c r="G749" i="21"/>
  <c r="H749" i="21" s="1"/>
  <c r="P749" i="21" s="1"/>
  <c r="I765" i="21" a="1"/>
  <c r="I765" i="21" s="1"/>
  <c r="K765" i="21"/>
  <c r="G765" i="21"/>
  <c r="H765" i="21" s="1"/>
  <c r="P765" i="21" s="1"/>
  <c r="I781" i="21" a="1"/>
  <c r="I781" i="21" s="1"/>
  <c r="K781" i="21"/>
  <c r="G781" i="21"/>
  <c r="H781" i="21" s="1"/>
  <c r="P781" i="21" s="1"/>
  <c r="I744" i="21" a="1"/>
  <c r="I744" i="21" s="1"/>
  <c r="K744" i="21"/>
  <c r="G744" i="21"/>
  <c r="H744" i="21" s="1"/>
  <c r="P744" i="21" s="1"/>
  <c r="I760" i="21" a="1"/>
  <c r="I760" i="21" s="1"/>
  <c r="K760" i="21"/>
  <c r="G760" i="21"/>
  <c r="H760" i="21" s="1"/>
  <c r="P760" i="21" s="1"/>
  <c r="I776" i="21" a="1"/>
  <c r="I776" i="21" s="1"/>
  <c r="K776" i="21"/>
  <c r="G776" i="21"/>
  <c r="H776" i="21" s="1"/>
  <c r="P776" i="21" s="1"/>
  <c r="I297" i="21" a="1"/>
  <c r="I297" i="21" s="1"/>
  <c r="K297" i="21"/>
  <c r="G297" i="21"/>
  <c r="H297" i="21" s="1"/>
  <c r="P297" i="21" s="1"/>
  <c r="I313" i="21" a="1"/>
  <c r="I313" i="21" s="1"/>
  <c r="K313" i="21"/>
  <c r="G313" i="21"/>
  <c r="H313" i="21" s="1"/>
  <c r="P313" i="21" s="1"/>
  <c r="I329" i="21" a="1"/>
  <c r="I329" i="21" s="1"/>
  <c r="K329" i="21"/>
  <c r="G329" i="21"/>
  <c r="H329" i="21" s="1"/>
  <c r="P329" i="21" s="1"/>
  <c r="I345" i="21" a="1"/>
  <c r="I345" i="21" s="1"/>
  <c r="K345" i="21"/>
  <c r="G345" i="21"/>
  <c r="H345" i="21" s="1"/>
  <c r="P345" i="21" s="1"/>
  <c r="I361" i="21" a="1"/>
  <c r="I361" i="21" s="1"/>
  <c r="K361" i="21"/>
  <c r="G361" i="21"/>
  <c r="H361" i="21" s="1"/>
  <c r="P361" i="21" s="1"/>
  <c r="I377" i="21" a="1"/>
  <c r="I377" i="21" s="1"/>
  <c r="K377" i="21"/>
  <c r="G377" i="21"/>
  <c r="H377" i="21" s="1"/>
  <c r="P377" i="21" s="1"/>
  <c r="I393" i="21" a="1"/>
  <c r="I393" i="21" s="1"/>
  <c r="K393" i="21"/>
  <c r="G393" i="21"/>
  <c r="H393" i="21" s="1"/>
  <c r="P393" i="21" s="1"/>
  <c r="I686" i="21" a="1"/>
  <c r="I686" i="21" s="1"/>
  <c r="K686" i="21"/>
  <c r="G686" i="21"/>
  <c r="H686" i="21" s="1"/>
  <c r="P686" i="21" s="1"/>
  <c r="I702" i="21" a="1"/>
  <c r="I702" i="21" s="1"/>
  <c r="K702" i="21"/>
  <c r="G702" i="21"/>
  <c r="H702" i="21" s="1"/>
  <c r="P702" i="21" s="1"/>
  <c r="I718" i="21" a="1"/>
  <c r="I718" i="21" s="1"/>
  <c r="K718" i="21"/>
  <c r="G718" i="21"/>
  <c r="H718" i="21" s="1"/>
  <c r="P718" i="21" s="1"/>
  <c r="I294" i="21" a="1"/>
  <c r="I294" i="21" s="1"/>
  <c r="K294" i="21"/>
  <c r="G294" i="21"/>
  <c r="H294" i="21" s="1"/>
  <c r="P294" i="21" s="1"/>
  <c r="I310" i="21" a="1"/>
  <c r="I310" i="21" s="1"/>
  <c r="K310" i="21"/>
  <c r="G310" i="21"/>
  <c r="H310" i="21" s="1"/>
  <c r="P310" i="21" s="1"/>
  <c r="I326" i="21" a="1"/>
  <c r="I326" i="21" s="1"/>
  <c r="K326" i="21"/>
  <c r="G326" i="21"/>
  <c r="H326" i="21" s="1"/>
  <c r="P326" i="21" s="1"/>
  <c r="I342" i="21" a="1"/>
  <c r="I342" i="21" s="1"/>
  <c r="K342" i="21"/>
  <c r="G342" i="21"/>
  <c r="H342" i="21" s="1"/>
  <c r="P342" i="21" s="1"/>
  <c r="I358" i="21" a="1"/>
  <c r="I358" i="21" s="1"/>
  <c r="K358" i="21"/>
  <c r="G358" i="21"/>
  <c r="H358" i="21" s="1"/>
  <c r="P358" i="21" s="1"/>
  <c r="I374" i="21" a="1"/>
  <c r="I374" i="21" s="1"/>
  <c r="K374" i="21"/>
  <c r="G374" i="21"/>
  <c r="H374" i="21" s="1"/>
  <c r="P374" i="21" s="1"/>
  <c r="I390" i="21" a="1"/>
  <c r="I390" i="21" s="1"/>
  <c r="K390" i="21"/>
  <c r="G390" i="21"/>
  <c r="H390" i="21" s="1"/>
  <c r="I683" i="21" a="1"/>
  <c r="I683" i="21" s="1"/>
  <c r="K683" i="21"/>
  <c r="G683" i="21"/>
  <c r="H683" i="21" s="1"/>
  <c r="I699" i="21" a="1"/>
  <c r="I699" i="21" s="1"/>
  <c r="K699" i="21"/>
  <c r="G699" i="21"/>
  <c r="H699" i="21" s="1"/>
  <c r="P699" i="21" s="1"/>
  <c r="I715" i="21" a="1"/>
  <c r="I715" i="21" s="1"/>
  <c r="K715" i="21"/>
  <c r="G715" i="21"/>
  <c r="H715" i="21" s="1"/>
  <c r="P715" i="21" s="1"/>
  <c r="I731" i="21" a="1"/>
  <c r="I731" i="21" s="1"/>
  <c r="K731" i="21"/>
  <c r="G731" i="21"/>
  <c r="H731" i="21" s="1"/>
  <c r="P731" i="21" s="1"/>
  <c r="I746" i="21" a="1"/>
  <c r="I746" i="21" s="1"/>
  <c r="K746" i="21"/>
  <c r="G746" i="21"/>
  <c r="H746" i="21" s="1"/>
  <c r="P746" i="21" s="1"/>
  <c r="I762" i="21" a="1"/>
  <c r="I762" i="21" s="1"/>
  <c r="K762" i="21"/>
  <c r="G762" i="21"/>
  <c r="H762" i="21" s="1"/>
  <c r="P762" i="21" s="1"/>
  <c r="I778" i="21" a="1"/>
  <c r="I778" i="21" s="1"/>
  <c r="K778" i="21"/>
  <c r="G778" i="21"/>
  <c r="H778" i="21" s="1"/>
  <c r="P778" i="21" s="1"/>
  <c r="I743" i="21" a="1"/>
  <c r="I743" i="21" s="1"/>
  <c r="K743" i="21"/>
  <c r="G743" i="21"/>
  <c r="H743" i="21" s="1"/>
  <c r="P743" i="21" s="1"/>
  <c r="I759" i="21" a="1"/>
  <c r="I759" i="21" s="1"/>
  <c r="K759" i="21"/>
  <c r="G759" i="21"/>
  <c r="H759" i="21" s="1"/>
  <c r="P759" i="21" s="1"/>
  <c r="I775" i="21" a="1"/>
  <c r="I775" i="21" s="1"/>
  <c r="K775" i="21"/>
  <c r="G775" i="21"/>
  <c r="H775" i="21" s="1"/>
  <c r="P775" i="21" s="1"/>
  <c r="H9" i="21"/>
  <c r="P9" i="21" s="1"/>
  <c r="H11" i="21"/>
  <c r="P11" i="21" s="1"/>
  <c r="H12" i="21"/>
  <c r="P12" i="21" s="1"/>
  <c r="C24" i="5"/>
  <c r="N6" i="13"/>
  <c r="N4" i="5"/>
  <c r="N24" i="5" s="1"/>
  <c r="D1101" i="21" a="1"/>
  <c r="D1101" i="21" s="1"/>
  <c r="H282" i="21" a="1"/>
  <c r="H282" i="21" s="1"/>
  <c r="K282" i="21" s="1" a="1"/>
  <c r="K282" i="21" s="1"/>
  <c r="P282" i="21" s="1"/>
  <c r="H278" i="21" a="1"/>
  <c r="H278" i="21" s="1"/>
  <c r="D1096" i="21" a="1"/>
  <c r="D1096" i="21" s="1"/>
  <c r="D1097" i="21" a="1"/>
  <c r="D1097" i="21" s="1"/>
  <c r="D1100" i="21" a="1"/>
  <c r="D1100" i="21" s="1"/>
  <c r="H280" i="21" a="1"/>
  <c r="H280" i="21" s="1"/>
  <c r="H281" i="21" a="1"/>
  <c r="H281" i="21" s="1"/>
  <c r="H277" i="21" a="1"/>
  <c r="H277" i="21" s="1"/>
  <c r="H279" i="21" a="1"/>
  <c r="H279" i="21" s="1"/>
  <c r="K279" i="21" s="1" a="1"/>
  <c r="K279" i="21" s="1"/>
  <c r="P279" i="21" s="1"/>
  <c r="P6" i="13"/>
  <c r="P4" i="5"/>
  <c r="P24" i="5" s="1"/>
  <c r="H28" i="21"/>
  <c r="P28" i="21" s="1"/>
  <c r="O6" i="13"/>
  <c r="O4" i="5"/>
  <c r="O24" i="5" s="1"/>
  <c r="H27" i="21"/>
  <c r="P27" i="21" s="1"/>
  <c r="F23" i="9"/>
  <c r="D23" i="9"/>
  <c r="F19" i="9"/>
  <c r="D19" i="9"/>
  <c r="F93" i="9"/>
  <c r="D93" i="9"/>
  <c r="D73" i="9"/>
  <c r="F73" i="9"/>
  <c r="F76" i="9"/>
  <c r="D76" i="9"/>
  <c r="D57" i="9"/>
  <c r="F57" i="9"/>
  <c r="D33" i="9"/>
  <c r="F33" i="9"/>
  <c r="D44" i="9"/>
  <c r="F44" i="9"/>
  <c r="D95" i="9"/>
  <c r="F95" i="9"/>
  <c r="F75" i="9"/>
  <c r="D75" i="9"/>
  <c r="D82" i="9"/>
  <c r="F82" i="9"/>
  <c r="D59" i="9"/>
  <c r="F59" i="9"/>
  <c r="D39" i="9"/>
  <c r="F39" i="9"/>
  <c r="D46" i="9"/>
  <c r="F46" i="9"/>
  <c r="D25" i="9"/>
  <c r="F25" i="9"/>
  <c r="D89" i="9"/>
  <c r="F89" i="9"/>
  <c r="D92" i="9"/>
  <c r="F92" i="9"/>
  <c r="D72" i="9"/>
  <c r="F53" i="9"/>
  <c r="D29" i="9"/>
  <c r="F29" i="9"/>
  <c r="D60" i="9"/>
  <c r="F60" i="9"/>
  <c r="D87" i="9"/>
  <c r="F87" i="9"/>
  <c r="D98" i="9"/>
  <c r="F98" i="9"/>
  <c r="F74" i="9"/>
  <c r="D74" i="9"/>
  <c r="F51" i="9"/>
  <c r="D51" i="9"/>
  <c r="F31" i="9"/>
  <c r="D31" i="9"/>
  <c r="D42" i="9"/>
  <c r="F42" i="9"/>
  <c r="D48" i="9"/>
  <c r="F48" i="9"/>
  <c r="F96" i="9"/>
  <c r="D96" i="9"/>
  <c r="F65" i="9"/>
  <c r="D65" i="9"/>
  <c r="D37" i="9"/>
  <c r="F37" i="9"/>
  <c r="D40" i="9"/>
  <c r="D91" i="9"/>
  <c r="F91" i="9"/>
  <c r="D78" i="9"/>
  <c r="F78" i="9"/>
  <c r="D43" i="9"/>
  <c r="F43" i="9"/>
  <c r="D66" i="9"/>
  <c r="F66" i="9"/>
  <c r="D50" i="9"/>
  <c r="F50" i="9"/>
  <c r="D30" i="9"/>
  <c r="F30" i="9"/>
  <c r="D34" i="9"/>
  <c r="F34" i="9"/>
  <c r="F70" i="9"/>
  <c r="D70" i="9"/>
  <c r="H10" i="21"/>
  <c r="P10" i="21" s="1"/>
  <c r="I296" i="21" a="1"/>
  <c r="I296" i="21" s="1"/>
  <c r="K296" i="21"/>
  <c r="G296" i="21"/>
  <c r="H296" i="21" s="1"/>
  <c r="P296" i="21" s="1"/>
  <c r="I312" i="21" a="1"/>
  <c r="I312" i="21" s="1"/>
  <c r="K312" i="21"/>
  <c r="G312" i="21"/>
  <c r="H312" i="21" s="1"/>
  <c r="I328" i="21" a="1"/>
  <c r="I328" i="21" s="1"/>
  <c r="K328" i="21"/>
  <c r="G328" i="21"/>
  <c r="H328" i="21" s="1"/>
  <c r="P328" i="21" s="1"/>
  <c r="I344" i="21" a="1"/>
  <c r="I344" i="21" s="1"/>
  <c r="K344" i="21"/>
  <c r="G344" i="21"/>
  <c r="H344" i="21" s="1"/>
  <c r="P344" i="21" s="1"/>
  <c r="I360" i="21" a="1"/>
  <c r="I360" i="21" s="1"/>
  <c r="K360" i="21"/>
  <c r="G360" i="21"/>
  <c r="H360" i="21" s="1"/>
  <c r="P360" i="21" s="1"/>
  <c r="I376" i="21" a="1"/>
  <c r="I376" i="21" s="1"/>
  <c r="K376" i="21"/>
  <c r="G376" i="21"/>
  <c r="H376" i="21" s="1"/>
  <c r="P376" i="21" s="1"/>
  <c r="I392" i="21" a="1"/>
  <c r="I392" i="21" s="1"/>
  <c r="K392" i="21"/>
  <c r="G392" i="21"/>
  <c r="H392" i="21" s="1"/>
  <c r="P392" i="21" s="1"/>
  <c r="I685" i="21" a="1"/>
  <c r="I685" i="21" s="1"/>
  <c r="K685" i="21"/>
  <c r="G685" i="21"/>
  <c r="H685" i="21" s="1"/>
  <c r="P685" i="21" s="1"/>
  <c r="I701" i="21" a="1"/>
  <c r="I701" i="21" s="1"/>
  <c r="K701" i="21"/>
  <c r="G701" i="21"/>
  <c r="H701" i="21" s="1"/>
  <c r="P701" i="21" s="1"/>
  <c r="I717" i="21" a="1"/>
  <c r="I717" i="21" s="1"/>
  <c r="K717" i="21"/>
  <c r="G717" i="21"/>
  <c r="H717" i="21" s="1"/>
  <c r="P717" i="21" s="1"/>
  <c r="I733" i="21" a="1"/>
  <c r="I733" i="21" s="1"/>
  <c r="K733" i="21"/>
  <c r="G733" i="21"/>
  <c r="H733" i="21" s="1"/>
  <c r="P733" i="21" s="1"/>
  <c r="I307" i="21" a="1"/>
  <c r="I307" i="21" s="1"/>
  <c r="K307" i="21"/>
  <c r="G307" i="21"/>
  <c r="H307" i="21" s="1"/>
  <c r="P307" i="21" s="1"/>
  <c r="I323" i="21" a="1"/>
  <c r="I323" i="21" s="1"/>
  <c r="K323" i="21"/>
  <c r="G323" i="21"/>
  <c r="H323" i="21" s="1"/>
  <c r="P323" i="21" s="1"/>
  <c r="I339" i="21" a="1"/>
  <c r="I339" i="21" s="1"/>
  <c r="K339" i="21"/>
  <c r="G339" i="21"/>
  <c r="H339" i="21" s="1"/>
  <c r="I355" i="21" a="1"/>
  <c r="I355" i="21" s="1"/>
  <c r="K355" i="21"/>
  <c r="G355" i="21"/>
  <c r="H355" i="21" s="1"/>
  <c r="I371" i="21" a="1"/>
  <c r="I371" i="21" s="1"/>
  <c r="K371" i="21"/>
  <c r="G371" i="21"/>
  <c r="H371" i="21" s="1"/>
  <c r="P371" i="21" s="1"/>
  <c r="I387" i="21" a="1"/>
  <c r="I387" i="21" s="1"/>
  <c r="K387" i="21"/>
  <c r="G387" i="21"/>
  <c r="H387" i="21" s="1"/>
  <c r="P387" i="21" s="1"/>
  <c r="I680" i="21" a="1"/>
  <c r="I680" i="21" s="1"/>
  <c r="K680" i="21"/>
  <c r="G680" i="21"/>
  <c r="H680" i="21" s="1"/>
  <c r="P680" i="21" s="1"/>
  <c r="I696" i="21" a="1"/>
  <c r="I696" i="21" s="1"/>
  <c r="K696" i="21"/>
  <c r="G696" i="21"/>
  <c r="H696" i="21" s="1"/>
  <c r="P696" i="21" s="1"/>
  <c r="I712" i="21" a="1"/>
  <c r="I712" i="21" s="1"/>
  <c r="K712" i="21"/>
  <c r="G712" i="21"/>
  <c r="H712" i="21" s="1"/>
  <c r="P712" i="21" s="1"/>
  <c r="I728" i="21" a="1"/>
  <c r="I728" i="21" s="1"/>
  <c r="K728" i="21"/>
  <c r="G728" i="21"/>
  <c r="H728" i="21" s="1"/>
  <c r="P728" i="21" s="1"/>
  <c r="I745" i="21" a="1"/>
  <c r="I745" i="21" s="1"/>
  <c r="K745" i="21"/>
  <c r="G745" i="21"/>
  <c r="H745" i="21" s="1"/>
  <c r="P745" i="21" s="1"/>
  <c r="I761" i="21" a="1"/>
  <c r="I761" i="21" s="1"/>
  <c r="K761" i="21"/>
  <c r="G761" i="21"/>
  <c r="H761" i="21" s="1"/>
  <c r="P761" i="21" s="1"/>
  <c r="I777" i="21" a="1"/>
  <c r="I777" i="21" s="1"/>
  <c r="K777" i="21"/>
  <c r="G777" i="21"/>
  <c r="H777" i="21" s="1"/>
  <c r="P777" i="21" s="1"/>
  <c r="I740" i="21" a="1"/>
  <c r="I740" i="21" s="1"/>
  <c r="K740" i="21"/>
  <c r="G740" i="21"/>
  <c r="H740" i="21" s="1"/>
  <c r="P740" i="21" s="1"/>
  <c r="I756" i="21" a="1"/>
  <c r="I756" i="21" s="1"/>
  <c r="K756" i="21"/>
  <c r="G756" i="21"/>
  <c r="H756" i="21" s="1"/>
  <c r="P756" i="21" s="1"/>
  <c r="I772" i="21" a="1"/>
  <c r="I772" i="21" s="1"/>
  <c r="K772" i="21"/>
  <c r="G772" i="21"/>
  <c r="H772" i="21" s="1"/>
  <c r="P772" i="21" s="1"/>
  <c r="I293" i="21" a="1"/>
  <c r="I293" i="21" s="1"/>
  <c r="K293" i="21"/>
  <c r="G293" i="21"/>
  <c r="H293" i="21" s="1"/>
  <c r="P293" i="21" s="1"/>
  <c r="I309" i="21" a="1"/>
  <c r="I309" i="21" s="1"/>
  <c r="K309" i="21"/>
  <c r="G309" i="21"/>
  <c r="H309" i="21" s="1"/>
  <c r="I325" i="21" a="1"/>
  <c r="I325" i="21" s="1"/>
  <c r="K325" i="21"/>
  <c r="G325" i="21"/>
  <c r="H325" i="21" s="1"/>
  <c r="I341" i="21" a="1"/>
  <c r="I341" i="21" s="1"/>
  <c r="K341" i="21"/>
  <c r="G341" i="21"/>
  <c r="H341" i="21" s="1"/>
  <c r="I357" i="21" a="1"/>
  <c r="I357" i="21" s="1"/>
  <c r="K357" i="21"/>
  <c r="G357" i="21"/>
  <c r="H357" i="21" s="1"/>
  <c r="P357" i="21" s="1"/>
  <c r="I373" i="21" a="1"/>
  <c r="I373" i="21" s="1"/>
  <c r="K373" i="21"/>
  <c r="G373" i="21"/>
  <c r="H373" i="21" s="1"/>
  <c r="P373" i="21" s="1"/>
  <c r="I389" i="21" a="1"/>
  <c r="I389" i="21" s="1"/>
  <c r="K389" i="21"/>
  <c r="G389" i="21"/>
  <c r="H389" i="21" s="1"/>
  <c r="P389" i="21" s="1"/>
  <c r="I682" i="21" a="1"/>
  <c r="I682" i="21" s="1"/>
  <c r="K682" i="21"/>
  <c r="G682" i="21"/>
  <c r="H682" i="21" s="1"/>
  <c r="I698" i="21" a="1"/>
  <c r="I698" i="21" s="1"/>
  <c r="K698" i="21"/>
  <c r="G698" i="21"/>
  <c r="H698" i="21" s="1"/>
  <c r="P698" i="21" s="1"/>
  <c r="I714" i="21" a="1"/>
  <c r="I714" i="21" s="1"/>
  <c r="K714" i="21"/>
  <c r="G714" i="21"/>
  <c r="H714" i="21" s="1"/>
  <c r="P714" i="21" s="1"/>
  <c r="I730" i="21" a="1"/>
  <c r="I730" i="21" s="1"/>
  <c r="K730" i="21"/>
  <c r="G730" i="21"/>
  <c r="H730" i="21" s="1"/>
  <c r="P730" i="21" s="1"/>
  <c r="I306" i="21" a="1"/>
  <c r="I306" i="21" s="1"/>
  <c r="K306" i="21"/>
  <c r="G306" i="21"/>
  <c r="H306" i="21" s="1"/>
  <c r="P306" i="21" s="1"/>
  <c r="I322" i="21" a="1"/>
  <c r="I322" i="21" s="1"/>
  <c r="K322" i="21"/>
  <c r="G322" i="21"/>
  <c r="H322" i="21" s="1"/>
  <c r="P322" i="21" s="1"/>
  <c r="I338" i="21" a="1"/>
  <c r="I338" i="21" s="1"/>
  <c r="K338" i="21"/>
  <c r="G338" i="21"/>
  <c r="H338" i="21" s="1"/>
  <c r="I354" i="21" a="1"/>
  <c r="I354" i="21" s="1"/>
  <c r="K354" i="21"/>
  <c r="G354" i="21"/>
  <c r="H354" i="21" s="1"/>
  <c r="P354" i="21" s="1"/>
  <c r="I370" i="21" a="1"/>
  <c r="I370" i="21" s="1"/>
  <c r="K370" i="21"/>
  <c r="G370" i="21"/>
  <c r="H370" i="21" s="1"/>
  <c r="P370" i="21" s="1"/>
  <c r="I386" i="21" a="1"/>
  <c r="I386" i="21" s="1"/>
  <c r="K386" i="21"/>
  <c r="G386" i="21"/>
  <c r="H386" i="21" s="1"/>
  <c r="I679" i="21" a="1"/>
  <c r="I679" i="21" s="1"/>
  <c r="K679" i="21"/>
  <c r="G679" i="21"/>
  <c r="H679" i="21" s="1"/>
  <c r="P679" i="21" s="1"/>
  <c r="I695" i="21" a="1"/>
  <c r="I695" i="21" s="1"/>
  <c r="K695" i="21"/>
  <c r="G695" i="21"/>
  <c r="H695" i="21" s="1"/>
  <c r="P695" i="21" s="1"/>
  <c r="I711" i="21" a="1"/>
  <c r="I711" i="21" s="1"/>
  <c r="K711" i="21"/>
  <c r="G711" i="21"/>
  <c r="H711" i="21" s="1"/>
  <c r="P711" i="21" s="1"/>
  <c r="I727" i="21" a="1"/>
  <c r="I727" i="21" s="1"/>
  <c r="K727" i="21"/>
  <c r="G727" i="21"/>
  <c r="H727" i="21" s="1"/>
  <c r="P727" i="21" s="1"/>
  <c r="I742" i="21" a="1"/>
  <c r="I742" i="21" s="1"/>
  <c r="K742" i="21"/>
  <c r="G742" i="21"/>
  <c r="H742" i="21" s="1"/>
  <c r="P742" i="21" s="1"/>
  <c r="I758" i="21" a="1"/>
  <c r="I758" i="21" s="1"/>
  <c r="K758" i="21"/>
  <c r="G758" i="21"/>
  <c r="H758" i="21" s="1"/>
  <c r="P758" i="21" s="1"/>
  <c r="I774" i="21" a="1"/>
  <c r="I774" i="21" s="1"/>
  <c r="G774" i="21"/>
  <c r="K774" i="21"/>
  <c r="I739" i="21" a="1"/>
  <c r="I739" i="21" s="1"/>
  <c r="K739" i="21"/>
  <c r="G739" i="21"/>
  <c r="H739" i="21" s="1"/>
  <c r="P739" i="21" s="1"/>
  <c r="I755" i="21" a="1"/>
  <c r="I755" i="21" s="1"/>
  <c r="K755" i="21"/>
  <c r="G755" i="21"/>
  <c r="H755" i="21" s="1"/>
  <c r="P755" i="21" s="1"/>
  <c r="I771" i="21" a="1"/>
  <c r="I771" i="21" s="1"/>
  <c r="K771" i="21"/>
  <c r="G771" i="21"/>
  <c r="H771" i="21" s="1"/>
  <c r="P771" i="21" s="1"/>
  <c r="I308" i="21" a="1"/>
  <c r="I308" i="21" s="1"/>
  <c r="K308" i="21"/>
  <c r="G308" i="21"/>
  <c r="H308" i="21" s="1"/>
  <c r="P308" i="21" s="1"/>
  <c r="I324" i="21" a="1"/>
  <c r="I324" i="21" s="1"/>
  <c r="K324" i="21"/>
  <c r="G324" i="21"/>
  <c r="H324" i="21" s="1"/>
  <c r="P324" i="21" s="1"/>
  <c r="I340" i="21" a="1"/>
  <c r="I340" i="21" s="1"/>
  <c r="K340" i="21"/>
  <c r="G340" i="21"/>
  <c r="H340" i="21" s="1"/>
  <c r="P340" i="21" s="1"/>
  <c r="I356" i="21" a="1"/>
  <c r="I356" i="21" s="1"/>
  <c r="K356" i="21"/>
  <c r="G356" i="21"/>
  <c r="H356" i="21" s="1"/>
  <c r="P356" i="21" s="1"/>
  <c r="I372" i="21" a="1"/>
  <c r="I372" i="21" s="1"/>
  <c r="K372" i="21"/>
  <c r="G372" i="21"/>
  <c r="H372" i="21" s="1"/>
  <c r="P372" i="21" s="1"/>
  <c r="I388" i="21" a="1"/>
  <c r="I388" i="21" s="1"/>
  <c r="K388" i="21"/>
  <c r="G388" i="21"/>
  <c r="H388" i="21" s="1"/>
  <c r="P388" i="21" s="1"/>
  <c r="I681" i="21" a="1"/>
  <c r="I681" i="21" s="1"/>
  <c r="K681" i="21"/>
  <c r="G681" i="21"/>
  <c r="H681" i="21" s="1"/>
  <c r="P681" i="21" s="1"/>
  <c r="I697" i="21" a="1"/>
  <c r="I697" i="21" s="1"/>
  <c r="K697" i="21"/>
  <c r="G697" i="21"/>
  <c r="H697" i="21" s="1"/>
  <c r="P697" i="21" s="1"/>
  <c r="I713" i="21" a="1"/>
  <c r="I713" i="21" s="1"/>
  <c r="K713" i="21"/>
  <c r="G713" i="21"/>
  <c r="H713" i="21" s="1"/>
  <c r="P713" i="21" s="1"/>
  <c r="I729" i="21" a="1"/>
  <c r="I729" i="21" s="1"/>
  <c r="K729" i="21"/>
  <c r="G729" i="21"/>
  <c r="H729" i="21" s="1"/>
  <c r="P729" i="21" s="1"/>
  <c r="I303" i="21" a="1"/>
  <c r="I303" i="21" s="1"/>
  <c r="K303" i="21"/>
  <c r="G303" i="21"/>
  <c r="H303" i="21" s="1"/>
  <c r="P303" i="21" s="1"/>
  <c r="I319" i="21" a="1"/>
  <c r="I319" i="21" s="1"/>
  <c r="K319" i="21"/>
  <c r="G319" i="21"/>
  <c r="H319" i="21" s="1"/>
  <c r="P319" i="21" s="1"/>
  <c r="I335" i="21" a="1"/>
  <c r="I335" i="21" s="1"/>
  <c r="K335" i="21"/>
  <c r="G335" i="21"/>
  <c r="H335" i="21" s="1"/>
  <c r="I351" i="21" a="1"/>
  <c r="I351" i="21" s="1"/>
  <c r="K351" i="21"/>
  <c r="G351" i="21"/>
  <c r="H351" i="21" s="1"/>
  <c r="P351" i="21" s="1"/>
  <c r="I367" i="21" a="1"/>
  <c r="I367" i="21" s="1"/>
  <c r="K367" i="21"/>
  <c r="G367" i="21"/>
  <c r="H367" i="21" s="1"/>
  <c r="P367" i="21" s="1"/>
  <c r="I383" i="21" a="1"/>
  <c r="I383" i="21" s="1"/>
  <c r="K383" i="21"/>
  <c r="G383" i="21"/>
  <c r="H383" i="21" s="1"/>
  <c r="I399" i="21" a="1"/>
  <c r="I399" i="21" s="1"/>
  <c r="K399" i="21"/>
  <c r="G399" i="21"/>
  <c r="H399" i="21" s="1"/>
  <c r="P399" i="21" s="1"/>
  <c r="I692" i="21" a="1"/>
  <c r="I692" i="21" s="1"/>
  <c r="K692" i="21"/>
  <c r="G692" i="21"/>
  <c r="H692" i="21" s="1"/>
  <c r="I708" i="21" a="1"/>
  <c r="I708" i="21" s="1"/>
  <c r="K708" i="21"/>
  <c r="G708" i="21"/>
  <c r="H708" i="21" s="1"/>
  <c r="P708" i="21" s="1"/>
  <c r="I724" i="21" a="1"/>
  <c r="I724" i="21" s="1"/>
  <c r="K724" i="21"/>
  <c r="G724" i="21"/>
  <c r="H724" i="21" s="1"/>
  <c r="P724" i="21" s="1"/>
  <c r="I741" i="21" a="1"/>
  <c r="I741" i="21" s="1"/>
  <c r="K741" i="21"/>
  <c r="G741" i="21"/>
  <c r="H741" i="21" s="1"/>
  <c r="P741" i="21" s="1"/>
  <c r="I757" i="21" a="1"/>
  <c r="I757" i="21" s="1"/>
  <c r="K757" i="21"/>
  <c r="G757" i="21"/>
  <c r="H757" i="21" s="1"/>
  <c r="P757" i="21" s="1"/>
  <c r="I773" i="21" a="1"/>
  <c r="I773" i="21" s="1"/>
  <c r="K773" i="21"/>
  <c r="G773" i="21"/>
  <c r="H773" i="21" s="1"/>
  <c r="P773" i="21" s="1"/>
  <c r="I736" i="21" a="1"/>
  <c r="I736" i="21" s="1"/>
  <c r="K736" i="21"/>
  <c r="G736" i="21"/>
  <c r="H736" i="21" s="1"/>
  <c r="P736" i="21" s="1"/>
  <c r="I752" i="21" a="1"/>
  <c r="I752" i="21" s="1"/>
  <c r="K752" i="21"/>
  <c r="G752" i="21"/>
  <c r="H752" i="21" s="1"/>
  <c r="P752" i="21" s="1"/>
  <c r="I768" i="21" a="1"/>
  <c r="I768" i="21" s="1"/>
  <c r="K768" i="21"/>
  <c r="G768" i="21"/>
  <c r="H768" i="21" s="1"/>
  <c r="P768" i="21" s="1"/>
  <c r="I784" i="21" a="1"/>
  <c r="I784" i="21" s="1"/>
  <c r="G784" i="21"/>
  <c r="K784" i="21"/>
  <c r="I305" i="21" a="1"/>
  <c r="I305" i="21" s="1"/>
  <c r="K305" i="21"/>
  <c r="G305" i="21"/>
  <c r="H305" i="21" s="1"/>
  <c r="P305" i="21" s="1"/>
  <c r="I321" i="21" a="1"/>
  <c r="I321" i="21" s="1"/>
  <c r="K321" i="21"/>
  <c r="G321" i="21"/>
  <c r="H321" i="21" s="1"/>
  <c r="P321" i="21" s="1"/>
  <c r="I337" i="21" a="1"/>
  <c r="I337" i="21" s="1"/>
  <c r="K337" i="21"/>
  <c r="G337" i="21"/>
  <c r="H337" i="21" s="1"/>
  <c r="P337" i="21" s="1"/>
  <c r="I353" i="21" a="1"/>
  <c r="I353" i="21" s="1"/>
  <c r="K353" i="21"/>
  <c r="G353" i="21"/>
  <c r="H353" i="21" s="1"/>
  <c r="P353" i="21" s="1"/>
  <c r="I369" i="21" a="1"/>
  <c r="I369" i="21" s="1"/>
  <c r="K369" i="21"/>
  <c r="G369" i="21"/>
  <c r="H369" i="21" s="1"/>
  <c r="P369" i="21" s="1"/>
  <c r="I385" i="21" a="1"/>
  <c r="I385" i="21" s="1"/>
  <c r="K385" i="21"/>
  <c r="G385" i="21"/>
  <c r="H385" i="21" s="1"/>
  <c r="P385" i="21" s="1"/>
  <c r="I678" i="21" a="1"/>
  <c r="I678" i="21" s="1"/>
  <c r="K678" i="21"/>
  <c r="G678" i="21"/>
  <c r="H678" i="21" s="1"/>
  <c r="P678" i="21" s="1"/>
  <c r="I694" i="21" a="1"/>
  <c r="I694" i="21" s="1"/>
  <c r="K694" i="21"/>
  <c r="G694" i="21"/>
  <c r="H694" i="21" s="1"/>
  <c r="P694" i="21" s="1"/>
  <c r="I710" i="21" a="1"/>
  <c r="I710" i="21" s="1"/>
  <c r="K710" i="21"/>
  <c r="G710" i="21"/>
  <c r="H710" i="21" s="1"/>
  <c r="P710" i="21" s="1"/>
  <c r="I726" i="21" a="1"/>
  <c r="I726" i="21" s="1"/>
  <c r="K726" i="21"/>
  <c r="G726" i="21"/>
  <c r="H726" i="21" s="1"/>
  <c r="P726" i="21" s="1"/>
  <c r="I302" i="21" a="1"/>
  <c r="I302" i="21" s="1"/>
  <c r="K302" i="21"/>
  <c r="G302" i="21"/>
  <c r="H302" i="21" s="1"/>
  <c r="I318" i="21" a="1"/>
  <c r="I318" i="21" s="1"/>
  <c r="K318" i="21"/>
  <c r="G318" i="21"/>
  <c r="H318" i="21" s="1"/>
  <c r="P318" i="21" s="1"/>
  <c r="I334" i="21" a="1"/>
  <c r="I334" i="21" s="1"/>
  <c r="K334" i="21"/>
  <c r="G334" i="21"/>
  <c r="H334" i="21" s="1"/>
  <c r="I350" i="21" a="1"/>
  <c r="I350" i="21" s="1"/>
  <c r="K350" i="21"/>
  <c r="G350" i="21"/>
  <c r="H350" i="21" s="1"/>
  <c r="P350" i="21" s="1"/>
  <c r="I366" i="21" a="1"/>
  <c r="I366" i="21" s="1"/>
  <c r="K366" i="21"/>
  <c r="G366" i="21"/>
  <c r="H366" i="21" s="1"/>
  <c r="P366" i="21" s="1"/>
  <c r="I382" i="21" a="1"/>
  <c r="I382" i="21" s="1"/>
  <c r="K382" i="21"/>
  <c r="G382" i="21"/>
  <c r="H382" i="21" s="1"/>
  <c r="I398" i="21" a="1"/>
  <c r="I398" i="21" s="1"/>
  <c r="K398" i="21"/>
  <c r="G398" i="21"/>
  <c r="H398" i="21" s="1"/>
  <c r="P398" i="21" s="1"/>
  <c r="I691" i="21" a="1"/>
  <c r="I691" i="21" s="1"/>
  <c r="K691" i="21"/>
  <c r="G691" i="21"/>
  <c r="H691" i="21" s="1"/>
  <c r="P691" i="21" s="1"/>
  <c r="I707" i="21" a="1"/>
  <c r="I707" i="21" s="1"/>
  <c r="K707" i="21"/>
  <c r="G707" i="21"/>
  <c r="H707" i="21" s="1"/>
  <c r="P707" i="21" s="1"/>
  <c r="I723" i="21" a="1"/>
  <c r="I723" i="21" s="1"/>
  <c r="K723" i="21"/>
  <c r="G723" i="21"/>
  <c r="H723" i="21" s="1"/>
  <c r="P723" i="21" s="1"/>
  <c r="I738" i="21" a="1"/>
  <c r="I738" i="21" s="1"/>
  <c r="K738" i="21"/>
  <c r="G738" i="21"/>
  <c r="H738" i="21" s="1"/>
  <c r="P738" i="21" s="1"/>
  <c r="I754" i="21" a="1"/>
  <c r="I754" i="21" s="1"/>
  <c r="K754" i="21"/>
  <c r="G754" i="21"/>
  <c r="H754" i="21" s="1"/>
  <c r="P754" i="21" s="1"/>
  <c r="I770" i="21" a="1"/>
  <c r="I770" i="21" s="1"/>
  <c r="K770" i="21"/>
  <c r="G770" i="21"/>
  <c r="H770" i="21" s="1"/>
  <c r="P770" i="21" s="1"/>
  <c r="I735" i="21" a="1"/>
  <c r="I735" i="21" s="1"/>
  <c r="K735" i="21"/>
  <c r="G735" i="21"/>
  <c r="I751" i="21" a="1"/>
  <c r="I751" i="21" s="1"/>
  <c r="K751" i="21"/>
  <c r="G751" i="21"/>
  <c r="H751" i="21" s="1"/>
  <c r="P751" i="21" s="1"/>
  <c r="I767" i="21" a="1"/>
  <c r="I767" i="21" s="1"/>
  <c r="K767" i="21"/>
  <c r="G767" i="21"/>
  <c r="I783" i="21" a="1"/>
  <c r="I783" i="21" s="1"/>
  <c r="G783" i="21"/>
  <c r="K783" i="21"/>
  <c r="H22" i="21"/>
  <c r="P22" i="21" s="1"/>
  <c r="H15" i="21"/>
  <c r="P15" i="21" s="1"/>
  <c r="H14" i="21"/>
  <c r="P14" i="21" s="1"/>
  <c r="H16" i="21"/>
  <c r="P16" i="21" s="1"/>
  <c r="H17" i="21"/>
  <c r="P17" i="21" s="1"/>
  <c r="H767" i="21" l="1"/>
  <c r="P767" i="21" s="1"/>
  <c r="H735" i="21"/>
  <c r="P735" i="21" s="1"/>
  <c r="I1077" i="21"/>
  <c r="K1077" i="21"/>
  <c r="J1077" i="21"/>
  <c r="K1060" i="21" a="1"/>
  <c r="K1060" i="21" s="1"/>
  <c r="I1060" i="21" a="1"/>
  <c r="I1060" i="21" s="1"/>
  <c r="J1060" i="21" a="1"/>
  <c r="J1060" i="21" s="1"/>
  <c r="J1056" i="21"/>
  <c r="I1056" i="21"/>
  <c r="K1056" i="21"/>
  <c r="I1066" i="21"/>
  <c r="J1066" i="21"/>
  <c r="K1066" i="21"/>
  <c r="H1096" i="21" a="1"/>
  <c r="H1096" i="21" s="1"/>
  <c r="L1096" i="21" s="1" a="1"/>
  <c r="L1096" i="21" s="1"/>
  <c r="I1057" i="21"/>
  <c r="K1057" i="21"/>
  <c r="J1057" i="21"/>
  <c r="I1059" i="21" a="1"/>
  <c r="I1059" i="21" s="1"/>
  <c r="J1059" i="21" a="1"/>
  <c r="J1059" i="21" s="1"/>
  <c r="K1059" i="21" a="1"/>
  <c r="K1059" i="21" s="1"/>
  <c r="I1058" i="21" a="1"/>
  <c r="I1058" i="21" s="1"/>
  <c r="J1058" i="21" a="1"/>
  <c r="J1058" i="21" s="1"/>
  <c r="K1058" i="21" a="1"/>
  <c r="K1058" i="21" s="1"/>
  <c r="I1061" i="21" a="1"/>
  <c r="I1061" i="21" s="1"/>
  <c r="J1061" i="21" a="1"/>
  <c r="J1061" i="21" s="1"/>
  <c r="K1061" i="21" a="1"/>
  <c r="K1061" i="21" s="1"/>
  <c r="P682" i="21"/>
  <c r="P382" i="21"/>
  <c r="P338" i="21"/>
  <c r="P355" i="21"/>
  <c r="P375" i="21"/>
  <c r="P683" i="21"/>
  <c r="P364" i="21"/>
  <c r="P692" i="21"/>
  <c r="P383" i="21"/>
  <c r="P390" i="21"/>
  <c r="P391" i="21"/>
  <c r="P397" i="21"/>
  <c r="P384" i="21"/>
  <c r="AD7" i="13"/>
  <c r="P386" i="21"/>
  <c r="P325" i="21"/>
  <c r="P339" i="21"/>
  <c r="P312" i="21"/>
  <c r="H7" i="21" a="1"/>
  <c r="H1103" i="21" a="1"/>
  <c r="AD9" i="13"/>
  <c r="P335" i="21"/>
  <c r="AD8" i="13"/>
  <c r="P334" i="21"/>
  <c r="P302" i="21"/>
  <c r="P300" i="21"/>
  <c r="H783" i="21"/>
  <c r="P783" i="21" s="1"/>
  <c r="H774" i="21"/>
  <c r="P774" i="21" s="1"/>
  <c r="AD6" i="13"/>
  <c r="H784" i="21"/>
  <c r="P784" i="21" s="1"/>
  <c r="P341" i="21"/>
  <c r="P309" i="21"/>
  <c r="H20" i="21"/>
  <c r="P20" i="21" s="1"/>
  <c r="K277" i="21" a="1"/>
  <c r="K277" i="21" s="1"/>
  <c r="P277" i="21"/>
  <c r="K280" i="21" a="1"/>
  <c r="K280" i="21" s="1"/>
  <c r="P280" i="21"/>
  <c r="H19" i="21"/>
  <c r="P19" i="21" s="1"/>
  <c r="H2" i="21"/>
  <c r="H785" i="21"/>
  <c r="P785" i="21" s="1"/>
  <c r="H18" i="21"/>
  <c r="P18" i="21" s="1"/>
  <c r="H21" i="21"/>
  <c r="P21" i="21" s="1"/>
  <c r="K281" i="21" a="1"/>
  <c r="K281" i="21" s="1"/>
  <c r="P281" i="21"/>
  <c r="K278" i="21" a="1"/>
  <c r="K278" i="21" s="1"/>
  <c r="P278" i="21"/>
  <c r="H450" i="21"/>
  <c r="H834" i="21"/>
  <c r="H449" i="21"/>
  <c r="H835" i="21"/>
  <c r="AD4" i="5"/>
  <c r="H381" i="21"/>
  <c r="P381" i="21" s="1"/>
  <c r="L1058" i="21" l="1"/>
  <c r="H1100" i="21" a="1"/>
  <c r="H1100" i="21" s="1"/>
  <c r="L1100" i="21" s="1" a="1"/>
  <c r="L1100" i="21" s="1"/>
  <c r="L1060" i="21"/>
  <c r="L1061" i="21"/>
  <c r="L1059" i="21"/>
  <c r="L1057" i="21"/>
  <c r="H428" i="21"/>
  <c r="G667" i="21" a="1"/>
  <c r="G667" i="21" s="1"/>
  <c r="H667" i="21" s="1" a="1"/>
  <c r="H667" i="21" s="1"/>
  <c r="K667" i="21" s="1" a="1"/>
  <c r="K667" i="21" s="1"/>
  <c r="P667" i="21" s="1"/>
  <c r="G651" i="21" a="1"/>
  <c r="G651" i="21" s="1"/>
  <c r="H651" i="21" s="1" a="1"/>
  <c r="H651" i="21" s="1"/>
  <c r="K651" i="21" s="1" a="1"/>
  <c r="K651" i="21" s="1"/>
  <c r="P651" i="21" s="1"/>
  <c r="G1046" i="21" a="1"/>
  <c r="G1046" i="21" s="1"/>
  <c r="H1046" i="21" s="1" a="1"/>
  <c r="H1046" i="21" s="1"/>
  <c r="G1030" i="21" a="1"/>
  <c r="G1030" i="21" s="1"/>
  <c r="H1030" i="21" s="1" a="1"/>
  <c r="H1030" i="21" s="1"/>
  <c r="H263" i="21" a="1"/>
  <c r="H263" i="21" s="1"/>
  <c r="K263" i="21" s="1" a="1"/>
  <c r="K263" i="21" s="1"/>
  <c r="P263" i="21" s="1"/>
  <c r="H264" i="21" a="1"/>
  <c r="H264" i="21" s="1"/>
  <c r="D1075" i="21" a="1"/>
  <c r="D1075" i="21" s="1"/>
  <c r="H1075" i="21" s="1" a="1"/>
  <c r="H1075" i="21" s="1"/>
  <c r="H266" i="21" a="1"/>
  <c r="H266" i="21" s="1"/>
  <c r="K266" i="21" s="1" a="1"/>
  <c r="K266" i="21" s="1"/>
  <c r="P266" i="21" s="1"/>
  <c r="G1045" i="21" a="1"/>
  <c r="G1045" i="21" s="1"/>
  <c r="H1045" i="21" s="1" a="1"/>
  <c r="H1045" i="21" s="1"/>
  <c r="K1045" i="21" s="1" a="1"/>
  <c r="K1045" i="21" s="1"/>
  <c r="P1045" i="21" s="1"/>
  <c r="G644" i="21" a="1"/>
  <c r="G644" i="21" s="1"/>
  <c r="H644" i="21" s="1" a="1"/>
  <c r="H644" i="21" s="1"/>
  <c r="K644" i="21" s="1" a="1"/>
  <c r="K644" i="21" s="1"/>
  <c r="P644" i="21" s="1"/>
  <c r="G668" i="21" a="1"/>
  <c r="G668" i="21" s="1"/>
  <c r="H668" i="21" s="1" a="1"/>
  <c r="H668" i="21" s="1"/>
  <c r="H1109" i="21"/>
  <c r="L1109" i="21" s="1"/>
  <c r="G415" i="21" a="1"/>
  <c r="G415" i="21" s="1"/>
  <c r="H415" i="21" s="1" a="1"/>
  <c r="H415" i="21" s="1"/>
  <c r="K415" i="21" s="1" a="1"/>
  <c r="K415" i="21" s="1"/>
  <c r="P415" i="21" s="1"/>
  <c r="G797" i="21" a="1"/>
  <c r="G797" i="21" s="1"/>
  <c r="H797" i="21" s="1" a="1"/>
  <c r="H797" i="21" s="1"/>
  <c r="K797" i="21" s="1" a="1"/>
  <c r="K797" i="21" s="1"/>
  <c r="P797" i="21" s="1"/>
  <c r="G422" i="21" a="1"/>
  <c r="G422" i="21" s="1"/>
  <c r="H422" i="21" s="1" a="1"/>
  <c r="H422" i="21" s="1"/>
  <c r="G405" i="21" a="1"/>
  <c r="G405" i="21" s="1"/>
  <c r="H405" i="21" s="1" a="1"/>
  <c r="H405" i="21" s="1"/>
  <c r="G803" i="21" a="1"/>
  <c r="G803" i="21" s="1"/>
  <c r="H803" i="21" s="1" a="1"/>
  <c r="H803" i="21" s="1"/>
  <c r="K803" i="21" s="1" a="1"/>
  <c r="K803" i="21" s="1"/>
  <c r="P803" i="21" s="1"/>
  <c r="G424" i="21" a="1"/>
  <c r="G424" i="21" s="1"/>
  <c r="H424" i="21" s="1" a="1"/>
  <c r="H424" i="21" s="1"/>
  <c r="G798" i="21" a="1"/>
  <c r="G798" i="21" s="1"/>
  <c r="H798" i="21" s="1" a="1"/>
  <c r="H798" i="21" s="1"/>
  <c r="K798" i="21" s="1" a="1"/>
  <c r="K798" i="21" s="1"/>
  <c r="P798" i="21" s="1"/>
  <c r="G419" i="21" a="1"/>
  <c r="G419" i="21" s="1"/>
  <c r="H419" i="21" s="1" a="1"/>
  <c r="H419" i="21" s="1"/>
  <c r="G808" i="21" a="1"/>
  <c r="G808" i="21" s="1"/>
  <c r="H808" i="21" s="1" a="1"/>
  <c r="H808" i="21" s="1"/>
  <c r="G417" i="21" a="1"/>
  <c r="G417" i="21" s="1"/>
  <c r="H417" i="21" s="1" a="1"/>
  <c r="H417" i="21" s="1"/>
  <c r="K417" i="21" s="1" a="1"/>
  <c r="K417" i="21" s="1"/>
  <c r="P417" i="21" s="1"/>
  <c r="G799" i="21" a="1"/>
  <c r="G799" i="21" s="1"/>
  <c r="H799" i="21" s="1" a="1"/>
  <c r="H799" i="21" s="1"/>
  <c r="G404" i="21" a="1"/>
  <c r="G404" i="21" s="1"/>
  <c r="H404" i="21" s="1" a="1"/>
  <c r="H404" i="21" s="1"/>
  <c r="K404" i="21" s="1" a="1"/>
  <c r="K404" i="21" s="1"/>
  <c r="P404" i="21" s="1"/>
  <c r="D1098" i="21" a="1"/>
  <c r="D1098" i="21" s="1"/>
  <c r="H1098" i="21" s="1" a="1"/>
  <c r="H1098" i="21" s="1"/>
  <c r="L1098" i="21" s="1" a="1"/>
  <c r="L1098" i="21" s="1"/>
  <c r="G662" i="21" a="1"/>
  <c r="G662" i="21" s="1"/>
  <c r="H662" i="21" s="1" a="1"/>
  <c r="H662" i="21" s="1"/>
  <c r="K662" i="21" s="1" a="1"/>
  <c r="K662" i="21" s="1"/>
  <c r="P662" i="21" s="1"/>
  <c r="G650" i="21" a="1"/>
  <c r="G650" i="21" s="1"/>
  <c r="H650" i="21" s="1" a="1"/>
  <c r="H650" i="21" s="1"/>
  <c r="G1055" i="21" a="1"/>
  <c r="G1055" i="21" s="1"/>
  <c r="H1055" i="21" s="1" a="1"/>
  <c r="H1055" i="21" s="1"/>
  <c r="G1039" i="21" a="1"/>
  <c r="G1039" i="21" s="1"/>
  <c r="H1039" i="21" s="1" a="1"/>
  <c r="H1039" i="21" s="1"/>
  <c r="H273" i="21" a="1"/>
  <c r="H273" i="21" s="1"/>
  <c r="H260" i="21" a="1"/>
  <c r="H260" i="21" s="1"/>
  <c r="K260" i="21" s="1" a="1"/>
  <c r="K260" i="21" s="1"/>
  <c r="P260" i="21" s="1"/>
  <c r="G1041" i="21" a="1"/>
  <c r="G1041" i="21" s="1"/>
  <c r="H1041" i="21" s="1" a="1"/>
  <c r="H1041" i="21" s="1"/>
  <c r="K1041" i="21" s="1" a="1"/>
  <c r="K1041" i="21" s="1"/>
  <c r="P1041" i="21" s="1"/>
  <c r="G663" i="21" a="1"/>
  <c r="G663" i="21" s="1"/>
  <c r="H663" i="21" s="1" a="1"/>
  <c r="H663" i="21" s="1"/>
  <c r="K663" i="21" s="1" a="1"/>
  <c r="K663" i="21" s="1"/>
  <c r="P663" i="21" s="1"/>
  <c r="G649" i="21" a="1"/>
  <c r="G649" i="21" s="1"/>
  <c r="H649" i="21" s="1" a="1"/>
  <c r="H649" i="21" s="1"/>
  <c r="K649" i="21" s="1" a="1"/>
  <c r="K649" i="21" s="1"/>
  <c r="P649" i="21" s="1"/>
  <c r="G1050" i="21" a="1"/>
  <c r="G1050" i="21" s="1"/>
  <c r="H1050" i="21" s="1" a="1"/>
  <c r="H1050" i="21" s="1"/>
  <c r="K1050" i="21" s="1" a="1"/>
  <c r="K1050" i="21" s="1"/>
  <c r="P1050" i="21" s="1"/>
  <c r="G1040" i="21" a="1"/>
  <c r="G1040" i="21" s="1"/>
  <c r="H1040" i="21" s="1" a="1"/>
  <c r="H1040" i="21" s="1"/>
  <c r="K1040" i="21" s="1" a="1"/>
  <c r="K1040" i="21" s="1"/>
  <c r="P1040" i="21" s="1"/>
  <c r="H261" i="21" a="1"/>
  <c r="H261" i="21" s="1"/>
  <c r="K261" i="21" s="1" a="1"/>
  <c r="K261" i="21" s="1"/>
  <c r="P261" i="21" s="1"/>
  <c r="D1062" i="21" a="1"/>
  <c r="D1062" i="21" s="1"/>
  <c r="H1062" i="21" s="1" a="1"/>
  <c r="H1062" i="21" s="1"/>
  <c r="H271" i="21" a="1"/>
  <c r="H271" i="21" s="1"/>
  <c r="D7" i="21" a="1"/>
  <c r="D7" i="21" s="1"/>
  <c r="H7" i="21" s="1"/>
  <c r="H1107" i="21"/>
  <c r="L1107" i="21" s="1"/>
  <c r="G1037" i="21" a="1"/>
  <c r="G1037" i="21" s="1"/>
  <c r="H1037" i="21" s="1" a="1"/>
  <c r="H1037" i="21" s="1"/>
  <c r="K1037" i="21" s="1" a="1"/>
  <c r="K1037" i="21" s="1"/>
  <c r="P1037" i="21" s="1"/>
  <c r="H1102" i="21"/>
  <c r="L1102" i="21" s="1"/>
  <c r="G789" i="21" a="1"/>
  <c r="G789" i="21" s="1"/>
  <c r="H789" i="21" s="1" a="1"/>
  <c r="H789" i="21" s="1"/>
  <c r="G414" i="21" a="1"/>
  <c r="G414" i="21" s="1"/>
  <c r="H414" i="21" s="1" a="1"/>
  <c r="H414" i="21" s="1"/>
  <c r="K414" i="21" s="1" a="1"/>
  <c r="K414" i="21" s="1"/>
  <c r="P414" i="21" s="1"/>
  <c r="G804" i="21" a="1"/>
  <c r="G804" i="21" s="1"/>
  <c r="H804" i="21" s="1" a="1"/>
  <c r="H804" i="21" s="1"/>
  <c r="G413" i="21" a="1"/>
  <c r="G413" i="21" s="1"/>
  <c r="H413" i="21" s="1" a="1"/>
  <c r="H413" i="21" s="1"/>
  <c r="G416" i="21" a="1"/>
  <c r="G416" i="21" s="1"/>
  <c r="H416" i="21" s="1" a="1"/>
  <c r="H416" i="21" s="1"/>
  <c r="H1105" i="21"/>
  <c r="L1105" i="21" s="1"/>
  <c r="G411" i="21" a="1"/>
  <c r="G411" i="21" s="1"/>
  <c r="H411" i="21" s="1" a="1"/>
  <c r="H411" i="21" s="1"/>
  <c r="G809" i="21" a="1"/>
  <c r="G809" i="21" s="1"/>
  <c r="H809" i="21" s="1" a="1"/>
  <c r="H809" i="21" s="1"/>
  <c r="G426" i="21" a="1"/>
  <c r="G426" i="21" s="1"/>
  <c r="H426" i="21" s="1" a="1"/>
  <c r="H426" i="21" s="1"/>
  <c r="G425" i="21" a="1"/>
  <c r="G425" i="21" s="1"/>
  <c r="H425" i="21" s="1" a="1"/>
  <c r="H425" i="21" s="1"/>
  <c r="G1051" i="21" a="1"/>
  <c r="G1051" i="21" s="1"/>
  <c r="H1051" i="21" s="1" a="1"/>
  <c r="H1051" i="21" s="1"/>
  <c r="K1051" i="21" s="1" a="1"/>
  <c r="K1051" i="21" s="1"/>
  <c r="P1051" i="21" s="1"/>
  <c r="D1082" i="21" a="1"/>
  <c r="D1082" i="21" s="1"/>
  <c r="H1082" i="21" s="1" a="1"/>
  <c r="H1082" i="21" s="1"/>
  <c r="H1106" i="21"/>
  <c r="L1106" i="21" s="1"/>
  <c r="G656" i="21" a="1"/>
  <c r="G656" i="21" s="1"/>
  <c r="H656" i="21" s="1" a="1"/>
  <c r="H656" i="21" s="1"/>
  <c r="K656" i="21" s="1" a="1"/>
  <c r="K656" i="21" s="1"/>
  <c r="P656" i="21" s="1"/>
  <c r="D1064" i="21" a="1"/>
  <c r="D1064" i="21" s="1"/>
  <c r="H1064" i="21" s="1" a="1"/>
  <c r="H1064" i="21" s="1"/>
  <c r="G665" i="21" a="1"/>
  <c r="G665" i="21" s="1"/>
  <c r="H665" i="21" s="1" a="1"/>
  <c r="H665" i="21" s="1"/>
  <c r="G657" i="21" a="1"/>
  <c r="G657" i="21" s="1"/>
  <c r="H657" i="21" s="1" a="1"/>
  <c r="H657" i="21" s="1"/>
  <c r="G1048" i="21" a="1"/>
  <c r="G1048" i="21" s="1"/>
  <c r="H1048" i="21" s="1" a="1"/>
  <c r="H1048" i="21" s="1"/>
  <c r="K1048" i="21" s="1" a="1"/>
  <c r="K1048" i="21" s="1"/>
  <c r="P1048" i="21" s="1"/>
  <c r="G1036" i="21" a="1"/>
  <c r="G1036" i="21" s="1"/>
  <c r="H1036" i="21" s="1" a="1"/>
  <c r="H1036" i="21" s="1"/>
  <c r="H6" i="21"/>
  <c r="H274" i="21" a="1"/>
  <c r="H274" i="21" s="1"/>
  <c r="H267" i="21" a="1"/>
  <c r="H267" i="21" s="1"/>
  <c r="K267" i="21" s="1" a="1"/>
  <c r="K267" i="21" s="1"/>
  <c r="P267" i="21" s="1"/>
  <c r="G1053" i="21" a="1"/>
  <c r="G1053" i="21" s="1"/>
  <c r="H1053" i="21" s="1" a="1"/>
  <c r="H1053" i="21" s="1"/>
  <c r="G812" i="21" a="1"/>
  <c r="G812" i="21" s="1"/>
  <c r="H812" i="21" s="1" a="1"/>
  <c r="H812" i="21" s="1"/>
  <c r="G811" i="21" a="1"/>
  <c r="G811" i="21" s="1"/>
  <c r="H811" i="21" s="1" a="1"/>
  <c r="H811" i="21" s="1"/>
  <c r="G801" i="21" a="1"/>
  <c r="G801" i="21" s="1"/>
  <c r="H801" i="21" s="1" a="1"/>
  <c r="H801" i="21" s="1"/>
  <c r="G418" i="21" a="1"/>
  <c r="G418" i="21" s="1"/>
  <c r="H418" i="21" s="1" a="1"/>
  <c r="H418" i="21" s="1"/>
  <c r="G409" i="21" a="1"/>
  <c r="G409" i="21" s="1"/>
  <c r="H409" i="21" s="1" a="1"/>
  <c r="H409" i="21" s="1"/>
  <c r="K409" i="21" s="1" a="1"/>
  <c r="K409" i="21" s="1"/>
  <c r="P409" i="21" s="1"/>
  <c r="G810" i="21" a="1"/>
  <c r="G810" i="21" s="1"/>
  <c r="H810" i="21" s="1" a="1"/>
  <c r="H810" i="21" s="1"/>
  <c r="G1043" i="21" a="1"/>
  <c r="G1043" i="21" s="1"/>
  <c r="H1043" i="21" s="1" a="1"/>
  <c r="H1043" i="21" s="1"/>
  <c r="K1043" i="21" s="1" a="1"/>
  <c r="K1043" i="21" s="1"/>
  <c r="P1043" i="21" s="1"/>
  <c r="H275" i="21" a="1"/>
  <c r="H275" i="21" s="1"/>
  <c r="H815" i="21"/>
  <c r="P815" i="21" s="1"/>
  <c r="H819" i="21"/>
  <c r="H823" i="21"/>
  <c r="P823" i="21" s="1"/>
  <c r="H827" i="21"/>
  <c r="H831" i="21"/>
  <c r="I831" i="21" s="1"/>
  <c r="H433" i="21"/>
  <c r="H437" i="21"/>
  <c r="J437" i="21" s="1" a="1"/>
  <c r="J437" i="21" s="1"/>
  <c r="H441" i="21"/>
  <c r="H445" i="21"/>
  <c r="I445" i="21" s="1"/>
  <c r="H814" i="21"/>
  <c r="H818" i="21"/>
  <c r="P818" i="21" s="1"/>
  <c r="H822" i="21"/>
  <c r="H826" i="21"/>
  <c r="P826" i="21" s="1"/>
  <c r="H830" i="21"/>
  <c r="H430" i="21"/>
  <c r="I430" i="21" s="1"/>
  <c r="H434" i="21"/>
  <c r="H438" i="21"/>
  <c r="I438" i="21" s="1"/>
  <c r="H442" i="21"/>
  <c r="G1054" i="21" a="1"/>
  <c r="G1054" i="21" s="1"/>
  <c r="H1054" i="21" s="1" a="1"/>
  <c r="H1054" i="21" s="1"/>
  <c r="G1038" i="21" a="1"/>
  <c r="G1038" i="21" s="1"/>
  <c r="H1038" i="21" s="1" a="1"/>
  <c r="H1038" i="21" s="1"/>
  <c r="D1063" i="21" a="1"/>
  <c r="D1063" i="21" s="1"/>
  <c r="H1063" i="21" s="1" a="1"/>
  <c r="H1063" i="21" s="1"/>
  <c r="D1072" i="21" a="1"/>
  <c r="D1072" i="21" s="1"/>
  <c r="H1072" i="21" s="1" a="1"/>
  <c r="H1072" i="21" s="1"/>
  <c r="D1074" i="21" a="1"/>
  <c r="D1074" i="21" s="1"/>
  <c r="H1074" i="21" s="1" a="1"/>
  <c r="H1074" i="21" s="1"/>
  <c r="G1029" i="21" a="1"/>
  <c r="G1029" i="21" s="1"/>
  <c r="H1029" i="21" s="1" a="1"/>
  <c r="H1029" i="21" s="1"/>
  <c r="G664" i="21" a="1"/>
  <c r="G664" i="21" s="1"/>
  <c r="H664" i="21" s="1" a="1"/>
  <c r="H664" i="21" s="1"/>
  <c r="G660" i="21" a="1"/>
  <c r="G660" i="21" s="1"/>
  <c r="H660" i="21" s="1" a="1"/>
  <c r="H660" i="21" s="1"/>
  <c r="K660" i="21" s="1" a="1"/>
  <c r="K660" i="21" s="1"/>
  <c r="P660" i="21" s="1"/>
  <c r="D1103" i="21" a="1"/>
  <c r="D1103" i="21" s="1"/>
  <c r="H1103" i="21" s="1"/>
  <c r="L1103" i="21" s="1"/>
  <c r="G407" i="21" a="1"/>
  <c r="G407" i="21" s="1"/>
  <c r="H407" i="21" s="1" a="1"/>
  <c r="H407" i="21" s="1"/>
  <c r="G423" i="21" a="1"/>
  <c r="G423" i="21" s="1"/>
  <c r="H423" i="21" s="1" a="1"/>
  <c r="H423" i="21" s="1"/>
  <c r="K423" i="21" s="1" a="1"/>
  <c r="K423" i="21" s="1"/>
  <c r="P423" i="21" s="1"/>
  <c r="G406" i="21" a="1"/>
  <c r="G406" i="21" s="1"/>
  <c r="H406" i="21" s="1" a="1"/>
  <c r="H406" i="21" s="1"/>
  <c r="G788" i="21" a="1"/>
  <c r="G788" i="21" s="1"/>
  <c r="H788" i="21" s="1" a="1"/>
  <c r="H788" i="21" s="1"/>
  <c r="G421" i="21" a="1"/>
  <c r="G421" i="21" s="1"/>
  <c r="H421" i="21" s="1" a="1"/>
  <c r="H421" i="21" s="1"/>
  <c r="G408" i="21" a="1"/>
  <c r="G408" i="21" s="1"/>
  <c r="H408" i="21" s="1" a="1"/>
  <c r="H408" i="21" s="1"/>
  <c r="K408" i="21" s="1" a="1"/>
  <c r="K408" i="21" s="1"/>
  <c r="P408" i="21" s="1"/>
  <c r="G790" i="21" a="1"/>
  <c r="G790" i="21" s="1"/>
  <c r="H790" i="21" s="1" a="1"/>
  <c r="H790" i="21" s="1"/>
  <c r="G806" i="21" a="1"/>
  <c r="G806" i="21" s="1"/>
  <c r="H806" i="21" s="1" a="1"/>
  <c r="H806" i="21" s="1"/>
  <c r="H1104" i="21"/>
  <c r="L1104" i="21" s="1"/>
  <c r="G792" i="21" a="1"/>
  <c r="G792" i="21" s="1"/>
  <c r="H792" i="21" s="1" a="1"/>
  <c r="H792" i="21" s="1"/>
  <c r="K792" i="21" s="1" a="1"/>
  <c r="K792" i="21" s="1"/>
  <c r="P792" i="21" s="1"/>
  <c r="D1099" i="21" a="1"/>
  <c r="D1099" i="21" s="1"/>
  <c r="H1099" i="21" s="1" a="1"/>
  <c r="H1099" i="21" s="1"/>
  <c r="L1099" i="21" s="1" a="1"/>
  <c r="L1099" i="21" s="1"/>
  <c r="G791" i="21" a="1"/>
  <c r="G791" i="21" s="1"/>
  <c r="H791" i="21" s="1" a="1"/>
  <c r="H791" i="21" s="1"/>
  <c r="G807" i="21" a="1"/>
  <c r="G807" i="21" s="1"/>
  <c r="H807" i="21" s="1" a="1"/>
  <c r="H807" i="21" s="1"/>
  <c r="G420" i="21" a="1"/>
  <c r="G420" i="21" s="1"/>
  <c r="H420" i="21" s="1" a="1"/>
  <c r="H420" i="21" s="1"/>
  <c r="G802" i="21" a="1"/>
  <c r="G802" i="21" s="1"/>
  <c r="H802" i="21" s="1" a="1"/>
  <c r="H802" i="21" s="1"/>
  <c r="G670" i="21" a="1"/>
  <c r="G670" i="21" s="1"/>
  <c r="H670" i="21" s="1" a="1"/>
  <c r="H670" i="21" s="1"/>
  <c r="G654" i="21" a="1"/>
  <c r="G654" i="21" s="1"/>
  <c r="H654" i="21" s="1" a="1"/>
  <c r="H654" i="21" s="1"/>
  <c r="K654" i="21" s="1" a="1"/>
  <c r="K654" i="21" s="1"/>
  <c r="P654" i="21" s="1"/>
  <c r="G646" i="21" a="1"/>
  <c r="G646" i="21" s="1"/>
  <c r="H646" i="21" s="1" a="1"/>
  <c r="H646" i="21" s="1"/>
  <c r="K646" i="21" s="1" a="1"/>
  <c r="K646" i="21" s="1"/>
  <c r="P646" i="21" s="1"/>
  <c r="G1047" i="21" a="1"/>
  <c r="G1047" i="21" s="1"/>
  <c r="H1047" i="21" s="1" a="1"/>
  <c r="H1047" i="21" s="1"/>
  <c r="K1047" i="21" s="1" a="1"/>
  <c r="K1047" i="21" s="1"/>
  <c r="P1047" i="21" s="1"/>
  <c r="H269" i="21" a="1"/>
  <c r="H269" i="21" s="1"/>
  <c r="D1083" i="21" a="1"/>
  <c r="D1083" i="21" s="1"/>
  <c r="H1083" i="21" s="1" a="1"/>
  <c r="H1083" i="21" s="1"/>
  <c r="H262" i="21" a="1"/>
  <c r="H262" i="21" s="1"/>
  <c r="D1073" i="21" a="1"/>
  <c r="D1073" i="21" s="1"/>
  <c r="H1073" i="21" s="1" a="1"/>
  <c r="H1073" i="21" s="1"/>
  <c r="G669" i="21" a="1"/>
  <c r="G669" i="21" s="1"/>
  <c r="H669" i="21" s="1" a="1"/>
  <c r="H669" i="21" s="1"/>
  <c r="G655" i="21" a="1"/>
  <c r="G655" i="21" s="1"/>
  <c r="H655" i="21" s="1" a="1"/>
  <c r="H655" i="21" s="1"/>
  <c r="K655" i="21" s="1" a="1"/>
  <c r="K655" i="21" s="1"/>
  <c r="P655" i="21" s="1"/>
  <c r="G645" i="21" a="1"/>
  <c r="G645" i="21" s="1"/>
  <c r="H645" i="21" s="1" a="1"/>
  <c r="H645" i="21" s="1"/>
  <c r="G1044" i="21" a="1"/>
  <c r="G1044" i="21" s="1"/>
  <c r="H1044" i="21" s="1" a="1"/>
  <c r="H1044" i="21" s="1"/>
  <c r="K1044" i="21" s="1" a="1"/>
  <c r="K1044" i="21" s="1"/>
  <c r="P1044" i="21" s="1"/>
  <c r="G1034" i="21" a="1"/>
  <c r="G1034" i="21" s="1"/>
  <c r="H1034" i="21" s="1" a="1"/>
  <c r="H1034" i="21" s="1"/>
  <c r="K1034" i="21" s="1" a="1"/>
  <c r="K1034" i="21" s="1"/>
  <c r="P1034" i="21" s="1"/>
  <c r="D1084" i="21" a="1"/>
  <c r="D1084" i="21" s="1"/>
  <c r="H1084" i="21" s="1" a="1"/>
  <c r="H1084" i="21" s="1"/>
  <c r="H265" i="21" a="1"/>
  <c r="H265" i="21" s="1"/>
  <c r="K265" i="21" s="1" a="1"/>
  <c r="K265" i="21" s="1"/>
  <c r="P265" i="21" s="1"/>
  <c r="H268" i="21" a="1"/>
  <c r="H268" i="21" s="1"/>
  <c r="K268" i="21" s="1" a="1"/>
  <c r="K268" i="21" s="1"/>
  <c r="P268" i="21" s="1"/>
  <c r="G1033" i="21" a="1"/>
  <c r="G1033" i="21" s="1"/>
  <c r="H1033" i="21" s="1" a="1"/>
  <c r="H1033" i="21" s="1"/>
  <c r="G1049" i="21" a="1"/>
  <c r="G1049" i="21" s="1"/>
  <c r="H1049" i="21" s="1" a="1"/>
  <c r="H1049" i="21" s="1"/>
  <c r="G796" i="21" a="1"/>
  <c r="G796" i="21" s="1"/>
  <c r="H796" i="21" s="1" a="1"/>
  <c r="H796" i="21" s="1"/>
  <c r="K796" i="21" s="1" a="1"/>
  <c r="K796" i="21" s="1"/>
  <c r="P796" i="21" s="1"/>
  <c r="D1094" i="21" a="1"/>
  <c r="D1094" i="21" s="1"/>
  <c r="H1094" i="21" s="1" a="1"/>
  <c r="H1094" i="21" s="1"/>
  <c r="L1094" i="21" s="1" a="1"/>
  <c r="L1094" i="21" s="1"/>
  <c r="D1095" i="21" a="1"/>
  <c r="D1095" i="21" s="1"/>
  <c r="H1095" i="21" s="1" a="1"/>
  <c r="H1095" i="21" s="1"/>
  <c r="L1095" i="21" s="1" a="1"/>
  <c r="L1095" i="21" s="1"/>
  <c r="G403" i="21" a="1"/>
  <c r="G403" i="21" s="1"/>
  <c r="H403" i="21" s="1" a="1"/>
  <c r="H403" i="21" s="1"/>
  <c r="G793" i="21" a="1"/>
  <c r="G793" i="21" s="1"/>
  <c r="H793" i="21" s="1" a="1"/>
  <c r="H793" i="21" s="1"/>
  <c r="G410" i="21" a="1"/>
  <c r="G410" i="21" s="1"/>
  <c r="H410" i="21" s="1" a="1"/>
  <c r="H410" i="21" s="1"/>
  <c r="K410" i="21" s="1" a="1"/>
  <c r="K410" i="21" s="1"/>
  <c r="P410" i="21" s="1"/>
  <c r="G401" i="21" a="1"/>
  <c r="G401" i="21" s="1"/>
  <c r="H401" i="21" s="1" a="1"/>
  <c r="H401" i="21" s="1"/>
  <c r="G786" i="21" a="1"/>
  <c r="G786" i="21" s="1"/>
  <c r="H786" i="21" s="1" a="1"/>
  <c r="H786" i="21" s="1"/>
  <c r="K786" i="21" s="1" a="1"/>
  <c r="K786" i="21" s="1"/>
  <c r="P786" i="21" s="1"/>
  <c r="G666" i="21" a="1"/>
  <c r="G666" i="21" s="1"/>
  <c r="H666" i="21" s="1" a="1"/>
  <c r="H666" i="21" s="1"/>
  <c r="G1035" i="21" a="1"/>
  <c r="G1035" i="21" s="1"/>
  <c r="H1035" i="21" s="1" a="1"/>
  <c r="H1035" i="21" s="1"/>
  <c r="H276" i="21" a="1"/>
  <c r="H276" i="21" s="1"/>
  <c r="D1065" i="21" a="1"/>
  <c r="D1065" i="21" s="1"/>
  <c r="H1065" i="21" s="1" a="1"/>
  <c r="H1065" i="21" s="1"/>
  <c r="H1108" i="21"/>
  <c r="L1108" i="21" s="1"/>
  <c r="G661" i="21" a="1"/>
  <c r="G661" i="21" s="1"/>
  <c r="H661" i="21" s="1" a="1"/>
  <c r="H661" i="21" s="1"/>
  <c r="K661" i="21" s="1" a="1"/>
  <c r="K661" i="21" s="1"/>
  <c r="P661" i="21" s="1"/>
  <c r="G653" i="21" a="1"/>
  <c r="G653" i="21" s="1"/>
  <c r="H653" i="21" s="1" a="1"/>
  <c r="H653" i="21" s="1"/>
  <c r="K653" i="21" s="1" a="1"/>
  <c r="K653" i="21" s="1"/>
  <c r="P653" i="21" s="1"/>
  <c r="G1052" i="21" a="1"/>
  <c r="G1052" i="21" s="1"/>
  <c r="H1052" i="21" s="1" a="1"/>
  <c r="H1052" i="21" s="1"/>
  <c r="G1042" i="21" a="1"/>
  <c r="G1042" i="21" s="1"/>
  <c r="H1042" i="21" s="1" a="1"/>
  <c r="H1042" i="21" s="1"/>
  <c r="G1032" i="21" a="1"/>
  <c r="G1032" i="21" s="1"/>
  <c r="H1032" i="21" s="1" a="1"/>
  <c r="H1032" i="21" s="1"/>
  <c r="H258" i="21" a="1"/>
  <c r="H258" i="21" s="1"/>
  <c r="H272" i="21" a="1"/>
  <c r="H272" i="21" s="1"/>
  <c r="H270" i="21" a="1"/>
  <c r="H270" i="21" s="1"/>
  <c r="D1085" i="21" a="1"/>
  <c r="D1085" i="21" s="1"/>
  <c r="H1085" i="21" s="1" a="1"/>
  <c r="H1085" i="21" s="1"/>
  <c r="G648" i="21" a="1"/>
  <c r="G648" i="21" s="1"/>
  <c r="H648" i="21" s="1" a="1"/>
  <c r="H648" i="21" s="1"/>
  <c r="K648" i="21" s="1" a="1"/>
  <c r="K648" i="21" s="1"/>
  <c r="P648" i="21" s="1"/>
  <c r="G805" i="21" a="1"/>
  <c r="G805" i="21" s="1"/>
  <c r="H805" i="21" s="1" a="1"/>
  <c r="H805" i="21" s="1"/>
  <c r="G795" i="21" a="1"/>
  <c r="G795" i="21" s="1"/>
  <c r="H795" i="21" s="1" a="1"/>
  <c r="H795" i="21" s="1"/>
  <c r="K795" i="21" s="1" a="1"/>
  <c r="K795" i="21" s="1"/>
  <c r="P795" i="21" s="1"/>
  <c r="G427" i="21" a="1"/>
  <c r="G427" i="21" s="1"/>
  <c r="H427" i="21" s="1" a="1"/>
  <c r="H427" i="21" s="1"/>
  <c r="G800" i="21" a="1"/>
  <c r="G800" i="21" s="1"/>
  <c r="H800" i="21" s="1" a="1"/>
  <c r="H800" i="21" s="1"/>
  <c r="K800" i="21" s="1" a="1"/>
  <c r="K800" i="21" s="1"/>
  <c r="P800" i="21" s="1"/>
  <c r="G412" i="21" a="1"/>
  <c r="G412" i="21" s="1"/>
  <c r="H412" i="21" s="1" a="1"/>
  <c r="H412" i="21" s="1"/>
  <c r="K412" i="21" s="1" a="1"/>
  <c r="K412" i="21" s="1"/>
  <c r="P412" i="21" s="1"/>
  <c r="G658" i="21" a="1"/>
  <c r="G658" i="21" s="1"/>
  <c r="H658" i="21" s="1" a="1"/>
  <c r="H658" i="21" s="1"/>
  <c r="K658" i="21" s="1" a="1"/>
  <c r="K658" i="21" s="1"/>
  <c r="P658" i="21" s="1"/>
  <c r="G1031" i="21" a="1"/>
  <c r="G1031" i="21" s="1"/>
  <c r="H1031" i="21" s="1" a="1"/>
  <c r="H1031" i="21" s="1"/>
  <c r="K1031" i="21" s="1" a="1"/>
  <c r="K1031" i="21" s="1"/>
  <c r="P1031" i="21" s="1"/>
  <c r="H1101" i="21" a="1"/>
  <c r="H1101" i="21" s="1"/>
  <c r="L1101" i="21" s="1" a="1"/>
  <c r="L1101" i="21" s="1"/>
  <c r="L1056" i="21"/>
  <c r="H1097" i="21" a="1"/>
  <c r="H1097" i="21" s="1"/>
  <c r="L1097" i="21" s="1" a="1"/>
  <c r="L1097" i="21" s="1"/>
  <c r="K814" i="21" a="1"/>
  <c r="K814" i="21" s="1"/>
  <c r="L814" i="21" s="1"/>
  <c r="L1084" i="21"/>
  <c r="H446" i="21"/>
  <c r="J446" i="21" s="1" a="1"/>
  <c r="J446" i="21" s="1"/>
  <c r="L1082" i="21"/>
  <c r="H451" i="21"/>
  <c r="I451" i="21" s="1"/>
  <c r="H837" i="21"/>
  <c r="P837" i="21" s="1"/>
  <c r="H447" i="21"/>
  <c r="J447" i="21" s="1" a="1"/>
  <c r="J447" i="21" s="1"/>
  <c r="H836" i="21"/>
  <c r="L836" i="21" s="1"/>
  <c r="H448" i="21"/>
  <c r="H833" i="21"/>
  <c r="P833" i="21" s="1"/>
  <c r="H832" i="21"/>
  <c r="H452" i="21"/>
  <c r="K452" i="21" s="1" a="1"/>
  <c r="K452" i="21" s="1"/>
  <c r="L1083" i="21"/>
  <c r="L1073" i="21"/>
  <c r="L1072" i="21"/>
  <c r="L1074" i="21"/>
  <c r="L1085" i="21"/>
  <c r="L1075" i="21"/>
  <c r="H1004" i="21"/>
  <c r="H977" i="21"/>
  <c r="H950" i="21"/>
  <c r="H842" i="21"/>
  <c r="H896" i="21"/>
  <c r="H869" i="21"/>
  <c r="H923" i="21"/>
  <c r="H884" i="21"/>
  <c r="H992" i="21"/>
  <c r="H1019" i="21"/>
  <c r="H911" i="21"/>
  <c r="H938" i="21"/>
  <c r="H965" i="21"/>
  <c r="H857" i="21"/>
  <c r="H969" i="21"/>
  <c r="H942" i="21"/>
  <c r="H996" i="21"/>
  <c r="H888" i="21"/>
  <c r="H1023" i="21"/>
  <c r="H915" i="21"/>
  <c r="H861" i="21"/>
  <c r="H545" i="21"/>
  <c r="H599" i="21"/>
  <c r="H518" i="21"/>
  <c r="H464" i="21"/>
  <c r="H626" i="21"/>
  <c r="H491" i="21"/>
  <c r="H572" i="21"/>
  <c r="H630" i="21"/>
  <c r="H549" i="21"/>
  <c r="H576" i="21"/>
  <c r="H495" i="21"/>
  <c r="H522" i="21"/>
  <c r="H468" i="21"/>
  <c r="H603" i="21"/>
  <c r="H554" i="21"/>
  <c r="H473" i="21"/>
  <c r="H581" i="21"/>
  <c r="H608" i="21"/>
  <c r="H527" i="21"/>
  <c r="H635" i="21"/>
  <c r="H500" i="21"/>
  <c r="H558" i="21"/>
  <c r="H477" i="21"/>
  <c r="H531" i="21"/>
  <c r="H504" i="21"/>
  <c r="H639" i="21"/>
  <c r="H612" i="21"/>
  <c r="H585" i="21"/>
  <c r="P822" i="21"/>
  <c r="J822" i="21" a="1"/>
  <c r="J822" i="21" s="1"/>
  <c r="I822" i="21"/>
  <c r="J826" i="21" a="1"/>
  <c r="J826" i="21" s="1"/>
  <c r="I826" i="21"/>
  <c r="P831" i="21"/>
  <c r="J831" i="21" a="1"/>
  <c r="J831" i="21" s="1"/>
  <c r="J835" i="21" a="1"/>
  <c r="J835" i="21" s="1"/>
  <c r="P835" i="21"/>
  <c r="I835" i="21"/>
  <c r="K835" i="21" s="1" a="1"/>
  <c r="K835" i="21" s="1"/>
  <c r="L835" i="21" s="1"/>
  <c r="J430" i="21" a="1"/>
  <c r="J430" i="21" s="1"/>
  <c r="P430" i="21"/>
  <c r="P445" i="21"/>
  <c r="J449" i="21" a="1"/>
  <c r="J449" i="21" s="1"/>
  <c r="I449" i="21"/>
  <c r="P449" i="21"/>
  <c r="H957" i="21"/>
  <c r="H1011" i="21"/>
  <c r="H984" i="21"/>
  <c r="H876" i="21"/>
  <c r="H930" i="21"/>
  <c r="H849" i="21"/>
  <c r="H903" i="21"/>
  <c r="H934" i="21"/>
  <c r="H880" i="21"/>
  <c r="H988" i="21"/>
  <c r="H907" i="21"/>
  <c r="H961" i="21"/>
  <c r="H1015" i="21"/>
  <c r="H853" i="21"/>
  <c r="H1020" i="21"/>
  <c r="H939" i="21"/>
  <c r="H966" i="21"/>
  <c r="H912" i="21"/>
  <c r="H993" i="21"/>
  <c r="H858" i="21"/>
  <c r="H885" i="21"/>
  <c r="H862" i="21"/>
  <c r="H889" i="21"/>
  <c r="H970" i="21"/>
  <c r="H997" i="21"/>
  <c r="H1024" i="21"/>
  <c r="H916" i="21"/>
  <c r="H943" i="21"/>
  <c r="H511" i="21"/>
  <c r="H565" i="21"/>
  <c r="H484" i="21"/>
  <c r="H619" i="21"/>
  <c r="H538" i="21"/>
  <c r="H457" i="21"/>
  <c r="H592" i="21"/>
  <c r="H634" i="21"/>
  <c r="H499" i="21"/>
  <c r="H607" i="21"/>
  <c r="H553" i="21"/>
  <c r="H580" i="21"/>
  <c r="H472" i="21"/>
  <c r="H526" i="21"/>
  <c r="H476" i="21"/>
  <c r="H611" i="21"/>
  <c r="H584" i="21"/>
  <c r="H557" i="21"/>
  <c r="H530" i="21"/>
  <c r="H503" i="21"/>
  <c r="H638" i="21"/>
  <c r="J815" i="21" a="1"/>
  <c r="J815" i="21" s="1"/>
  <c r="I815" i="21"/>
  <c r="K815" i="21" s="1" a="1"/>
  <c r="K815" i="21" s="1"/>
  <c r="L815" i="21" s="1"/>
  <c r="J830" i="21" a="1"/>
  <c r="J830" i="21" s="1"/>
  <c r="P830" i="21"/>
  <c r="I830" i="21"/>
  <c r="K830" i="21" s="1" a="1"/>
  <c r="K830" i="21" s="1"/>
  <c r="L830" i="21" s="1"/>
  <c r="J834" i="21" a="1"/>
  <c r="J834" i="21" s="1"/>
  <c r="I834" i="21"/>
  <c r="P834" i="21"/>
  <c r="K437" i="21" a="1"/>
  <c r="K437" i="21" s="1"/>
  <c r="I437" i="21"/>
  <c r="P441" i="21"/>
  <c r="I441" i="21"/>
  <c r="J441" i="21" a="1"/>
  <c r="J441" i="21" s="1"/>
  <c r="I446" i="21"/>
  <c r="K446" i="21" s="1" a="1"/>
  <c r="K446" i="21" s="1"/>
  <c r="L446" i="21" s="1"/>
  <c r="J450" i="21" a="1"/>
  <c r="J450" i="21" s="1"/>
  <c r="P450" i="21"/>
  <c r="I450" i="21"/>
  <c r="K450" i="21" s="1" a="1"/>
  <c r="K450" i="21" s="1"/>
  <c r="L450" i="21" s="1"/>
  <c r="P2" i="21"/>
  <c r="O2" i="21" s="1"/>
  <c r="L2" i="21"/>
  <c r="H1007" i="21"/>
  <c r="H953" i="21"/>
  <c r="H845" i="21"/>
  <c r="H899" i="21"/>
  <c r="H980" i="21"/>
  <c r="H926" i="21"/>
  <c r="H872" i="21"/>
  <c r="H904" i="21"/>
  <c r="H1012" i="21"/>
  <c r="H877" i="21"/>
  <c r="H985" i="21"/>
  <c r="H931" i="21"/>
  <c r="H958" i="21"/>
  <c r="H850" i="21"/>
  <c r="H989" i="21"/>
  <c r="H935" i="21"/>
  <c r="H1016" i="21"/>
  <c r="H962" i="21"/>
  <c r="H908" i="21"/>
  <c r="H881" i="21"/>
  <c r="H854" i="21"/>
  <c r="H886" i="21"/>
  <c r="H967" i="21"/>
  <c r="H1021" i="21"/>
  <c r="H994" i="21"/>
  <c r="H940" i="21"/>
  <c r="H913" i="21"/>
  <c r="H859" i="21"/>
  <c r="H1025" i="21"/>
  <c r="H863" i="21"/>
  <c r="H944" i="21"/>
  <c r="H998" i="21"/>
  <c r="H890" i="21"/>
  <c r="H917" i="21"/>
  <c r="H971" i="21"/>
  <c r="H560" i="21"/>
  <c r="H614" i="21"/>
  <c r="H533" i="21"/>
  <c r="H587" i="21"/>
  <c r="H506" i="21"/>
  <c r="H479" i="21"/>
  <c r="H641" i="21"/>
  <c r="H461" i="21"/>
  <c r="H488" i="21"/>
  <c r="H542" i="21"/>
  <c r="H596" i="21"/>
  <c r="H569" i="21"/>
  <c r="H515" i="21"/>
  <c r="H623" i="21"/>
  <c r="H583" i="21"/>
  <c r="H556" i="21"/>
  <c r="H610" i="21"/>
  <c r="H502" i="21"/>
  <c r="H637" i="21"/>
  <c r="H529" i="21"/>
  <c r="H475" i="21"/>
  <c r="J837" i="21" a="1"/>
  <c r="J837" i="21" s="1"/>
  <c r="J819" i="21" a="1"/>
  <c r="J819" i="21" s="1"/>
  <c r="P819" i="21"/>
  <c r="I819" i="21"/>
  <c r="K819" i="21" s="1" a="1"/>
  <c r="K819" i="21" s="1"/>
  <c r="L819" i="21" s="1"/>
  <c r="K833" i="21" a="1"/>
  <c r="K833" i="21" s="1"/>
  <c r="J833" i="21" a="1"/>
  <c r="J833" i="21" s="1"/>
  <c r="I433" i="21"/>
  <c r="P433" i="21"/>
  <c r="J433" i="21" a="1"/>
  <c r="J433" i="21" s="1"/>
  <c r="P438" i="21"/>
  <c r="J442" i="21" a="1"/>
  <c r="J442" i="21" s="1"/>
  <c r="I442" i="21"/>
  <c r="P442" i="21"/>
  <c r="I447" i="21"/>
  <c r="P447" i="21"/>
  <c r="J451" i="21" a="1"/>
  <c r="J451" i="21" s="1"/>
  <c r="H1026" i="21"/>
  <c r="H918" i="21"/>
  <c r="H945" i="21"/>
  <c r="H972" i="21"/>
  <c r="H999" i="21"/>
  <c r="H864" i="21"/>
  <c r="H891" i="21"/>
  <c r="H948" i="21"/>
  <c r="H921" i="21"/>
  <c r="H1002" i="21"/>
  <c r="H840" i="21"/>
  <c r="H975" i="21"/>
  <c r="H894" i="21"/>
  <c r="H867" i="21"/>
  <c r="H900" i="21"/>
  <c r="H981" i="21"/>
  <c r="H1008" i="21"/>
  <c r="H927" i="21"/>
  <c r="H954" i="21"/>
  <c r="H873" i="21"/>
  <c r="H846" i="21"/>
  <c r="H995" i="21"/>
  <c r="H1022" i="21"/>
  <c r="H860" i="21"/>
  <c r="H968" i="21"/>
  <c r="H887" i="21"/>
  <c r="H914" i="21"/>
  <c r="H941" i="21"/>
  <c r="H622" i="21"/>
  <c r="H541" i="21"/>
  <c r="H595" i="21"/>
  <c r="H514" i="21"/>
  <c r="H487" i="21"/>
  <c r="H460" i="21"/>
  <c r="H568" i="21"/>
  <c r="H627" i="21"/>
  <c r="H600" i="21"/>
  <c r="H519" i="21"/>
  <c r="H573" i="21"/>
  <c r="H492" i="21"/>
  <c r="H465" i="21"/>
  <c r="H546" i="21"/>
  <c r="H631" i="21"/>
  <c r="H496" i="21"/>
  <c r="H523" i="21"/>
  <c r="H604" i="21"/>
  <c r="H577" i="21"/>
  <c r="H550" i="21"/>
  <c r="H469" i="21"/>
  <c r="H501" i="21"/>
  <c r="H474" i="21"/>
  <c r="H528" i="21"/>
  <c r="H636" i="21"/>
  <c r="H609" i="21"/>
  <c r="H582" i="21"/>
  <c r="H555" i="21"/>
  <c r="H640" i="21"/>
  <c r="H613" i="21"/>
  <c r="H532" i="21"/>
  <c r="H586" i="21"/>
  <c r="H505" i="21"/>
  <c r="H559" i="21"/>
  <c r="H478" i="21"/>
  <c r="J818" i="21" a="1"/>
  <c r="J818" i="21" s="1"/>
  <c r="K818" i="21" s="1" a="1"/>
  <c r="K818" i="21" s="1"/>
  <c r="L818" i="21" s="1"/>
  <c r="J823" i="21" a="1"/>
  <c r="J823" i="21" s="1"/>
  <c r="I823" i="21"/>
  <c r="K823" i="21" s="1" a="1"/>
  <c r="K823" i="21" s="1"/>
  <c r="L823" i="21" s="1"/>
  <c r="P827" i="21"/>
  <c r="I827" i="21"/>
  <c r="J827" i="21" a="1"/>
  <c r="J827" i="21" s="1"/>
  <c r="J832" i="21" a="1"/>
  <c r="J832" i="21" s="1"/>
  <c r="L832" i="21"/>
  <c r="P832" i="21"/>
  <c r="K832" i="21" a="1"/>
  <c r="K832" i="21" s="1"/>
  <c r="I832" i="21"/>
  <c r="P836" i="21"/>
  <c r="K836" i="21" a="1"/>
  <c r="K836" i="21" s="1"/>
  <c r="J452" i="21" a="1"/>
  <c r="J452" i="21" s="1"/>
  <c r="L452" i="21"/>
  <c r="P452" i="21"/>
  <c r="I428" i="21"/>
  <c r="K428" i="21" s="1" a="1"/>
  <c r="K428" i="21" s="1"/>
  <c r="L428" i="21" s="1"/>
  <c r="J428" i="21" a="1"/>
  <c r="J428" i="21" s="1"/>
  <c r="P428" i="21"/>
  <c r="P434" i="21"/>
  <c r="J434" i="21" a="1"/>
  <c r="J434" i="21" s="1"/>
  <c r="I434" i="21"/>
  <c r="K448" i="21" a="1"/>
  <c r="K448" i="21" s="1"/>
  <c r="L448" i="21"/>
  <c r="J448" i="21" a="1"/>
  <c r="J448" i="21" s="1"/>
  <c r="I448" i="21"/>
  <c r="P448" i="21"/>
  <c r="I452" i="21" l="1"/>
  <c r="I836" i="21"/>
  <c r="J836" i="21" a="1"/>
  <c r="J836" i="21" s="1"/>
  <c r="I818" i="21"/>
  <c r="J438" i="21" a="1"/>
  <c r="J438" i="21" s="1"/>
  <c r="K438" i="21" s="1" a="1"/>
  <c r="K438" i="21" s="1"/>
  <c r="L438" i="21" s="1"/>
  <c r="I833" i="21"/>
  <c r="L833" i="21"/>
  <c r="I837" i="21"/>
  <c r="L437" i="21"/>
  <c r="P437" i="21"/>
  <c r="J445" i="21" a="1"/>
  <c r="J445" i="21" s="1"/>
  <c r="K826" i="21" a="1"/>
  <c r="K826" i="21" s="1"/>
  <c r="L826" i="21"/>
  <c r="P446" i="21"/>
  <c r="P451" i="21"/>
  <c r="L7" i="21"/>
  <c r="P7" i="21"/>
  <c r="K270" i="21" a="1"/>
  <c r="K270" i="21" s="1"/>
  <c r="P270" i="21"/>
  <c r="K258" i="21" a="1"/>
  <c r="K258" i="21" s="1"/>
  <c r="P258" i="21"/>
  <c r="K1042" i="21" a="1"/>
  <c r="K1042" i="21" s="1"/>
  <c r="P1042" i="21"/>
  <c r="K1035" i="21" a="1"/>
  <c r="K1035" i="21" s="1"/>
  <c r="P1035" i="21"/>
  <c r="K403" i="21" a="1"/>
  <c r="K403" i="21" s="1"/>
  <c r="P403" i="21"/>
  <c r="K1033" i="21" a="1"/>
  <c r="K1033" i="21" s="1"/>
  <c r="P1033" i="21"/>
  <c r="J1084" i="21" a="1"/>
  <c r="J1084" i="21" s="1"/>
  <c r="K1084" i="21" a="1"/>
  <c r="K1084" i="21" s="1"/>
  <c r="I1084" i="21" a="1"/>
  <c r="I1084" i="21" s="1"/>
  <c r="I1073" i="21" a="1"/>
  <c r="I1073" i="21" s="1"/>
  <c r="K1073" i="21" a="1"/>
  <c r="K1073" i="21" s="1"/>
  <c r="J1073" i="21" a="1"/>
  <c r="J1073" i="21" s="1"/>
  <c r="K262" i="21" a="1"/>
  <c r="K262" i="21" s="1"/>
  <c r="P262" i="21"/>
  <c r="K802" i="21" a="1"/>
  <c r="K802" i="21" s="1"/>
  <c r="P802" i="21"/>
  <c r="P807" i="21"/>
  <c r="K807" i="21" a="1"/>
  <c r="K807" i="21" s="1"/>
  <c r="P790" i="21"/>
  <c r="K790" i="21" a="1"/>
  <c r="K790" i="21" s="1"/>
  <c r="P421" i="21"/>
  <c r="K421" i="21" a="1"/>
  <c r="K421" i="21" s="1"/>
  <c r="K406" i="21" a="1"/>
  <c r="K406" i="21" s="1"/>
  <c r="P406" i="21"/>
  <c r="K407" i="21" a="1"/>
  <c r="K407" i="21" s="1"/>
  <c r="P407" i="21"/>
  <c r="K1029" i="21" a="1"/>
  <c r="K1029" i="21" s="1"/>
  <c r="P1029" i="21"/>
  <c r="K1072" i="21" a="1"/>
  <c r="K1072" i="21" s="1"/>
  <c r="I1072" i="21" a="1"/>
  <c r="I1072" i="21" s="1"/>
  <c r="J1072" i="21" a="1"/>
  <c r="J1072" i="21" s="1"/>
  <c r="K1038" i="21" a="1"/>
  <c r="K1038" i="21" s="1"/>
  <c r="P1038" i="21"/>
  <c r="H510" i="21"/>
  <c r="H456" i="21"/>
  <c r="H618" i="21"/>
  <c r="H591" i="21"/>
  <c r="H564" i="21"/>
  <c r="H537" i="21"/>
  <c r="H483" i="21"/>
  <c r="K801" i="21" a="1"/>
  <c r="K801" i="21" s="1"/>
  <c r="P801" i="21"/>
  <c r="K812" i="21" a="1"/>
  <c r="K812" i="21" s="1"/>
  <c r="P812" i="21"/>
  <c r="P1053" i="21"/>
  <c r="K1053" i="21" a="1"/>
  <c r="K1053" i="21" s="1"/>
  <c r="K274" i="21" a="1"/>
  <c r="K274" i="21" s="1"/>
  <c r="P274" i="21"/>
  <c r="P1036" i="21"/>
  <c r="K1036" i="21" a="1"/>
  <c r="K1036" i="21" s="1"/>
  <c r="K665" i="21" a="1"/>
  <c r="K665" i="21" s="1"/>
  <c r="P665" i="21"/>
  <c r="J1082" i="21" a="1"/>
  <c r="J1082" i="21" s="1"/>
  <c r="K1082" i="21" a="1"/>
  <c r="K1082" i="21" s="1"/>
  <c r="I1082" i="21" a="1"/>
  <c r="I1082" i="21" s="1"/>
  <c r="P425" i="21"/>
  <c r="K425" i="21" a="1"/>
  <c r="K425" i="21" s="1"/>
  <c r="P809" i="21"/>
  <c r="K809" i="21" a="1"/>
  <c r="K809" i="21" s="1"/>
  <c r="K413" i="21" a="1"/>
  <c r="K413" i="21" s="1"/>
  <c r="P413" i="21"/>
  <c r="I1062" i="21" a="1"/>
  <c r="I1062" i="21" s="1"/>
  <c r="J1062" i="21" a="1"/>
  <c r="J1062" i="21" s="1"/>
  <c r="K1062" i="21" a="1"/>
  <c r="K1062" i="21" s="1"/>
  <c r="L1062" i="21" s="1"/>
  <c r="K273" i="21" a="1"/>
  <c r="K273" i="21" s="1"/>
  <c r="P273" i="21"/>
  <c r="K1055" i="21" a="1"/>
  <c r="K1055" i="21" s="1"/>
  <c r="P1055" i="21"/>
  <c r="P799" i="21"/>
  <c r="K799" i="21" a="1"/>
  <c r="K799" i="21" s="1"/>
  <c r="P808" i="21"/>
  <c r="K808" i="21" a="1"/>
  <c r="K808" i="21" s="1"/>
  <c r="P422" i="21"/>
  <c r="K422" i="21" a="1"/>
  <c r="K422" i="21" s="1"/>
  <c r="P668" i="21"/>
  <c r="K668" i="21" a="1"/>
  <c r="K668" i="21" s="1"/>
  <c r="P264" i="21"/>
  <c r="K264" i="21" a="1"/>
  <c r="K264" i="21" s="1"/>
  <c r="P1030" i="21"/>
  <c r="K1030" i="21" a="1"/>
  <c r="K1030" i="21" s="1"/>
  <c r="H444" i="21"/>
  <c r="H436" i="21"/>
  <c r="H828" i="21"/>
  <c r="H820" i="21"/>
  <c r="H443" i="21"/>
  <c r="H435" i="21"/>
  <c r="H825" i="21"/>
  <c r="H817" i="21"/>
  <c r="P427" i="21"/>
  <c r="K427" i="21" a="1"/>
  <c r="K427" i="21" s="1"/>
  <c r="P805" i="21"/>
  <c r="K805" i="21" a="1"/>
  <c r="K805" i="21" s="1"/>
  <c r="K1085" i="21" a="1"/>
  <c r="K1085" i="21" s="1"/>
  <c r="J1085" i="21" a="1"/>
  <c r="J1085" i="21" s="1"/>
  <c r="I1085" i="21" a="1"/>
  <c r="I1085" i="21" s="1"/>
  <c r="P272" i="21"/>
  <c r="K272" i="21" a="1"/>
  <c r="K272" i="21" s="1"/>
  <c r="P1032" i="21"/>
  <c r="K1032" i="21" a="1"/>
  <c r="K1032" i="21" s="1"/>
  <c r="K1052" i="21" a="1"/>
  <c r="K1052" i="21" s="1"/>
  <c r="P1052" i="21"/>
  <c r="K1065" i="21" a="1"/>
  <c r="K1065" i="21" s="1"/>
  <c r="I1065" i="21" a="1"/>
  <c r="I1065" i="21" s="1"/>
  <c r="J1065" i="21" a="1"/>
  <c r="J1065" i="21" s="1"/>
  <c r="K276" i="21" a="1"/>
  <c r="K276" i="21" s="1"/>
  <c r="P276" i="21"/>
  <c r="P666" i="21"/>
  <c r="K666" i="21" a="1"/>
  <c r="K666" i="21" s="1"/>
  <c r="K401" i="21" a="1"/>
  <c r="K401" i="21" s="1"/>
  <c r="P401" i="21"/>
  <c r="P793" i="21"/>
  <c r="K793" i="21" a="1"/>
  <c r="K793" i="21" s="1"/>
  <c r="K1049" i="21" a="1"/>
  <c r="K1049" i="21" s="1"/>
  <c r="P1049" i="21"/>
  <c r="K645" i="21" a="1"/>
  <c r="K645" i="21" s="1"/>
  <c r="P645" i="21"/>
  <c r="P669" i="21"/>
  <c r="K669" i="21" a="1"/>
  <c r="K669" i="21" s="1"/>
  <c r="F291" i="21" a="1"/>
  <c r="F291" i="21" s="1"/>
  <c r="F676" i="21" a="1"/>
  <c r="F676" i="21" s="1"/>
  <c r="F677" i="21" a="1"/>
  <c r="F677" i="21" s="1"/>
  <c r="F292" i="21" a="1"/>
  <c r="F292" i="21" s="1"/>
  <c r="K1083" i="21" a="1"/>
  <c r="K1083" i="21" s="1"/>
  <c r="J1083" i="21" a="1"/>
  <c r="J1083" i="21" s="1"/>
  <c r="I1083" i="21" a="1"/>
  <c r="I1083" i="21" s="1"/>
  <c r="K269" i="21" a="1"/>
  <c r="K269" i="21" s="1"/>
  <c r="P269" i="21"/>
  <c r="P670" i="21"/>
  <c r="K670" i="21" a="1"/>
  <c r="K670" i="21" s="1"/>
  <c r="P420" i="21"/>
  <c r="K420" i="21" a="1"/>
  <c r="K420" i="21" s="1"/>
  <c r="K791" i="21" a="1"/>
  <c r="K791" i="21" s="1"/>
  <c r="P791" i="21"/>
  <c r="K806" i="21" a="1"/>
  <c r="K806" i="21" s="1"/>
  <c r="P806" i="21"/>
  <c r="K788" i="21" a="1"/>
  <c r="K788" i="21" s="1"/>
  <c r="P788" i="21" s="1"/>
  <c r="P664" i="21"/>
  <c r="K664" i="21" a="1"/>
  <c r="K664" i="21" s="1"/>
  <c r="J1074" i="21" a="1"/>
  <c r="J1074" i="21" s="1"/>
  <c r="K1074" i="21" a="1"/>
  <c r="K1074" i="21" s="1"/>
  <c r="I1074" i="21" a="1"/>
  <c r="I1074" i="21" s="1"/>
  <c r="K1063" i="21" a="1"/>
  <c r="K1063" i="21" s="1"/>
  <c r="I1063" i="21" a="1"/>
  <c r="I1063" i="21" s="1"/>
  <c r="J1063" i="21" a="1"/>
  <c r="J1063" i="21" s="1"/>
  <c r="K1054" i="21" a="1"/>
  <c r="K1054" i="21" s="1"/>
  <c r="P1054" i="21"/>
  <c r="J814" i="21" a="1"/>
  <c r="J814" i="21" s="1"/>
  <c r="P814" i="21"/>
  <c r="I814" i="21"/>
  <c r="H429" i="21"/>
  <c r="K275" i="21" a="1"/>
  <c r="K275" i="21" s="1"/>
  <c r="P275" i="21"/>
  <c r="P810" i="21"/>
  <c r="K810" i="21" a="1"/>
  <c r="K810" i="21" s="1"/>
  <c r="K418" i="21" a="1"/>
  <c r="K418" i="21" s="1"/>
  <c r="P418" i="21"/>
  <c r="K811" i="21" a="1"/>
  <c r="K811" i="21" s="1"/>
  <c r="P811" i="21"/>
  <c r="P6" i="21"/>
  <c r="L6" i="21"/>
  <c r="P657" i="21"/>
  <c r="K657" i="21" a="1"/>
  <c r="K657" i="21" s="1"/>
  <c r="K1064" i="21" a="1"/>
  <c r="K1064" i="21" s="1"/>
  <c r="I1064" i="21" a="1"/>
  <c r="I1064" i="21" s="1"/>
  <c r="J1064" i="21" a="1"/>
  <c r="J1064" i="21" s="1"/>
  <c r="P426" i="21"/>
  <c r="K426" i="21" a="1"/>
  <c r="K426" i="21" s="1"/>
  <c r="P411" i="21"/>
  <c r="K411" i="21" a="1"/>
  <c r="K411" i="21" s="1"/>
  <c r="P416" i="21"/>
  <c r="K416" i="21" a="1"/>
  <c r="K416" i="21" s="1"/>
  <c r="P804" i="21"/>
  <c r="K804" i="21" a="1"/>
  <c r="K804" i="21" s="1"/>
  <c r="K789" i="21" a="1"/>
  <c r="K789" i="21" s="1"/>
  <c r="P789" i="21" s="1"/>
  <c r="K271" i="21" a="1"/>
  <c r="K271" i="21" s="1"/>
  <c r="P271" i="21"/>
  <c r="K1039" i="21" a="1"/>
  <c r="K1039" i="21" s="1"/>
  <c r="P1039" i="21"/>
  <c r="K650" i="21" a="1"/>
  <c r="K650" i="21" s="1"/>
  <c r="P650" i="21"/>
  <c r="P419" i="21"/>
  <c r="K419" i="21" a="1"/>
  <c r="K419" i="21" s="1"/>
  <c r="P424" i="21"/>
  <c r="K424" i="21" a="1"/>
  <c r="K424" i="21" s="1"/>
  <c r="P405" i="21"/>
  <c r="K405" i="21" a="1"/>
  <c r="K405" i="21" s="1"/>
  <c r="K1075" i="21" a="1"/>
  <c r="K1075" i="21" s="1"/>
  <c r="I1075" i="21" a="1"/>
  <c r="I1075" i="21" s="1"/>
  <c r="J1075" i="21" a="1"/>
  <c r="J1075" i="21" s="1"/>
  <c r="P1046" i="21"/>
  <c r="K1046" i="21" a="1"/>
  <c r="K1046" i="21" s="1"/>
  <c r="H440" i="21"/>
  <c r="K440" i="21" s="1" a="1"/>
  <c r="K440" i="21" s="1"/>
  <c r="L440" i="21" s="1"/>
  <c r="H432" i="21"/>
  <c r="H824" i="21"/>
  <c r="H816" i="21"/>
  <c r="H439" i="21"/>
  <c r="K439" i="21" s="1" a="1"/>
  <c r="K439" i="21" s="1"/>
  <c r="L439" i="21" s="1"/>
  <c r="H431" i="21"/>
  <c r="H829" i="21"/>
  <c r="H821" i="21"/>
  <c r="H813" i="21"/>
  <c r="K441" i="21" a="1"/>
  <c r="K441" i="21" s="1"/>
  <c r="L441" i="21" s="1"/>
  <c r="K442" i="21" a="1"/>
  <c r="K442" i="21" s="1"/>
  <c r="L442" i="21" s="1"/>
  <c r="K430" i="21" a="1"/>
  <c r="K430" i="21" s="1"/>
  <c r="L430" i="21" s="1"/>
  <c r="K510" i="21" a="1"/>
  <c r="K510" i="21" s="1"/>
  <c r="P510" i="21" s="1"/>
  <c r="K564" i="21" a="1"/>
  <c r="K564" i="21" s="1"/>
  <c r="P564" i="21" s="1"/>
  <c r="K537" i="21" a="1"/>
  <c r="K537" i="21" s="1"/>
  <c r="P537" i="21" s="1"/>
  <c r="K483" i="21" a="1"/>
  <c r="K483" i="21" s="1"/>
  <c r="P483" i="21" s="1"/>
  <c r="K591" i="21" a="1"/>
  <c r="K591" i="21" s="1"/>
  <c r="P591" i="21" s="1"/>
  <c r="K456" i="21" a="1"/>
  <c r="K456" i="21" s="1"/>
  <c r="P456" i="21" s="1"/>
  <c r="K618" i="21" a="1"/>
  <c r="K618" i="21" s="1"/>
  <c r="P618" i="21" s="1"/>
  <c r="L537" i="21"/>
  <c r="L483" i="21"/>
  <c r="L456" i="21"/>
  <c r="L510" i="21"/>
  <c r="L564" i="21"/>
  <c r="K831" i="21" a="1"/>
  <c r="K831" i="21" s="1"/>
  <c r="L831" i="21" s="1"/>
  <c r="K433" i="21" a="1"/>
  <c r="K433" i="21" s="1"/>
  <c r="L433" i="21" s="1"/>
  <c r="K444" i="21" a="1"/>
  <c r="K444" i="21" s="1"/>
  <c r="L444" i="21" s="1"/>
  <c r="K434" i="21" a="1"/>
  <c r="K434" i="21" s="1"/>
  <c r="L434" i="21" s="1"/>
  <c r="K837" i="21" a="1"/>
  <c r="K837" i="21" s="1"/>
  <c r="L837" i="21" s="1"/>
  <c r="K449" i="21" a="1"/>
  <c r="K449" i="21" s="1"/>
  <c r="L449" i="21" s="1"/>
  <c r="K432" i="21" a="1"/>
  <c r="K432" i="21" s="1"/>
  <c r="L432" i="21" s="1"/>
  <c r="K451" i="21" a="1"/>
  <c r="K451" i="21" s="1"/>
  <c r="L451" i="21" s="1"/>
  <c r="K834" i="21" a="1"/>
  <c r="K834" i="21" s="1"/>
  <c r="L834" i="21" s="1"/>
  <c r="K820" i="21" a="1"/>
  <c r="K820" i="21" s="1"/>
  <c r="L820" i="21" s="1"/>
  <c r="I828" i="21"/>
  <c r="J828" i="21" a="1"/>
  <c r="J828" i="21" s="1"/>
  <c r="P828" i="21"/>
  <c r="K822" i="21" a="1"/>
  <c r="K822" i="21" s="1"/>
  <c r="L822" i="21" s="1"/>
  <c r="J443" i="21" a="1"/>
  <c r="J443" i="21" s="1"/>
  <c r="I443" i="21"/>
  <c r="P443" i="21"/>
  <c r="K829" i="21" a="1"/>
  <c r="K829" i="21" s="1"/>
  <c r="L829" i="21" s="1"/>
  <c r="K827" i="21" a="1"/>
  <c r="K827" i="21" s="1"/>
  <c r="L827" i="21" s="1"/>
  <c r="K447" i="21" a="1"/>
  <c r="K447" i="21" s="1"/>
  <c r="L447" i="21" s="1"/>
  <c r="K445" i="21" a="1"/>
  <c r="K445" i="21" s="1"/>
  <c r="L445" i="21" s="1"/>
  <c r="K817" i="21" a="1"/>
  <c r="K817" i="21" s="1"/>
  <c r="L817" i="21" s="1"/>
  <c r="L478" i="21"/>
  <c r="I478" i="21"/>
  <c r="J478" i="21" a="1"/>
  <c r="J478" i="21" s="1"/>
  <c r="K478" i="21" a="1"/>
  <c r="K478" i="21" s="1"/>
  <c r="P478" i="21" s="1"/>
  <c r="L559" i="21"/>
  <c r="K559" i="21" a="1"/>
  <c r="K559" i="21" s="1"/>
  <c r="P559" i="21" s="1"/>
  <c r="J559" i="21" a="1"/>
  <c r="J559" i="21" s="1"/>
  <c r="I559" i="21"/>
  <c r="L505" i="21"/>
  <c r="I505" i="21"/>
  <c r="J505" i="21" a="1"/>
  <c r="J505" i="21" s="1"/>
  <c r="K505" i="21" a="1"/>
  <c r="K505" i="21" s="1"/>
  <c r="P505" i="21" s="1"/>
  <c r="J586" i="21" a="1"/>
  <c r="J586" i="21" s="1"/>
  <c r="L586" i="21"/>
  <c r="K586" i="21" a="1"/>
  <c r="K586" i="21" s="1"/>
  <c r="P586" i="21" s="1"/>
  <c r="I586" i="21"/>
  <c r="L532" i="21"/>
  <c r="K532" i="21" a="1"/>
  <c r="K532" i="21" s="1"/>
  <c r="P532" i="21" s="1"/>
  <c r="J532" i="21" a="1"/>
  <c r="J532" i="21" s="1"/>
  <c r="I532" i="21"/>
  <c r="J613" i="21" a="1"/>
  <c r="J613" i="21" s="1"/>
  <c r="K613" i="21" a="1"/>
  <c r="K613" i="21" s="1"/>
  <c r="P613" i="21" s="1"/>
  <c r="L613" i="21"/>
  <c r="I613" i="21"/>
  <c r="J640" i="21" a="1"/>
  <c r="J640" i="21" s="1"/>
  <c r="I640" i="21"/>
  <c r="L640" i="21"/>
  <c r="K640" i="21" a="1"/>
  <c r="K640" i="21" s="1"/>
  <c r="P640" i="21" s="1"/>
  <c r="J555" i="21" a="1"/>
  <c r="J555" i="21" s="1"/>
  <c r="I555" i="21"/>
  <c r="I582" i="21"/>
  <c r="J582" i="21" a="1"/>
  <c r="J582" i="21" s="1"/>
  <c r="I609" i="21"/>
  <c r="J609" i="21" a="1"/>
  <c r="J609" i="21" s="1"/>
  <c r="J636" i="21" a="1"/>
  <c r="J636" i="21" s="1"/>
  <c r="I636" i="21"/>
  <c r="J528" i="21" a="1"/>
  <c r="J528" i="21" s="1"/>
  <c r="I528" i="21"/>
  <c r="I474" i="21"/>
  <c r="J474" i="21" a="1"/>
  <c r="J474" i="21" s="1"/>
  <c r="J501" i="21" a="1"/>
  <c r="J501" i="21" s="1"/>
  <c r="I501" i="21"/>
  <c r="J469" i="21" a="1"/>
  <c r="J469" i="21" s="1"/>
  <c r="I469" i="21"/>
  <c r="K469" i="21" a="1"/>
  <c r="K469" i="21" s="1"/>
  <c r="P469" i="21" s="1"/>
  <c r="J550" i="21" a="1"/>
  <c r="J550" i="21" s="1"/>
  <c r="K550" i="21" a="1"/>
  <c r="K550" i="21" s="1"/>
  <c r="L550" i="21" s="1"/>
  <c r="I550" i="21"/>
  <c r="J577" i="21" a="1"/>
  <c r="J577" i="21" s="1"/>
  <c r="I577" i="21"/>
  <c r="K577" i="21" s="1" a="1"/>
  <c r="K577" i="21" s="1"/>
  <c r="I604" i="21"/>
  <c r="J604" i="21" a="1"/>
  <c r="J604" i="21" s="1"/>
  <c r="K604" i="21" s="1" a="1"/>
  <c r="K604" i="21" s="1"/>
  <c r="J523" i="21" a="1"/>
  <c r="J523" i="21" s="1"/>
  <c r="K523" i="21" a="1"/>
  <c r="K523" i="21" s="1"/>
  <c r="L523" i="21" s="1"/>
  <c r="I523" i="21"/>
  <c r="P523" i="21"/>
  <c r="I496" i="21"/>
  <c r="J496" i="21" a="1"/>
  <c r="J496" i="21" s="1"/>
  <c r="K496" i="21" a="1"/>
  <c r="K496" i="21" s="1"/>
  <c r="P496" i="21" s="1"/>
  <c r="I631" i="21"/>
  <c r="J631" i="21" a="1"/>
  <c r="J631" i="21" s="1"/>
  <c r="K631" i="21" a="1"/>
  <c r="K631" i="21" s="1"/>
  <c r="P631" i="21" s="1"/>
  <c r="J546" i="21" a="1"/>
  <c r="J546" i="21" s="1"/>
  <c r="I546" i="21"/>
  <c r="J465" i="21" a="1"/>
  <c r="J465" i="21" s="1"/>
  <c r="I465" i="21"/>
  <c r="I492" i="21"/>
  <c r="J492" i="21" a="1"/>
  <c r="J492" i="21" s="1"/>
  <c r="J573" i="21" a="1"/>
  <c r="J573" i="21" s="1"/>
  <c r="I573" i="21"/>
  <c r="J519" i="21" a="1"/>
  <c r="J519" i="21" s="1"/>
  <c r="I519" i="21"/>
  <c r="J600" i="21" a="1"/>
  <c r="J600" i="21" s="1"/>
  <c r="I600" i="21"/>
  <c r="I627" i="21"/>
  <c r="K627" i="21" s="1" a="1"/>
  <c r="K627" i="21" s="1"/>
  <c r="J627" i="21" a="1"/>
  <c r="J627" i="21" s="1"/>
  <c r="I568" i="21"/>
  <c r="J568" i="21" a="1"/>
  <c r="J568" i="21" s="1"/>
  <c r="L568" i="21"/>
  <c r="K568" i="21" a="1"/>
  <c r="K568" i="21" s="1"/>
  <c r="P568" i="21" s="1"/>
  <c r="J460" i="21" a="1"/>
  <c r="J460" i="21" s="1"/>
  <c r="I460" i="21"/>
  <c r="K460" i="21" a="1"/>
  <c r="K460" i="21" s="1"/>
  <c r="P460" i="21" s="1"/>
  <c r="L460" i="21"/>
  <c r="K487" i="21" a="1"/>
  <c r="K487" i="21" s="1"/>
  <c r="P487" i="21" s="1"/>
  <c r="I487" i="21"/>
  <c r="J487" i="21" a="1"/>
  <c r="J487" i="21" s="1"/>
  <c r="L487" i="21"/>
  <c r="J514" i="21" a="1"/>
  <c r="J514" i="21" s="1"/>
  <c r="I514" i="21"/>
  <c r="L514" i="21"/>
  <c r="K514" i="21" a="1"/>
  <c r="K514" i="21" s="1"/>
  <c r="P514" i="21" s="1"/>
  <c r="J595" i="21" a="1"/>
  <c r="J595" i="21" s="1"/>
  <c r="I595" i="21"/>
  <c r="L595" i="21"/>
  <c r="K595" i="21" a="1"/>
  <c r="K595" i="21" s="1"/>
  <c r="P595" i="21" s="1"/>
  <c r="K541" i="21" a="1"/>
  <c r="K541" i="21" s="1"/>
  <c r="P541" i="21" s="1"/>
  <c r="J541" i="21" a="1"/>
  <c r="J541" i="21" s="1"/>
  <c r="L541" i="21"/>
  <c r="I541" i="21"/>
  <c r="L622" i="21"/>
  <c r="I622" i="21"/>
  <c r="J622" i="21" a="1"/>
  <c r="J622" i="21" s="1"/>
  <c r="K622" i="21" a="1"/>
  <c r="K622" i="21" s="1"/>
  <c r="P622" i="21" s="1"/>
  <c r="J941" i="21" a="1"/>
  <c r="J941" i="21" s="1"/>
  <c r="I941" i="21"/>
  <c r="J914" i="21" a="1"/>
  <c r="J914" i="21" s="1"/>
  <c r="I914" i="21"/>
  <c r="J887" i="21" a="1"/>
  <c r="J887" i="21" s="1"/>
  <c r="I887" i="21"/>
  <c r="J968" i="21" a="1"/>
  <c r="J968" i="21" s="1"/>
  <c r="I968" i="21"/>
  <c r="I860" i="21"/>
  <c r="J860" i="21" a="1"/>
  <c r="J860" i="21" s="1"/>
  <c r="I1022" i="21"/>
  <c r="J1022" i="21" a="1"/>
  <c r="J1022" i="21" s="1"/>
  <c r="J995" i="21" a="1"/>
  <c r="J995" i="21" s="1"/>
  <c r="I995" i="21"/>
  <c r="I846" i="21"/>
  <c r="J846" i="21" a="1"/>
  <c r="J846" i="21" s="1"/>
  <c r="J873" i="21" a="1"/>
  <c r="J873" i="21" s="1"/>
  <c r="I873" i="21"/>
  <c r="J954" i="21" a="1"/>
  <c r="J954" i="21" s="1"/>
  <c r="I954" i="21"/>
  <c r="J927" i="21" a="1"/>
  <c r="J927" i="21" s="1"/>
  <c r="I927" i="21"/>
  <c r="I1008" i="21"/>
  <c r="J1008" i="21" a="1"/>
  <c r="J1008" i="21" s="1"/>
  <c r="J981" i="21" a="1"/>
  <c r="J981" i="21" s="1"/>
  <c r="I981" i="21"/>
  <c r="J900" i="21" a="1"/>
  <c r="J900" i="21" s="1"/>
  <c r="I900" i="21"/>
  <c r="I867" i="21"/>
  <c r="J867" i="21" a="1"/>
  <c r="J867" i="21" s="1"/>
  <c r="I894" i="21"/>
  <c r="J894" i="21" a="1"/>
  <c r="J894" i="21" s="1"/>
  <c r="J975" i="21" a="1"/>
  <c r="J975" i="21" s="1"/>
  <c r="I975" i="21"/>
  <c r="I840" i="21"/>
  <c r="J840" i="21" a="1"/>
  <c r="J840" i="21" s="1"/>
  <c r="J1002" i="21" a="1"/>
  <c r="J1002" i="21" s="1"/>
  <c r="I1002" i="21"/>
  <c r="I921" i="21"/>
  <c r="J921" i="21" a="1"/>
  <c r="J921" i="21" s="1"/>
  <c r="I948" i="21"/>
  <c r="J948" i="21" a="1"/>
  <c r="J948" i="21" s="1"/>
  <c r="J891" i="21" a="1"/>
  <c r="J891" i="21" s="1"/>
  <c r="I891" i="21"/>
  <c r="L891" i="21"/>
  <c r="K891" i="21" a="1"/>
  <c r="K891" i="21" s="1"/>
  <c r="P891" i="21" s="1"/>
  <c r="J864" i="21" a="1"/>
  <c r="J864" i="21" s="1"/>
  <c r="K864" i="21" a="1"/>
  <c r="K864" i="21" s="1"/>
  <c r="P864" i="21" s="1"/>
  <c r="I864" i="21"/>
  <c r="L864" i="21"/>
  <c r="J999" i="21" a="1"/>
  <c r="J999" i="21" s="1"/>
  <c r="I999" i="21"/>
  <c r="L999" i="21"/>
  <c r="K999" i="21" a="1"/>
  <c r="K999" i="21" s="1"/>
  <c r="P999" i="21" s="1"/>
  <c r="J972" i="21" a="1"/>
  <c r="J972" i="21" s="1"/>
  <c r="K972" i="21" a="1"/>
  <c r="K972" i="21" s="1"/>
  <c r="P972" i="21" s="1"/>
  <c r="I972" i="21"/>
  <c r="L972" i="21"/>
  <c r="L945" i="21"/>
  <c r="K945" i="21" a="1"/>
  <c r="K945" i="21" s="1"/>
  <c r="P945" i="21" s="1"/>
  <c r="I945" i="21"/>
  <c r="J945" i="21" a="1"/>
  <c r="J945" i="21" s="1"/>
  <c r="J918" i="21" a="1"/>
  <c r="J918" i="21" s="1"/>
  <c r="I918" i="21"/>
  <c r="L918" i="21"/>
  <c r="K918" i="21" a="1"/>
  <c r="K918" i="21" s="1"/>
  <c r="P918" i="21" s="1"/>
  <c r="J1026" i="21" a="1"/>
  <c r="J1026" i="21" s="1"/>
  <c r="K1026" i="21" a="1"/>
  <c r="K1026" i="21" s="1"/>
  <c r="P1026" i="21" s="1"/>
  <c r="L1026" i="21"/>
  <c r="I1026" i="21"/>
  <c r="J475" i="21" a="1"/>
  <c r="J475" i="21" s="1"/>
  <c r="I475" i="21"/>
  <c r="K475" i="21" s="1" a="1"/>
  <c r="K475" i="21" s="1"/>
  <c r="J529" i="21" a="1"/>
  <c r="J529" i="21" s="1"/>
  <c r="I529" i="21"/>
  <c r="J637" i="21" a="1"/>
  <c r="J637" i="21" s="1"/>
  <c r="I637" i="21"/>
  <c r="J502" i="21" a="1"/>
  <c r="J502" i="21" s="1"/>
  <c r="I502" i="21"/>
  <c r="J610" i="21" a="1"/>
  <c r="J610" i="21" s="1"/>
  <c r="I610" i="21"/>
  <c r="I556" i="21"/>
  <c r="J556" i="21" a="1"/>
  <c r="J556" i="21" s="1"/>
  <c r="J583" i="21" a="1"/>
  <c r="J583" i="21" s="1"/>
  <c r="I583" i="21"/>
  <c r="J623" i="21" a="1"/>
  <c r="J623" i="21" s="1"/>
  <c r="I623" i="21"/>
  <c r="I515" i="21"/>
  <c r="J515" i="21" a="1"/>
  <c r="J515" i="21" s="1"/>
  <c r="J569" i="21" a="1"/>
  <c r="J569" i="21" s="1"/>
  <c r="I569" i="21"/>
  <c r="J596" i="21" a="1"/>
  <c r="J596" i="21" s="1"/>
  <c r="I596" i="21"/>
  <c r="J542" i="21" a="1"/>
  <c r="J542" i="21" s="1"/>
  <c r="I542" i="21"/>
  <c r="I488" i="21"/>
  <c r="J488" i="21" a="1"/>
  <c r="J488" i="21" s="1"/>
  <c r="J461" i="21" a="1"/>
  <c r="J461" i="21" s="1"/>
  <c r="I461" i="21"/>
  <c r="L641" i="21"/>
  <c r="K641" i="21" a="1"/>
  <c r="K641" i="21" s="1"/>
  <c r="P641" i="21" s="1"/>
  <c r="J641" i="21" a="1"/>
  <c r="J641" i="21" s="1"/>
  <c r="I641" i="21"/>
  <c r="L479" i="21"/>
  <c r="K479" i="21" a="1"/>
  <c r="K479" i="21" s="1"/>
  <c r="P479" i="21" s="1"/>
  <c r="J479" i="21" a="1"/>
  <c r="J479" i="21" s="1"/>
  <c r="I479" i="21"/>
  <c r="L506" i="21"/>
  <c r="K506" i="21" a="1"/>
  <c r="K506" i="21" s="1"/>
  <c r="P506" i="21" s="1"/>
  <c r="J506" i="21" a="1"/>
  <c r="J506" i="21" s="1"/>
  <c r="I506" i="21"/>
  <c r="J587" i="21" a="1"/>
  <c r="J587" i="21" s="1"/>
  <c r="I587" i="21"/>
  <c r="L587" i="21"/>
  <c r="K587" i="21" a="1"/>
  <c r="K587" i="21" s="1"/>
  <c r="P587" i="21" s="1"/>
  <c r="J533" i="21" a="1"/>
  <c r="J533" i="21" s="1"/>
  <c r="K533" i="21" a="1"/>
  <c r="K533" i="21" s="1"/>
  <c r="P533" i="21" s="1"/>
  <c r="I533" i="21"/>
  <c r="L533" i="21"/>
  <c r="J614" i="21" a="1"/>
  <c r="J614" i="21" s="1"/>
  <c r="K614" i="21" a="1"/>
  <c r="K614" i="21" s="1"/>
  <c r="P614" i="21" s="1"/>
  <c r="L614" i="21"/>
  <c r="I614" i="21"/>
  <c r="J560" i="21" a="1"/>
  <c r="J560" i="21" s="1"/>
  <c r="K560" i="21" a="1"/>
  <c r="K560" i="21" s="1"/>
  <c r="P560" i="21" s="1"/>
  <c r="L560" i="21"/>
  <c r="I560" i="21"/>
  <c r="L971" i="21"/>
  <c r="K971" i="21" a="1"/>
  <c r="K971" i="21" s="1"/>
  <c r="P971" i="21" s="1"/>
  <c r="I971" i="21"/>
  <c r="J971" i="21" a="1"/>
  <c r="J971" i="21" s="1"/>
  <c r="L917" i="21"/>
  <c r="K917" i="21" a="1"/>
  <c r="K917" i="21" s="1"/>
  <c r="P917" i="21" s="1"/>
  <c r="J917" i="21" a="1"/>
  <c r="J917" i="21" s="1"/>
  <c r="I917" i="21"/>
  <c r="L890" i="21"/>
  <c r="K890" i="21" a="1"/>
  <c r="K890" i="21" s="1"/>
  <c r="P890" i="21" s="1"/>
  <c r="I890" i="21"/>
  <c r="J890" i="21" a="1"/>
  <c r="J890" i="21" s="1"/>
  <c r="J998" i="21" a="1"/>
  <c r="J998" i="21" s="1"/>
  <c r="I998" i="21"/>
  <c r="L998" i="21"/>
  <c r="K998" i="21" a="1"/>
  <c r="K998" i="21" s="1"/>
  <c r="P998" i="21" s="1"/>
  <c r="L944" i="21"/>
  <c r="I944" i="21"/>
  <c r="J944" i="21" a="1"/>
  <c r="J944" i="21" s="1"/>
  <c r="K944" i="21" a="1"/>
  <c r="K944" i="21" s="1"/>
  <c r="P944" i="21" s="1"/>
  <c r="L863" i="21"/>
  <c r="J863" i="21" a="1"/>
  <c r="J863" i="21" s="1"/>
  <c r="K863" i="21" a="1"/>
  <c r="K863" i="21" s="1"/>
  <c r="P863" i="21" s="1"/>
  <c r="I863" i="21"/>
  <c r="J1025" i="21" a="1"/>
  <c r="J1025" i="21" s="1"/>
  <c r="K1025" i="21" a="1"/>
  <c r="K1025" i="21" s="1"/>
  <c r="P1025" i="21" s="1"/>
  <c r="I1025" i="21"/>
  <c r="L1025" i="21"/>
  <c r="L859" i="21"/>
  <c r="I859" i="21"/>
  <c r="J859" i="21" a="1"/>
  <c r="J859" i="21" s="1"/>
  <c r="K859" i="21" a="1"/>
  <c r="K859" i="21" s="1"/>
  <c r="P859" i="21" s="1"/>
  <c r="J913" i="21" a="1"/>
  <c r="J913" i="21" s="1"/>
  <c r="I913" i="21"/>
  <c r="L913" i="21"/>
  <c r="K913" i="21" a="1"/>
  <c r="K913" i="21" s="1"/>
  <c r="P913" i="21" s="1"/>
  <c r="I940" i="21"/>
  <c r="K940" i="21" a="1"/>
  <c r="K940" i="21" s="1"/>
  <c r="P940" i="21" s="1"/>
  <c r="J940" i="21" a="1"/>
  <c r="J940" i="21" s="1"/>
  <c r="L940" i="21"/>
  <c r="J994" i="21" a="1"/>
  <c r="J994" i="21" s="1"/>
  <c r="K994" i="21" a="1"/>
  <c r="K994" i="21" s="1"/>
  <c r="P994" i="21" s="1"/>
  <c r="L994" i="21"/>
  <c r="I994" i="21"/>
  <c r="K1021" i="21" a="1"/>
  <c r="K1021" i="21" s="1"/>
  <c r="P1021" i="21" s="1"/>
  <c r="L1021" i="21"/>
  <c r="J1021" i="21" a="1"/>
  <c r="J1021" i="21" s="1"/>
  <c r="I1021" i="21"/>
  <c r="J967" i="21" a="1"/>
  <c r="J967" i="21" s="1"/>
  <c r="I967" i="21"/>
  <c r="L967" i="21"/>
  <c r="K967" i="21" a="1"/>
  <c r="K967" i="21" s="1"/>
  <c r="P967" i="21" s="1"/>
  <c r="I886" i="21"/>
  <c r="J886" i="21" a="1"/>
  <c r="J886" i="21" s="1"/>
  <c r="K886" i="21" a="1"/>
  <c r="K886" i="21" s="1"/>
  <c r="P886" i="21" s="1"/>
  <c r="L886" i="21"/>
  <c r="J854" i="21" a="1"/>
  <c r="J854" i="21" s="1"/>
  <c r="I854" i="21"/>
  <c r="L854" i="21"/>
  <c r="K854" i="21" a="1"/>
  <c r="K854" i="21" s="1"/>
  <c r="P854" i="21" s="1"/>
  <c r="I881" i="21"/>
  <c r="L881" i="21"/>
  <c r="K881" i="21" a="1"/>
  <c r="K881" i="21" s="1"/>
  <c r="P881" i="21" s="1"/>
  <c r="J881" i="21" a="1"/>
  <c r="J881" i="21" s="1"/>
  <c r="J908" i="21" a="1"/>
  <c r="J908" i="21" s="1"/>
  <c r="I908" i="21"/>
  <c r="L908" i="21"/>
  <c r="K908" i="21" a="1"/>
  <c r="K908" i="21" s="1"/>
  <c r="P908" i="21" s="1"/>
  <c r="J962" i="21" a="1"/>
  <c r="J962" i="21" s="1"/>
  <c r="L962" i="21"/>
  <c r="K962" i="21" a="1"/>
  <c r="K962" i="21" s="1"/>
  <c r="P962" i="21" s="1"/>
  <c r="I962" i="21"/>
  <c r="I1016" i="21"/>
  <c r="K1016" i="21" a="1"/>
  <c r="K1016" i="21" s="1"/>
  <c r="P1016" i="21" s="1"/>
  <c r="J1016" i="21" a="1"/>
  <c r="J1016" i="21" s="1"/>
  <c r="L1016" i="21"/>
  <c r="K935" i="21" a="1"/>
  <c r="K935" i="21" s="1"/>
  <c r="L935" i="21"/>
  <c r="J935" i="21" a="1"/>
  <c r="J935" i="21" s="1"/>
  <c r="I935" i="21"/>
  <c r="P935" i="21"/>
  <c r="J989" i="21" a="1"/>
  <c r="J989" i="21" s="1"/>
  <c r="K989" i="21" a="1"/>
  <c r="K989" i="21" s="1"/>
  <c r="P989" i="21" s="1"/>
  <c r="I989" i="21"/>
  <c r="L989" i="21"/>
  <c r="I850" i="21"/>
  <c r="J850" i="21" a="1"/>
  <c r="J850" i="21" s="1"/>
  <c r="I958" i="21"/>
  <c r="J958" i="21" a="1"/>
  <c r="J958" i="21" s="1"/>
  <c r="J931" i="21" a="1"/>
  <c r="J931" i="21" s="1"/>
  <c r="I931" i="21"/>
  <c r="J985" i="21" a="1"/>
  <c r="J985" i="21" s="1"/>
  <c r="I985" i="21"/>
  <c r="J877" i="21" a="1"/>
  <c r="J877" i="21" s="1"/>
  <c r="I877" i="21"/>
  <c r="I1012" i="21"/>
  <c r="J1012" i="21" a="1"/>
  <c r="J1012" i="21" s="1"/>
  <c r="I904" i="21"/>
  <c r="J904" i="21" a="1"/>
  <c r="J904" i="21" s="1"/>
  <c r="I872" i="21"/>
  <c r="J872" i="21" a="1"/>
  <c r="J872" i="21" s="1"/>
  <c r="K872" i="21" s="1" a="1"/>
  <c r="K872" i="21" s="1"/>
  <c r="P872" i="21" s="1"/>
  <c r="J926" i="21" a="1"/>
  <c r="J926" i="21" s="1"/>
  <c r="I926" i="21"/>
  <c r="J980" i="21" a="1"/>
  <c r="J980" i="21" s="1"/>
  <c r="I980" i="21"/>
  <c r="J899" i="21" a="1"/>
  <c r="J899" i="21" s="1"/>
  <c r="I899" i="21"/>
  <c r="I845" i="21"/>
  <c r="J845" i="21" a="1"/>
  <c r="J845" i="21" s="1"/>
  <c r="J953" i="21" a="1"/>
  <c r="J953" i="21" s="1"/>
  <c r="I953" i="21"/>
  <c r="K953" i="21" s="1" a="1"/>
  <c r="K953" i="21" s="1"/>
  <c r="P953" i="21" s="1"/>
  <c r="J1007" i="21" a="1"/>
  <c r="J1007" i="21" s="1"/>
  <c r="I1007" i="21"/>
  <c r="O3" i="21"/>
  <c r="O4" i="21" s="1"/>
  <c r="O5" i="21" s="1"/>
  <c r="O6" i="21" s="1"/>
  <c r="O7" i="21" s="1"/>
  <c r="O8" i="21" s="1"/>
  <c r="O9" i="21" s="1"/>
  <c r="O10" i="21" s="1"/>
  <c r="O11" i="21" s="1"/>
  <c r="O12" i="21" s="1"/>
  <c r="O13" i="21" s="1"/>
  <c r="O14" i="21" s="1"/>
  <c r="O15" i="21" s="1"/>
  <c r="O16" i="21" s="1"/>
  <c r="O17" i="21" s="1"/>
  <c r="O18" i="21" s="1"/>
  <c r="O19" i="21" s="1"/>
  <c r="O20" i="21" s="1"/>
  <c r="O21" i="21" s="1"/>
  <c r="J638" i="21" a="1"/>
  <c r="J638" i="21" s="1"/>
  <c r="K638" i="21" a="1"/>
  <c r="K638" i="21" s="1"/>
  <c r="P638" i="21" s="1"/>
  <c r="L638" i="21"/>
  <c r="I638" i="21"/>
  <c r="L503" i="21"/>
  <c r="I503" i="21"/>
  <c r="J503" i="21" a="1"/>
  <c r="J503" i="21" s="1"/>
  <c r="K503" i="21" a="1"/>
  <c r="K503" i="21" s="1"/>
  <c r="P503" i="21" s="1"/>
  <c r="J530" i="21" a="1"/>
  <c r="J530" i="21" s="1"/>
  <c r="I530" i="21"/>
  <c r="L530" i="21"/>
  <c r="K530" i="21" a="1"/>
  <c r="K530" i="21" s="1"/>
  <c r="P530" i="21" s="1"/>
  <c r="J557" i="21" a="1"/>
  <c r="J557" i="21" s="1"/>
  <c r="I557" i="21"/>
  <c r="L557" i="21"/>
  <c r="K557" i="21" a="1"/>
  <c r="K557" i="21" s="1"/>
  <c r="P557" i="21" s="1"/>
  <c r="L584" i="21"/>
  <c r="K584" i="21" a="1"/>
  <c r="K584" i="21" s="1"/>
  <c r="P584" i="21" s="1"/>
  <c r="I584" i="21"/>
  <c r="J584" i="21" a="1"/>
  <c r="J584" i="21" s="1"/>
  <c r="L611" i="21"/>
  <c r="K611" i="21" a="1"/>
  <c r="K611" i="21" s="1"/>
  <c r="P611" i="21" s="1"/>
  <c r="I611" i="21"/>
  <c r="J611" i="21" a="1"/>
  <c r="J611" i="21" s="1"/>
  <c r="L476" i="21"/>
  <c r="K476" i="21" a="1"/>
  <c r="K476" i="21" s="1"/>
  <c r="P476" i="21" s="1"/>
  <c r="J476" i="21" a="1"/>
  <c r="J476" i="21" s="1"/>
  <c r="I476" i="21"/>
  <c r="J526" i="21" a="1"/>
  <c r="J526" i="21" s="1"/>
  <c r="K526" i="21" a="1"/>
  <c r="K526" i="21" s="1"/>
  <c r="P526" i="21" s="1"/>
  <c r="L526" i="21"/>
  <c r="I526" i="21"/>
  <c r="L472" i="21"/>
  <c r="I472" i="21"/>
  <c r="J472" i="21" a="1"/>
  <c r="J472" i="21" s="1"/>
  <c r="K472" i="21" a="1"/>
  <c r="K472" i="21" s="1"/>
  <c r="P472" i="21" s="1"/>
  <c r="K580" i="21" a="1"/>
  <c r="K580" i="21" s="1"/>
  <c r="P580" i="21" s="1"/>
  <c r="L580" i="21"/>
  <c r="J580" i="21" a="1"/>
  <c r="J580" i="21" s="1"/>
  <c r="I580" i="21"/>
  <c r="J553" i="21" a="1"/>
  <c r="J553" i="21" s="1"/>
  <c r="I553" i="21"/>
  <c r="L553" i="21"/>
  <c r="K553" i="21" a="1"/>
  <c r="K553" i="21" s="1"/>
  <c r="P553" i="21" s="1"/>
  <c r="K607" i="21" a="1"/>
  <c r="K607" i="21" s="1"/>
  <c r="I607" i="21"/>
  <c r="P607" i="21"/>
  <c r="J607" i="21" a="1"/>
  <c r="J607" i="21" s="1"/>
  <c r="L607" i="21"/>
  <c r="J499" i="21" a="1"/>
  <c r="J499" i="21" s="1"/>
  <c r="L499" i="21"/>
  <c r="K499" i="21" a="1"/>
  <c r="K499" i="21" s="1"/>
  <c r="P499" i="21" s="1"/>
  <c r="I499" i="21"/>
  <c r="I634" i="21"/>
  <c r="J634" i="21" a="1"/>
  <c r="J634" i="21" s="1"/>
  <c r="K634" i="21" a="1"/>
  <c r="K634" i="21" s="1"/>
  <c r="P634" i="21" s="1"/>
  <c r="L634" i="21"/>
  <c r="J592" i="21" a="1"/>
  <c r="J592" i="21" s="1"/>
  <c r="L592" i="21"/>
  <c r="I592" i="21"/>
  <c r="K592" i="21" a="1"/>
  <c r="K592" i="21" s="1"/>
  <c r="P592" i="21" s="1"/>
  <c r="J457" i="21" a="1"/>
  <c r="J457" i="21" s="1"/>
  <c r="K457" i="21" a="1"/>
  <c r="K457" i="21" s="1"/>
  <c r="P457" i="21" s="1"/>
  <c r="L457" i="21"/>
  <c r="I457" i="21"/>
  <c r="J538" i="21" a="1"/>
  <c r="J538" i="21" s="1"/>
  <c r="L538" i="21"/>
  <c r="I538" i="21"/>
  <c r="K538" i="21" a="1"/>
  <c r="K538" i="21" s="1"/>
  <c r="P538" i="21" s="1"/>
  <c r="J619" i="21" a="1"/>
  <c r="J619" i="21" s="1"/>
  <c r="I619" i="21"/>
  <c r="K619" i="21" a="1"/>
  <c r="K619" i="21" s="1"/>
  <c r="P619" i="21" s="1"/>
  <c r="L619" i="21"/>
  <c r="J484" i="21" a="1"/>
  <c r="J484" i="21" s="1"/>
  <c r="I484" i="21"/>
  <c r="L484" i="21"/>
  <c r="K484" i="21" a="1"/>
  <c r="K484" i="21" s="1"/>
  <c r="P484" i="21" s="1"/>
  <c r="J565" i="21" a="1"/>
  <c r="J565" i="21" s="1"/>
  <c r="L565" i="21"/>
  <c r="I565" i="21"/>
  <c r="K565" i="21" a="1"/>
  <c r="K565" i="21" s="1"/>
  <c r="P565" i="21" s="1"/>
  <c r="I511" i="21"/>
  <c r="K511" i="21" a="1"/>
  <c r="K511" i="21" s="1"/>
  <c r="P511" i="21" s="1"/>
  <c r="J511" i="21" a="1"/>
  <c r="J511" i="21" s="1"/>
  <c r="L511" i="21"/>
  <c r="J943" i="21" a="1"/>
  <c r="J943" i="21" s="1"/>
  <c r="I943" i="21"/>
  <c r="I916" i="21"/>
  <c r="J916" i="21" a="1"/>
  <c r="J916" i="21" s="1"/>
  <c r="J1024" i="21" a="1"/>
  <c r="J1024" i="21" s="1"/>
  <c r="I1024" i="21"/>
  <c r="J997" i="21" a="1"/>
  <c r="J997" i="21" s="1"/>
  <c r="I997" i="21"/>
  <c r="I970" i="21"/>
  <c r="J970" i="21" a="1"/>
  <c r="J970" i="21" s="1"/>
  <c r="J889" i="21" a="1"/>
  <c r="J889" i="21" s="1"/>
  <c r="I889" i="21"/>
  <c r="J862" i="21" a="1"/>
  <c r="J862" i="21" s="1"/>
  <c r="I862" i="21"/>
  <c r="L885" i="21"/>
  <c r="I885" i="21"/>
  <c r="K885" i="21" a="1"/>
  <c r="K885" i="21" s="1"/>
  <c r="P885" i="21" s="1"/>
  <c r="J885" i="21" a="1"/>
  <c r="J885" i="21" s="1"/>
  <c r="J858" i="21" a="1"/>
  <c r="J858" i="21" s="1"/>
  <c r="K858" i="21" a="1"/>
  <c r="K858" i="21" s="1"/>
  <c r="P858" i="21" s="1"/>
  <c r="I858" i="21"/>
  <c r="L858" i="21"/>
  <c r="I993" i="21"/>
  <c r="L993" i="21"/>
  <c r="K993" i="21" a="1"/>
  <c r="K993" i="21" s="1"/>
  <c r="P993" i="21" s="1"/>
  <c r="J993" i="21" a="1"/>
  <c r="J993" i="21" s="1"/>
  <c r="J912" i="21" a="1"/>
  <c r="J912" i="21" s="1"/>
  <c r="K912" i="21" a="1"/>
  <c r="K912" i="21" s="1"/>
  <c r="P912" i="21" s="1"/>
  <c r="I912" i="21"/>
  <c r="L912" i="21"/>
  <c r="J966" i="21" a="1"/>
  <c r="J966" i="21" s="1"/>
  <c r="K966" i="21" a="1"/>
  <c r="K966" i="21" s="1"/>
  <c r="P966" i="21" s="1"/>
  <c r="L966" i="21"/>
  <c r="I966" i="21"/>
  <c r="L939" i="21"/>
  <c r="K939" i="21" a="1"/>
  <c r="K939" i="21" s="1"/>
  <c r="P939" i="21" s="1"/>
  <c r="I939" i="21"/>
  <c r="J939" i="21" a="1"/>
  <c r="J939" i="21" s="1"/>
  <c r="K1020" i="21" a="1"/>
  <c r="K1020" i="21" s="1"/>
  <c r="P1020" i="21" s="1"/>
  <c r="I1020" i="21"/>
  <c r="J1020" i="21" a="1"/>
  <c r="J1020" i="21" s="1"/>
  <c r="L1020" i="21"/>
  <c r="J853" i="21" a="1"/>
  <c r="J853" i="21" s="1"/>
  <c r="I853" i="21"/>
  <c r="J1015" i="21" a="1"/>
  <c r="J1015" i="21" s="1"/>
  <c r="I1015" i="21"/>
  <c r="J961" i="21" a="1"/>
  <c r="J961" i="21" s="1"/>
  <c r="I961" i="21"/>
  <c r="J907" i="21" a="1"/>
  <c r="J907" i="21" s="1"/>
  <c r="I907" i="21"/>
  <c r="J988" i="21" a="1"/>
  <c r="J988" i="21" s="1"/>
  <c r="I988" i="21"/>
  <c r="I880" i="21"/>
  <c r="J880" i="21" a="1"/>
  <c r="J880" i="21" s="1"/>
  <c r="I934" i="21"/>
  <c r="J934" i="21" a="1"/>
  <c r="J934" i="21" s="1"/>
  <c r="I903" i="21"/>
  <c r="J903" i="21" a="1"/>
  <c r="J903" i="21" s="1"/>
  <c r="I849" i="21"/>
  <c r="J849" i="21" a="1"/>
  <c r="J849" i="21" s="1"/>
  <c r="J930" i="21" a="1"/>
  <c r="J930" i="21" s="1"/>
  <c r="I930" i="21"/>
  <c r="J876" i="21" a="1"/>
  <c r="J876" i="21" s="1"/>
  <c r="I876" i="21"/>
  <c r="I984" i="21"/>
  <c r="J984" i="21" a="1"/>
  <c r="J984" i="21" s="1"/>
  <c r="J1011" i="21" a="1"/>
  <c r="J1011" i="21" s="1"/>
  <c r="I1011" i="21"/>
  <c r="J957" i="21" a="1"/>
  <c r="J957" i="21" s="1"/>
  <c r="I957" i="21"/>
  <c r="J585" i="21" a="1"/>
  <c r="J585" i="21" s="1"/>
  <c r="L585" i="21"/>
  <c r="K585" i="21" a="1"/>
  <c r="K585" i="21" s="1"/>
  <c r="P585" i="21" s="1"/>
  <c r="I585" i="21"/>
  <c r="L612" i="21"/>
  <c r="K612" i="21" a="1"/>
  <c r="K612" i="21" s="1"/>
  <c r="P612" i="21" s="1"/>
  <c r="J612" i="21" a="1"/>
  <c r="J612" i="21" s="1"/>
  <c r="I612" i="21"/>
  <c r="J639" i="21" a="1"/>
  <c r="J639" i="21" s="1"/>
  <c r="L639" i="21"/>
  <c r="K639" i="21" a="1"/>
  <c r="K639" i="21" s="1"/>
  <c r="P639" i="21" s="1"/>
  <c r="I639" i="21"/>
  <c r="L504" i="21"/>
  <c r="I504" i="21"/>
  <c r="J504" i="21" a="1"/>
  <c r="J504" i="21" s="1"/>
  <c r="K504" i="21" a="1"/>
  <c r="K504" i="21" s="1"/>
  <c r="P504" i="21" s="1"/>
  <c r="J531" i="21" a="1"/>
  <c r="J531" i="21" s="1"/>
  <c r="K531" i="21" a="1"/>
  <c r="K531" i="21" s="1"/>
  <c r="P531" i="21" s="1"/>
  <c r="L531" i="21"/>
  <c r="I531" i="21"/>
  <c r="J477" i="21" a="1"/>
  <c r="J477" i="21" s="1"/>
  <c r="K477" i="21" a="1"/>
  <c r="K477" i="21" s="1"/>
  <c r="P477" i="21" s="1"/>
  <c r="L477" i="21"/>
  <c r="I477" i="21"/>
  <c r="L558" i="21"/>
  <c r="J558" i="21" a="1"/>
  <c r="J558" i="21" s="1"/>
  <c r="K558" i="21" a="1"/>
  <c r="K558" i="21" s="1"/>
  <c r="P558" i="21" s="1"/>
  <c r="I558" i="21"/>
  <c r="I500" i="21"/>
  <c r="K500" i="21" a="1"/>
  <c r="K500" i="21" s="1"/>
  <c r="P500" i="21" s="1"/>
  <c r="J500" i="21" a="1"/>
  <c r="J500" i="21" s="1"/>
  <c r="L500" i="21"/>
  <c r="J635" i="21" a="1"/>
  <c r="J635" i="21" s="1"/>
  <c r="I635" i="21"/>
  <c r="L635" i="21"/>
  <c r="K635" i="21" a="1"/>
  <c r="K635" i="21" s="1"/>
  <c r="P635" i="21" s="1"/>
  <c r="J527" i="21" a="1"/>
  <c r="J527" i="21" s="1"/>
  <c r="I527" i="21"/>
  <c r="L527" i="21"/>
  <c r="K527" i="21" a="1"/>
  <c r="K527" i="21" s="1"/>
  <c r="P527" i="21" s="1"/>
  <c r="K608" i="21" a="1"/>
  <c r="K608" i="21" s="1"/>
  <c r="P608" i="21" s="1"/>
  <c r="J608" i="21" a="1"/>
  <c r="J608" i="21" s="1"/>
  <c r="L608" i="21"/>
  <c r="I608" i="21"/>
  <c r="K581" i="21" a="1"/>
  <c r="K581" i="21" s="1"/>
  <c r="P581" i="21" s="1"/>
  <c r="I581" i="21"/>
  <c r="J581" i="21" a="1"/>
  <c r="J581" i="21" s="1"/>
  <c r="L581" i="21"/>
  <c r="K473" i="21" a="1"/>
  <c r="K473" i="21" s="1"/>
  <c r="J473" i="21" a="1"/>
  <c r="J473" i="21" s="1"/>
  <c r="L473" i="21"/>
  <c r="I473" i="21"/>
  <c r="P473" i="21"/>
  <c r="L554" i="21"/>
  <c r="I554" i="21"/>
  <c r="K554" i="21" a="1"/>
  <c r="K554" i="21" s="1"/>
  <c r="P554" i="21" s="1"/>
  <c r="J554" i="21" a="1"/>
  <c r="J554" i="21" s="1"/>
  <c r="I603" i="21"/>
  <c r="J603" i="21" a="1"/>
  <c r="J603" i="21" s="1"/>
  <c r="J468" i="21" a="1"/>
  <c r="J468" i="21" s="1"/>
  <c r="I468" i="21"/>
  <c r="J522" i="21" a="1"/>
  <c r="J522" i="21" s="1"/>
  <c r="I522" i="21"/>
  <c r="J495" i="21" a="1"/>
  <c r="J495" i="21" s="1"/>
  <c r="I495" i="21"/>
  <c r="I576" i="21"/>
  <c r="J576" i="21" a="1"/>
  <c r="J576" i="21" s="1"/>
  <c r="I549" i="21"/>
  <c r="J549" i="21" a="1"/>
  <c r="J549" i="21" s="1"/>
  <c r="I630" i="21"/>
  <c r="J630" i="21" a="1"/>
  <c r="J630" i="21" s="1"/>
  <c r="J572" i="21" a="1"/>
  <c r="J572" i="21" s="1"/>
  <c r="I572" i="21"/>
  <c r="J491" i="21" a="1"/>
  <c r="J491" i="21" s="1"/>
  <c r="I491" i="21"/>
  <c r="J626" i="21" a="1"/>
  <c r="J626" i="21" s="1"/>
  <c r="I626" i="21"/>
  <c r="J464" i="21" a="1"/>
  <c r="J464" i="21" s="1"/>
  <c r="I464" i="21"/>
  <c r="J518" i="21" a="1"/>
  <c r="J518" i="21" s="1"/>
  <c r="I518" i="21"/>
  <c r="J599" i="21" a="1"/>
  <c r="J599" i="21" s="1"/>
  <c r="I599" i="21"/>
  <c r="I545" i="21"/>
  <c r="J545" i="21" a="1"/>
  <c r="J545" i="21" s="1"/>
  <c r="I861" i="21"/>
  <c r="K861" i="21" a="1"/>
  <c r="K861" i="21" s="1"/>
  <c r="P861" i="21" s="1"/>
  <c r="J861" i="21" a="1"/>
  <c r="J861" i="21" s="1"/>
  <c r="L861" i="21"/>
  <c r="J915" i="21" a="1"/>
  <c r="J915" i="21" s="1"/>
  <c r="L915" i="21"/>
  <c r="I915" i="21"/>
  <c r="K915" i="21" a="1"/>
  <c r="K915" i="21" s="1"/>
  <c r="P915" i="21" s="1"/>
  <c r="I1023" i="21"/>
  <c r="K1023" i="21" a="1"/>
  <c r="K1023" i="21" s="1"/>
  <c r="P1023" i="21" s="1"/>
  <c r="J1023" i="21" a="1"/>
  <c r="J1023" i="21" s="1"/>
  <c r="L1023" i="21"/>
  <c r="I888" i="21"/>
  <c r="K888" i="21" a="1"/>
  <c r="K888" i="21" s="1"/>
  <c r="P888" i="21" s="1"/>
  <c r="J888" i="21" a="1"/>
  <c r="J888" i="21" s="1"/>
  <c r="L888" i="21"/>
  <c r="I996" i="21"/>
  <c r="J996" i="21" a="1"/>
  <c r="J996" i="21" s="1"/>
  <c r="K996" i="21" a="1"/>
  <c r="K996" i="21" s="1"/>
  <c r="L996" i="21"/>
  <c r="P996" i="21"/>
  <c r="I942" i="21"/>
  <c r="K942" i="21" a="1"/>
  <c r="K942" i="21" s="1"/>
  <c r="P942" i="21" s="1"/>
  <c r="J942" i="21" a="1"/>
  <c r="J942" i="21" s="1"/>
  <c r="L942" i="21"/>
  <c r="J969" i="21" a="1"/>
  <c r="J969" i="21" s="1"/>
  <c r="L969" i="21"/>
  <c r="I969" i="21"/>
  <c r="K969" i="21" a="1"/>
  <c r="K969" i="21" s="1"/>
  <c r="P969" i="21" s="1"/>
  <c r="J857" i="21" a="1"/>
  <c r="J857" i="21" s="1"/>
  <c r="I857" i="21"/>
  <c r="K857" i="21" s="1" a="1"/>
  <c r="K857" i="21" s="1"/>
  <c r="P857" i="21" s="1"/>
  <c r="J965" i="21" a="1"/>
  <c r="J965" i="21" s="1"/>
  <c r="I965" i="21"/>
  <c r="J938" i="21" a="1"/>
  <c r="J938" i="21" s="1"/>
  <c r="I938" i="21"/>
  <c r="J911" i="21" a="1"/>
  <c r="J911" i="21" s="1"/>
  <c r="I911" i="21"/>
  <c r="I1019" i="21"/>
  <c r="J1019" i="21" a="1"/>
  <c r="J1019" i="21" s="1"/>
  <c r="I992" i="21"/>
  <c r="J992" i="21" a="1"/>
  <c r="J992" i="21" s="1"/>
  <c r="I884" i="21"/>
  <c r="J884" i="21" a="1"/>
  <c r="J884" i="21" s="1"/>
  <c r="J923" i="21" a="1"/>
  <c r="J923" i="21" s="1"/>
  <c r="I923" i="21"/>
  <c r="K923" i="21" s="1" a="1"/>
  <c r="K923" i="21" s="1"/>
  <c r="I869" i="21"/>
  <c r="J869" i="21" a="1"/>
  <c r="J869" i="21" s="1"/>
  <c r="J896" i="21" a="1"/>
  <c r="J896" i="21" s="1"/>
  <c r="I896" i="21"/>
  <c r="I842" i="21"/>
  <c r="J842" i="21" a="1"/>
  <c r="J842" i="21" s="1"/>
  <c r="J950" i="21" a="1"/>
  <c r="J950" i="21" s="1"/>
  <c r="I950" i="21"/>
  <c r="J977" i="21" a="1"/>
  <c r="J977" i="21" s="1"/>
  <c r="I977" i="21"/>
  <c r="K977" i="21" s="1" a="1"/>
  <c r="K977" i="21" s="1"/>
  <c r="P977" i="21" s="1"/>
  <c r="J1004" i="21" a="1"/>
  <c r="J1004" i="21" s="1"/>
  <c r="I1004" i="21"/>
  <c r="H1017" i="21" l="1"/>
  <c r="H855" i="21"/>
  <c r="H909" i="21"/>
  <c r="H963" i="21"/>
  <c r="L963" i="21" s="1"/>
  <c r="H990" i="21"/>
  <c r="H936" i="21"/>
  <c r="H517" i="21"/>
  <c r="H490" i="21"/>
  <c r="H625" i="21"/>
  <c r="H598" i="21"/>
  <c r="H544" i="21"/>
  <c r="H571" i="21"/>
  <c r="H463" i="21"/>
  <c r="P813" i="21"/>
  <c r="J813" i="21" a="1"/>
  <c r="J813" i="21" s="1"/>
  <c r="I813" i="21"/>
  <c r="J829" i="21" a="1"/>
  <c r="J829" i="21" s="1"/>
  <c r="I829" i="21"/>
  <c r="P829" i="21"/>
  <c r="P439" i="21"/>
  <c r="I439" i="21"/>
  <c r="J439" i="21" a="1"/>
  <c r="J439" i="21" s="1"/>
  <c r="H852" i="21"/>
  <c r="H879" i="21"/>
  <c r="L879" i="21" s="1"/>
  <c r="H1014" i="21"/>
  <c r="H906" i="21"/>
  <c r="H987" i="21"/>
  <c r="H933" i="21"/>
  <c r="K933" i="21" s="1" a="1"/>
  <c r="K933" i="21" s="1"/>
  <c r="P933" i="21" s="1"/>
  <c r="H960" i="21"/>
  <c r="H470" i="21"/>
  <c r="H605" i="21"/>
  <c r="H578" i="21"/>
  <c r="H497" i="21"/>
  <c r="H524" i="21"/>
  <c r="H632" i="21"/>
  <c r="H551" i="21"/>
  <c r="J824" i="21" a="1"/>
  <c r="J824" i="21" s="1"/>
  <c r="I824" i="21"/>
  <c r="P824" i="21"/>
  <c r="J440" i="21" a="1"/>
  <c r="J440" i="21" s="1"/>
  <c r="P440" i="21"/>
  <c r="I440" i="21"/>
  <c r="L1064" i="21"/>
  <c r="G292" i="21"/>
  <c r="H292" i="21"/>
  <c r="G676" i="21" a="1"/>
  <c r="G676" i="21" s="1"/>
  <c r="H676" i="21"/>
  <c r="L1065" i="21"/>
  <c r="H924" i="21"/>
  <c r="H870" i="21"/>
  <c r="H951" i="21"/>
  <c r="H978" i="21"/>
  <c r="H1005" i="21"/>
  <c r="H843" i="21"/>
  <c r="H897" i="21"/>
  <c r="H567" i="21"/>
  <c r="H540" i="21"/>
  <c r="H513" i="21"/>
  <c r="H486" i="21"/>
  <c r="H621" i="21"/>
  <c r="H594" i="21"/>
  <c r="H459" i="21"/>
  <c r="P817" i="21"/>
  <c r="I817" i="21"/>
  <c r="J817" i="21" a="1"/>
  <c r="J817" i="21" s="1"/>
  <c r="I435" i="21"/>
  <c r="J435" i="21" a="1"/>
  <c r="J435" i="21" s="1"/>
  <c r="K435" i="21" s="1" a="1"/>
  <c r="K435" i="21" s="1"/>
  <c r="L435" i="21" s="1"/>
  <c r="P435" i="21"/>
  <c r="H875" i="21"/>
  <c r="H902" i="21"/>
  <c r="H848" i="21"/>
  <c r="H1010" i="21"/>
  <c r="H929" i="21"/>
  <c r="H956" i="21"/>
  <c r="H983" i="21"/>
  <c r="H512" i="21"/>
  <c r="H539" i="21"/>
  <c r="H566" i="21"/>
  <c r="H620" i="21"/>
  <c r="H593" i="21"/>
  <c r="H458" i="21"/>
  <c r="H485" i="21"/>
  <c r="P820" i="21"/>
  <c r="I820" i="21"/>
  <c r="J820" i="21" a="1"/>
  <c r="J820" i="21" s="1"/>
  <c r="P436" i="21"/>
  <c r="J436" i="21" a="1"/>
  <c r="J436" i="21" s="1"/>
  <c r="I436" i="21"/>
  <c r="K436" i="21" a="1"/>
  <c r="K436" i="21" s="1"/>
  <c r="L436" i="21" s="1"/>
  <c r="H922" i="21"/>
  <c r="H949" i="21"/>
  <c r="H895" i="21"/>
  <c r="H868" i="21"/>
  <c r="H976" i="21"/>
  <c r="H1003" i="21"/>
  <c r="H841" i="21"/>
  <c r="J483" i="21" a="1"/>
  <c r="J483" i="21" s="1"/>
  <c r="I483" i="21"/>
  <c r="I564" i="21"/>
  <c r="J564" i="21" a="1"/>
  <c r="J564" i="21" s="1"/>
  <c r="I618" i="21"/>
  <c r="J618" i="21" a="1"/>
  <c r="J618" i="21" s="1"/>
  <c r="I510" i="21"/>
  <c r="J510" i="21" a="1"/>
  <c r="J510" i="21" s="1"/>
  <c r="K824" i="21" a="1"/>
  <c r="K824" i="21" s="1"/>
  <c r="L824" i="21" s="1"/>
  <c r="K813" i="21" a="1"/>
  <c r="K813" i="21" s="1"/>
  <c r="L813" i="21" s="1"/>
  <c r="H982" i="21"/>
  <c r="H955" i="21"/>
  <c r="H901" i="21"/>
  <c r="H1009" i="21"/>
  <c r="H874" i="21"/>
  <c r="H928" i="21"/>
  <c r="H847" i="21"/>
  <c r="H590" i="21"/>
  <c r="H617" i="21"/>
  <c r="H455" i="21"/>
  <c r="H536" i="21"/>
  <c r="H482" i="21"/>
  <c r="L482" i="21" s="1"/>
  <c r="H563" i="21"/>
  <c r="H509" i="21"/>
  <c r="K509" i="21" s="1" a="1"/>
  <c r="K509" i="21" s="1"/>
  <c r="L509" i="21" s="1"/>
  <c r="H606" i="21"/>
  <c r="H579" i="21"/>
  <c r="H498" i="21"/>
  <c r="H471" i="21"/>
  <c r="H525" i="21"/>
  <c r="H633" i="21"/>
  <c r="H552" i="21"/>
  <c r="J821" i="21" a="1"/>
  <c r="J821" i="21" s="1"/>
  <c r="P821" i="21"/>
  <c r="I821" i="21"/>
  <c r="K821" i="21" a="1"/>
  <c r="K821" i="21" s="1"/>
  <c r="L821" i="21" s="1"/>
  <c r="J431" i="21" a="1"/>
  <c r="J431" i="21" s="1"/>
  <c r="P431" i="21"/>
  <c r="I431" i="21"/>
  <c r="K431" i="21" a="1"/>
  <c r="K431" i="21" s="1"/>
  <c r="L431" i="21" s="1"/>
  <c r="H979" i="21"/>
  <c r="H844" i="21"/>
  <c r="H952" i="21"/>
  <c r="H1006" i="21"/>
  <c r="H925" i="21"/>
  <c r="H898" i="21"/>
  <c r="H871" i="21"/>
  <c r="H462" i="21"/>
  <c r="H489" i="21"/>
  <c r="H624" i="21"/>
  <c r="H570" i="21"/>
  <c r="H597" i="21"/>
  <c r="H543" i="21"/>
  <c r="H516" i="21"/>
  <c r="I816" i="21"/>
  <c r="K816" i="21" s="1" a="1"/>
  <c r="K816" i="21" s="1"/>
  <c r="L816" i="21" s="1"/>
  <c r="P816" i="21"/>
  <c r="J816" i="21" a="1"/>
  <c r="J816" i="21" s="1"/>
  <c r="I432" i="21"/>
  <c r="P432" i="21"/>
  <c r="J432" i="21" a="1"/>
  <c r="J432" i="21" s="1"/>
  <c r="P429" i="21"/>
  <c r="J429" i="21" a="1"/>
  <c r="J429" i="21" s="1"/>
  <c r="I429" i="21"/>
  <c r="K429" i="21" a="1"/>
  <c r="K429" i="21" s="1"/>
  <c r="L429" i="21" s="1"/>
  <c r="L1063" i="21"/>
  <c r="H677" i="21"/>
  <c r="G677" i="21" a="1"/>
  <c r="G677" i="21" s="1"/>
  <c r="H291" i="21"/>
  <c r="G291" i="21"/>
  <c r="H878" i="21"/>
  <c r="H932" i="21"/>
  <c r="L932" i="21" s="1"/>
  <c r="H851" i="21"/>
  <c r="H1013" i="21"/>
  <c r="L1013" i="21" s="1"/>
  <c r="H905" i="21"/>
  <c r="H986" i="21"/>
  <c r="L986" i="21" s="1"/>
  <c r="H959" i="21"/>
  <c r="H467" i="21"/>
  <c r="K467" i="21" s="1" a="1"/>
  <c r="K467" i="21" s="1"/>
  <c r="H602" i="21"/>
  <c r="H494" i="21"/>
  <c r="K494" i="21" s="1" a="1"/>
  <c r="K494" i="21" s="1"/>
  <c r="H521" i="21"/>
  <c r="H548" i="21"/>
  <c r="K548" i="21" s="1" a="1"/>
  <c r="K548" i="21" s="1"/>
  <c r="L548" i="21" s="1"/>
  <c r="H575" i="21"/>
  <c r="H629" i="21"/>
  <c r="J825" i="21" a="1"/>
  <c r="J825" i="21" s="1"/>
  <c r="P825" i="21"/>
  <c r="I825" i="21"/>
  <c r="K825" i="21" s="1" a="1"/>
  <c r="K825" i="21" s="1"/>
  <c r="L825" i="21" s="1"/>
  <c r="H991" i="21"/>
  <c r="H856" i="21"/>
  <c r="H883" i="21"/>
  <c r="K883" i="21" s="1" a="1"/>
  <c r="K883" i="21" s="1"/>
  <c r="L883" i="21" s="1"/>
  <c r="H964" i="21"/>
  <c r="H1018" i="21"/>
  <c r="K1018" i="21" s="1" a="1"/>
  <c r="K1018" i="21" s="1"/>
  <c r="P1018" i="21" s="1"/>
  <c r="H937" i="21"/>
  <c r="H910" i="21"/>
  <c r="K910" i="21" s="1" a="1"/>
  <c r="K910" i="21" s="1"/>
  <c r="P910" i="21" s="1"/>
  <c r="H493" i="21"/>
  <c r="H547" i="21"/>
  <c r="H601" i="21"/>
  <c r="H628" i="21"/>
  <c r="H520" i="21"/>
  <c r="H466" i="21"/>
  <c r="H574" i="21"/>
  <c r="I444" i="21"/>
  <c r="P444" i="21"/>
  <c r="J444" i="21" a="1"/>
  <c r="J444" i="21" s="1"/>
  <c r="H882" i="21"/>
  <c r="J537" i="21" a="1"/>
  <c r="J537" i="21" s="1"/>
  <c r="I537" i="21"/>
  <c r="J591" i="21" a="1"/>
  <c r="J591" i="21" s="1"/>
  <c r="I591" i="21"/>
  <c r="I456" i="21"/>
  <c r="J456" i="21" a="1"/>
  <c r="J456" i="21" s="1"/>
  <c r="K590" i="21" a="1"/>
  <c r="K590" i="21" s="1"/>
  <c r="K617" i="21" a="1"/>
  <c r="K617" i="21" s="1"/>
  <c r="P617" i="21" s="1"/>
  <c r="K852" i="21" a="1"/>
  <c r="K852" i="21" s="1"/>
  <c r="K987" i="21" a="1"/>
  <c r="K987" i="21" s="1"/>
  <c r="P987" i="21" s="1"/>
  <c r="K879" i="21" a="1"/>
  <c r="K879" i="21" s="1"/>
  <c r="K1014" i="21" a="1"/>
  <c r="K1014" i="21" s="1"/>
  <c r="P1014" i="21" s="1"/>
  <c r="L617" i="21"/>
  <c r="K563" i="21" a="1"/>
  <c r="K563" i="21" s="1"/>
  <c r="L563" i="21" s="1"/>
  <c r="K455" i="21" a="1"/>
  <c r="K455" i="21" s="1"/>
  <c r="L455" i="21" s="1"/>
  <c r="K536" i="21" a="1"/>
  <c r="K536" i="21" s="1"/>
  <c r="P536" i="21" s="1"/>
  <c r="L536" i="21"/>
  <c r="L590" i="21"/>
  <c r="L878" i="21"/>
  <c r="L905" i="21"/>
  <c r="L851" i="21"/>
  <c r="L959" i="21"/>
  <c r="L936" i="21"/>
  <c r="P550" i="21"/>
  <c r="L990" i="21"/>
  <c r="K884" i="21" a="1"/>
  <c r="K884" i="21" s="1"/>
  <c r="P884" i="21" s="1"/>
  <c r="K992" i="21" a="1"/>
  <c r="K992" i="21" s="1"/>
  <c r="P992" i="21" s="1"/>
  <c r="K938" i="21" a="1"/>
  <c r="K938" i="21" s="1"/>
  <c r="P938" i="21" s="1"/>
  <c r="K965" i="21" a="1"/>
  <c r="K965" i="21" s="1"/>
  <c r="P965" i="21" s="1"/>
  <c r="K1007" i="21" a="1"/>
  <c r="K1007" i="21" s="1"/>
  <c r="P1007" i="21" s="1"/>
  <c r="L933" i="21"/>
  <c r="K960" i="21" a="1"/>
  <c r="K960" i="21" s="1"/>
  <c r="L960" i="21" s="1"/>
  <c r="K906" i="21" a="1"/>
  <c r="K906" i="21" s="1"/>
  <c r="P906" i="21" s="1"/>
  <c r="K1019" i="21" a="1"/>
  <c r="K1019" i="21" s="1"/>
  <c r="P1019" i="21" s="1"/>
  <c r="K911" i="21" a="1"/>
  <c r="K911" i="21" s="1"/>
  <c r="P911" i="21" s="1"/>
  <c r="K845" i="21" a="1"/>
  <c r="K845" i="21" s="1"/>
  <c r="P845" i="21" s="1"/>
  <c r="K899" i="21" a="1"/>
  <c r="K899" i="21" s="1"/>
  <c r="P899" i="21" s="1"/>
  <c r="K980" i="21" a="1"/>
  <c r="K980" i="21" s="1"/>
  <c r="P980" i="21" s="1"/>
  <c r="K926" i="21" a="1"/>
  <c r="K926" i="21" s="1"/>
  <c r="P926" i="21" s="1"/>
  <c r="L987" i="21"/>
  <c r="L1014" i="21"/>
  <c r="P960" i="21"/>
  <c r="L906" i="21"/>
  <c r="L1019" i="21"/>
  <c r="L911" i="21"/>
  <c r="L1007" i="21"/>
  <c r="P852" i="21"/>
  <c r="L852" i="21"/>
  <c r="P879" i="21"/>
  <c r="L992" i="21"/>
  <c r="L938" i="21"/>
  <c r="L965" i="21"/>
  <c r="L845" i="21"/>
  <c r="L899" i="21"/>
  <c r="L980" i="21"/>
  <c r="L926" i="21"/>
  <c r="L884" i="21"/>
  <c r="L872" i="21"/>
  <c r="L857" i="21"/>
  <c r="L953" i="21"/>
  <c r="K492" i="21" a="1"/>
  <c r="K492" i="21" s="1"/>
  <c r="P492" i="21" s="1"/>
  <c r="K465" i="21" a="1"/>
  <c r="K465" i="21" s="1"/>
  <c r="P465" i="21" s="1"/>
  <c r="K546" i="21" a="1"/>
  <c r="K546" i="21" s="1"/>
  <c r="P546" i="21" s="1"/>
  <c r="P604" i="21"/>
  <c r="L604" i="21"/>
  <c r="P577" i="21"/>
  <c r="L577" i="21"/>
  <c r="K1004" i="21" a="1"/>
  <c r="K1004" i="21" s="1"/>
  <c r="P1004" i="21" s="1"/>
  <c r="K842" i="21" a="1"/>
  <c r="K842" i="21" s="1"/>
  <c r="P842" i="21" s="1"/>
  <c r="L469" i="21"/>
  <c r="L902" i="21"/>
  <c r="K573" i="21" a="1"/>
  <c r="K573" i="21" s="1"/>
  <c r="P573" i="21" s="1"/>
  <c r="L631" i="21"/>
  <c r="L496" i="21"/>
  <c r="L842" i="21"/>
  <c r="K950" i="21" a="1"/>
  <c r="K950" i="21" s="1"/>
  <c r="P950" i="21" s="1"/>
  <c r="K896" i="21" a="1"/>
  <c r="K896" i="21" s="1"/>
  <c r="P896" i="21" s="1"/>
  <c r="K869" i="21" a="1"/>
  <c r="K869" i="21" s="1"/>
  <c r="P869" i="21" s="1"/>
  <c r="L591" i="21"/>
  <c r="K552" i="21" a="1"/>
  <c r="K552" i="21" s="1"/>
  <c r="P552" i="21" s="1"/>
  <c r="K600" i="21" a="1"/>
  <c r="K600" i="21" s="1"/>
  <c r="P600" i="21" s="1"/>
  <c r="K519" i="21" a="1"/>
  <c r="K519" i="21" s="1"/>
  <c r="P519" i="21" s="1"/>
  <c r="L1004" i="21"/>
  <c r="P923" i="21"/>
  <c r="L923" i="21"/>
  <c r="L600" i="21"/>
  <c r="L950" i="21"/>
  <c r="L896" i="21"/>
  <c r="L869" i="21"/>
  <c r="P627" i="21"/>
  <c r="L627" i="21"/>
  <c r="L546" i="21"/>
  <c r="L977" i="21"/>
  <c r="L465" i="21"/>
  <c r="L573" i="21"/>
  <c r="L492" i="21"/>
  <c r="L618" i="21"/>
  <c r="L552" i="21"/>
  <c r="K633" i="21" a="1"/>
  <c r="K633" i="21" s="1"/>
  <c r="P633" i="21" s="1"/>
  <c r="K498" i="21" a="1"/>
  <c r="K498" i="21" s="1"/>
  <c r="P498" i="21" s="1"/>
  <c r="K471" i="21" a="1"/>
  <c r="K471" i="21" s="1"/>
  <c r="P471" i="21" s="1"/>
  <c r="K606" i="21" a="1"/>
  <c r="K606" i="21" s="1"/>
  <c r="L606" i="21" s="1"/>
  <c r="K579" i="21" a="1"/>
  <c r="K579" i="21" s="1"/>
  <c r="P579" i="21" s="1"/>
  <c r="P606" i="21"/>
  <c r="K525" i="21" a="1"/>
  <c r="K525" i="21" s="1"/>
  <c r="P525" i="21" s="1"/>
  <c r="K954" i="21" a="1"/>
  <c r="K954" i="21" s="1"/>
  <c r="P954" i="21" s="1"/>
  <c r="K1002" i="21" a="1"/>
  <c r="K1002" i="21" s="1"/>
  <c r="P1002" i="21" s="1"/>
  <c r="K975" i="21" a="1"/>
  <c r="K975" i="21" s="1"/>
  <c r="P975" i="21" s="1"/>
  <c r="K981" i="21" a="1"/>
  <c r="K981" i="21" s="1"/>
  <c r="L981" i="21" s="1"/>
  <c r="K846" i="21" a="1"/>
  <c r="K846" i="21" s="1"/>
  <c r="L846" i="21" s="1"/>
  <c r="K528" i="21" a="1"/>
  <c r="K528" i="21" s="1"/>
  <c r="P528" i="21" s="1"/>
  <c r="K582" i="21" a="1"/>
  <c r="K582" i="21" s="1"/>
  <c r="P582" i="21" s="1"/>
  <c r="K894" i="21" a="1"/>
  <c r="K894" i="21" s="1"/>
  <c r="P894" i="21" s="1"/>
  <c r="K867" i="21" a="1"/>
  <c r="K867" i="21" s="1"/>
  <c r="L867" i="21" s="1"/>
  <c r="K900" i="21" a="1"/>
  <c r="K900" i="21" s="1"/>
  <c r="L900" i="21" s="1"/>
  <c r="K1008" i="21" a="1"/>
  <c r="K1008" i="21" s="1"/>
  <c r="P1008" i="21" s="1"/>
  <c r="K927" i="21" a="1"/>
  <c r="K927" i="21" s="1"/>
  <c r="L927" i="21" s="1"/>
  <c r="K873" i="21" a="1"/>
  <c r="K873" i="21" s="1"/>
  <c r="P873" i="21" s="1"/>
  <c r="P900" i="21"/>
  <c r="P846" i="21"/>
  <c r="K948" i="21" a="1"/>
  <c r="K948" i="21" s="1"/>
  <c r="L948" i="21" s="1"/>
  <c r="K921" i="21" a="1"/>
  <c r="K921" i="21" s="1"/>
  <c r="P921" i="21" s="1"/>
  <c r="K840" i="21" a="1"/>
  <c r="K840" i="21" s="1"/>
  <c r="L840" i="21" s="1"/>
  <c r="L975" i="21"/>
  <c r="K501" i="21" a="1"/>
  <c r="K501" i="21" s="1"/>
  <c r="L501" i="21" s="1"/>
  <c r="K474" i="21" a="1"/>
  <c r="K474" i="21" s="1"/>
  <c r="L474" i="21" s="1"/>
  <c r="K636" i="21" a="1"/>
  <c r="K636" i="21" s="1"/>
  <c r="L636" i="21" s="1"/>
  <c r="K443" i="21" a="1"/>
  <c r="K443" i="21" s="1"/>
  <c r="L443" i="21" s="1"/>
  <c r="K904" i="21" a="1"/>
  <c r="K904" i="21" s="1"/>
  <c r="P904" i="21" s="1"/>
  <c r="K828" i="21" a="1"/>
  <c r="K828" i="21" s="1"/>
  <c r="L828" i="21" s="1"/>
  <c r="P475" i="21"/>
  <c r="L475" i="21"/>
  <c r="K988" i="21" a="1"/>
  <c r="K988" i="21" s="1"/>
  <c r="P988" i="21" s="1"/>
  <c r="K1015" i="21" a="1"/>
  <c r="K1015" i="21" s="1"/>
  <c r="P1015" i="21" s="1"/>
  <c r="K1012" i="21" a="1"/>
  <c r="K1012" i="21" s="1"/>
  <c r="L1012" i="21" s="1"/>
  <c r="K931" i="21" a="1"/>
  <c r="K931" i="21" s="1"/>
  <c r="L931" i="21" s="1"/>
  <c r="K958" i="21" a="1"/>
  <c r="K958" i="21" s="1"/>
  <c r="P958" i="21" s="1"/>
  <c r="K850" i="21" a="1"/>
  <c r="K850" i="21" s="1"/>
  <c r="L850" i="21" s="1"/>
  <c r="K502" i="21" a="1"/>
  <c r="K502" i="21" s="1"/>
  <c r="P502" i="21" s="1"/>
  <c r="K637" i="21" a="1"/>
  <c r="K637" i="21" s="1"/>
  <c r="P637" i="21" s="1"/>
  <c r="K529" i="21" a="1"/>
  <c r="K529" i="21" s="1"/>
  <c r="P529" i="21" s="1"/>
  <c r="K995" i="21" a="1"/>
  <c r="K995" i="21" s="1"/>
  <c r="P995" i="21" s="1"/>
  <c r="K1022" i="21" a="1"/>
  <c r="K1022" i="21" s="1"/>
  <c r="P1022" i="21" s="1"/>
  <c r="K860" i="21" a="1"/>
  <c r="K860" i="21" s="1"/>
  <c r="P860" i="21" s="1"/>
  <c r="P1012" i="21"/>
  <c r="L1015" i="21"/>
  <c r="K984" i="21" a="1"/>
  <c r="K984" i="21" s="1"/>
  <c r="P984" i="21" s="1"/>
  <c r="K877" i="21" a="1"/>
  <c r="K877" i="21" s="1"/>
  <c r="L877" i="21" s="1"/>
  <c r="K985" i="21" a="1"/>
  <c r="K985" i="21" s="1"/>
  <c r="P985" i="21" s="1"/>
  <c r="L904" i="21"/>
  <c r="L502" i="21"/>
  <c r="K464" i="21" a="1"/>
  <c r="K464" i="21" s="1"/>
  <c r="P464" i="21" s="1"/>
  <c r="K572" i="21" a="1"/>
  <c r="K572" i="21" s="1"/>
  <c r="P572" i="21" s="1"/>
  <c r="K549" i="21" a="1"/>
  <c r="K549" i="21" s="1"/>
  <c r="L549" i="21" s="1"/>
  <c r="K495" i="21" a="1"/>
  <c r="K495" i="21" s="1"/>
  <c r="P495" i="21" s="1"/>
  <c r="K468" i="21" a="1"/>
  <c r="K468" i="21" s="1"/>
  <c r="P468" i="21" s="1"/>
  <c r="K603" i="21" a="1"/>
  <c r="K603" i="21" s="1"/>
  <c r="P603" i="21" s="1"/>
  <c r="K556" i="21" a="1"/>
  <c r="K556" i="21" s="1"/>
  <c r="P556" i="21" s="1"/>
  <c r="K610" i="21" a="1"/>
  <c r="K610" i="21" s="1"/>
  <c r="P610" i="21" s="1"/>
  <c r="K887" i="21" a="1"/>
  <c r="K887" i="21" s="1"/>
  <c r="P887" i="21" s="1"/>
  <c r="K941" i="21" a="1"/>
  <c r="K941" i="21" s="1"/>
  <c r="P941" i="21" s="1"/>
  <c r="L887" i="21"/>
  <c r="K630" i="21" a="1"/>
  <c r="K630" i="21" s="1"/>
  <c r="P630" i="21" s="1"/>
  <c r="K576" i="21" a="1"/>
  <c r="K576" i="21" s="1"/>
  <c r="L576" i="21" s="1"/>
  <c r="K522" i="21" a="1"/>
  <c r="K522" i="21" s="1"/>
  <c r="L522" i="21" s="1"/>
  <c r="K957" i="21" a="1"/>
  <c r="K957" i="21" s="1"/>
  <c r="P957" i="21" s="1"/>
  <c r="K1011" i="21" a="1"/>
  <c r="K1011" i="21" s="1"/>
  <c r="L1011" i="21" s="1"/>
  <c r="K934" i="21" a="1"/>
  <c r="K934" i="21" s="1"/>
  <c r="L934" i="21" s="1"/>
  <c r="K880" i="21" a="1"/>
  <c r="K880" i="21" s="1"/>
  <c r="P880" i="21" s="1"/>
  <c r="K907" i="21" a="1"/>
  <c r="K907" i="21" s="1"/>
  <c r="L907" i="21" s="1"/>
  <c r="K961" i="21" a="1"/>
  <c r="K961" i="21" s="1"/>
  <c r="L961" i="21" s="1"/>
  <c r="K853" i="21" a="1"/>
  <c r="K853" i="21" s="1"/>
  <c r="L853" i="21" s="1"/>
  <c r="K583" i="21" a="1"/>
  <c r="K583" i="21" s="1"/>
  <c r="P583" i="21" s="1"/>
  <c r="K968" i="21" a="1"/>
  <c r="K968" i="21" s="1"/>
  <c r="L968" i="21" s="1"/>
  <c r="K914" i="21" a="1"/>
  <c r="K914" i="21" s="1"/>
  <c r="L914" i="21" s="1"/>
  <c r="P549" i="21"/>
  <c r="L495" i="21"/>
  <c r="L610" i="21"/>
  <c r="L995" i="21"/>
  <c r="L1022" i="21"/>
  <c r="L860" i="21"/>
  <c r="L880" i="21"/>
  <c r="L637" i="21"/>
  <c r="L529" i="21"/>
  <c r="K599" i="21" a="1"/>
  <c r="K599" i="21" s="1"/>
  <c r="L599" i="21" s="1"/>
  <c r="K518" i="21" a="1"/>
  <c r="K518" i="21" s="1"/>
  <c r="P518" i="21" s="1"/>
  <c r="K491" i="21" a="1"/>
  <c r="K491" i="21" s="1"/>
  <c r="P491" i="21" s="1"/>
  <c r="K930" i="21" a="1"/>
  <c r="K930" i="21" s="1"/>
  <c r="L930" i="21" s="1"/>
  <c r="K849" i="21" a="1"/>
  <c r="K849" i="21" s="1"/>
  <c r="P849" i="21" s="1"/>
  <c r="K903" i="21" a="1"/>
  <c r="K903" i="21" s="1"/>
  <c r="L903" i="21" s="1"/>
  <c r="L988" i="21"/>
  <c r="L556" i="21"/>
  <c r="L941" i="21"/>
  <c r="P930" i="21"/>
  <c r="K991" i="21" a="1"/>
  <c r="K991" i="21" s="1"/>
  <c r="P991" i="21" s="1"/>
  <c r="K545" i="21" a="1"/>
  <c r="K545" i="21" s="1"/>
  <c r="P545" i="21" s="1"/>
  <c r="K626" i="21" a="1"/>
  <c r="K626" i="21" s="1"/>
  <c r="L626" i="21" s="1"/>
  <c r="K876" i="21" a="1"/>
  <c r="K876" i="21" s="1"/>
  <c r="L876" i="21" s="1"/>
  <c r="L518" i="21"/>
  <c r="L464" i="21"/>
  <c r="L957" i="21"/>
  <c r="L984" i="21"/>
  <c r="K964" i="21" a="1"/>
  <c r="K964" i="21" s="1"/>
  <c r="P964" i="21" s="1"/>
  <c r="K937" i="21" a="1"/>
  <c r="K937" i="21" s="1"/>
  <c r="P937" i="21" s="1"/>
  <c r="K856" i="21" a="1"/>
  <c r="K856" i="21" s="1"/>
  <c r="L856" i="21" s="1"/>
  <c r="K555" i="21" a="1"/>
  <c r="K555" i="21" s="1"/>
  <c r="P555" i="21" s="1"/>
  <c r="L1017" i="21"/>
  <c r="L555" i="21"/>
  <c r="K609" i="21" a="1"/>
  <c r="K609" i="21" s="1"/>
  <c r="L609" i="21" s="1"/>
  <c r="L582" i="21"/>
  <c r="K889" i="21" a="1"/>
  <c r="K889" i="21" s="1"/>
  <c r="P889" i="21" s="1"/>
  <c r="K461" i="21" a="1"/>
  <c r="K461" i="21" s="1"/>
  <c r="P461" i="21" s="1"/>
  <c r="K488" i="21" a="1"/>
  <c r="K488" i="21" s="1"/>
  <c r="P488" i="21" s="1"/>
  <c r="K997" i="21" a="1"/>
  <c r="K997" i="21" s="1"/>
  <c r="L997" i="21" s="1"/>
  <c r="K1024" i="21" a="1"/>
  <c r="K1024" i="21" s="1"/>
  <c r="P1024" i="21" s="1"/>
  <c r="K916" i="21" a="1"/>
  <c r="K916" i="21" s="1"/>
  <c r="L916" i="21" s="1"/>
  <c r="K943" i="21" a="1"/>
  <c r="K943" i="21" s="1"/>
  <c r="L943" i="21" s="1"/>
  <c r="K862" i="21" a="1"/>
  <c r="K862" i="21" s="1"/>
  <c r="L862" i="21" s="1"/>
  <c r="K970" i="21" a="1"/>
  <c r="K970" i="21" s="1"/>
  <c r="L970" i="21" s="1"/>
  <c r="K521" i="21" a="1"/>
  <c r="K521" i="21" s="1"/>
  <c r="P521" i="21" s="1"/>
  <c r="K542" i="21" a="1"/>
  <c r="K542" i="21" s="1"/>
  <c r="P542" i="21" s="1"/>
  <c r="K596" i="21" a="1"/>
  <c r="K596" i="21" s="1"/>
  <c r="P596" i="21" s="1"/>
  <c r="K623" i="21" a="1"/>
  <c r="K623" i="21" s="1"/>
  <c r="L623" i="21" s="1"/>
  <c r="L596" i="21"/>
  <c r="L1024" i="21"/>
  <c r="L461" i="21"/>
  <c r="K602" i="21" a="1"/>
  <c r="K602" i="21" s="1"/>
  <c r="K575" i="21" a="1"/>
  <c r="K575" i="21" s="1"/>
  <c r="K629" i="21" a="1"/>
  <c r="K629" i="21" s="1"/>
  <c r="K569" i="21" a="1"/>
  <c r="K569" i="21" s="1"/>
  <c r="K515" i="21" a="1"/>
  <c r="K515" i="21" s="1"/>
  <c r="O22" i="2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67" i="21" s="1"/>
  <c r="O68" i="21" s="1"/>
  <c r="O69" i="21" s="1"/>
  <c r="O70" i="21" s="1"/>
  <c r="O71" i="21" s="1"/>
  <c r="O72" i="21" s="1"/>
  <c r="O73" i="21" s="1"/>
  <c r="O74" i="21" s="1"/>
  <c r="O75" i="21" s="1"/>
  <c r="O76" i="21" s="1"/>
  <c r="O77" i="21" s="1"/>
  <c r="O78" i="21" s="1"/>
  <c r="O79" i="21" s="1"/>
  <c r="O80" i="21" s="1"/>
  <c r="O81" i="21" s="1"/>
  <c r="O82" i="21" s="1"/>
  <c r="O83" i="21" s="1"/>
  <c r="O84" i="21" s="1"/>
  <c r="O85" i="21" s="1"/>
  <c r="O86" i="21" s="1"/>
  <c r="O87" i="21" s="1"/>
  <c r="O88" i="21" s="1"/>
  <c r="O89" i="21" s="1"/>
  <c r="O90" i="21" s="1"/>
  <c r="O91" i="21" s="1"/>
  <c r="O92" i="21" s="1"/>
  <c r="O93" i="21" s="1"/>
  <c r="O94" i="21" s="1"/>
  <c r="O95" i="21" s="1"/>
  <c r="O96" i="21" s="1"/>
  <c r="O97" i="21" s="1"/>
  <c r="O98" i="21" s="1"/>
  <c r="O99" i="21" s="1"/>
  <c r="O100" i="21" s="1"/>
  <c r="O101" i="21" s="1"/>
  <c r="O102" i="21" s="1"/>
  <c r="O103" i="21" s="1"/>
  <c r="O104" i="21" s="1"/>
  <c r="O105" i="21" s="1"/>
  <c r="O106" i="21" s="1"/>
  <c r="O107" i="21" s="1"/>
  <c r="O108" i="21" s="1"/>
  <c r="O109" i="21" s="1"/>
  <c r="O110" i="21" s="1"/>
  <c r="O111" i="21" s="1"/>
  <c r="O112" i="21" s="1"/>
  <c r="O113" i="21" s="1"/>
  <c r="O114" i="21" s="1"/>
  <c r="O115" i="21" s="1"/>
  <c r="O116" i="21" s="1"/>
  <c r="O117" i="21" s="1"/>
  <c r="O118" i="21" s="1"/>
  <c r="O119" i="21" s="1"/>
  <c r="O120" i="21" s="1"/>
  <c r="O121" i="21" s="1"/>
  <c r="O122" i="21" s="1"/>
  <c r="O123" i="21" s="1"/>
  <c r="O124" i="21" s="1"/>
  <c r="O125" i="21" s="1"/>
  <c r="O126" i="21" s="1"/>
  <c r="O127" i="21" s="1"/>
  <c r="O128" i="21" s="1"/>
  <c r="O129" i="21" s="1"/>
  <c r="O130" i="21" s="1"/>
  <c r="O131" i="21" s="1"/>
  <c r="O132" i="21" s="1"/>
  <c r="O133" i="21" s="1"/>
  <c r="O134" i="21" s="1"/>
  <c r="O135" i="21" s="1"/>
  <c r="O136" i="21" s="1"/>
  <c r="O137" i="21" s="1"/>
  <c r="O138" i="21" s="1"/>
  <c r="O139" i="21" s="1"/>
  <c r="O140" i="21" s="1"/>
  <c r="O141" i="21" s="1"/>
  <c r="O142" i="21" s="1"/>
  <c r="O143" i="21" s="1"/>
  <c r="O144" i="21" s="1"/>
  <c r="O145" i="21" s="1"/>
  <c r="O146" i="21" s="1"/>
  <c r="O147" i="21" s="1"/>
  <c r="O148" i="21" s="1"/>
  <c r="O149" i="21" s="1"/>
  <c r="O150" i="21" s="1"/>
  <c r="O151" i="21" s="1"/>
  <c r="O152" i="21" s="1"/>
  <c r="O153" i="21" s="1"/>
  <c r="O154" i="21" s="1"/>
  <c r="O155" i="21" s="1"/>
  <c r="O156" i="21" s="1"/>
  <c r="O157" i="21" s="1"/>
  <c r="O158" i="21" s="1"/>
  <c r="O159" i="21" s="1"/>
  <c r="O160" i="21" s="1"/>
  <c r="O161" i="21" s="1"/>
  <c r="O162" i="21" s="1"/>
  <c r="O163" i="21" s="1"/>
  <c r="O164" i="21" s="1"/>
  <c r="O165" i="21" s="1"/>
  <c r="O166" i="21" s="1"/>
  <c r="O167" i="21" s="1"/>
  <c r="O168" i="21" s="1"/>
  <c r="O169" i="21" s="1"/>
  <c r="O170" i="21" s="1"/>
  <c r="O171" i="21" s="1"/>
  <c r="O172" i="21" s="1"/>
  <c r="O173" i="21" s="1"/>
  <c r="O174" i="21" s="1"/>
  <c r="O175" i="21" s="1"/>
  <c r="O176" i="21" s="1"/>
  <c r="O177" i="21" s="1"/>
  <c r="O178" i="21" s="1"/>
  <c r="O179" i="21" s="1"/>
  <c r="O180" i="21" s="1"/>
  <c r="O181" i="21" s="1"/>
  <c r="O182" i="21" s="1"/>
  <c r="O183" i="21" s="1"/>
  <c r="O184" i="21" s="1"/>
  <c r="O185" i="21" s="1"/>
  <c r="O186" i="21" s="1"/>
  <c r="O187" i="21" s="1"/>
  <c r="O188" i="21" s="1"/>
  <c r="O189" i="21" s="1"/>
  <c r="O190" i="21" s="1"/>
  <c r="O191" i="21" s="1"/>
  <c r="O192" i="21" s="1"/>
  <c r="O193" i="21" s="1"/>
  <c r="O194" i="21" s="1"/>
  <c r="O195" i="21" s="1"/>
  <c r="O196" i="21" s="1"/>
  <c r="O197" i="21" s="1"/>
  <c r="O198" i="21" s="1"/>
  <c r="O199" i="21" s="1"/>
  <c r="O200" i="21" s="1"/>
  <c r="O201" i="21" s="1"/>
  <c r="O258" i="21" s="1"/>
  <c r="O260" i="21" s="1"/>
  <c r="O261" i="21" s="1"/>
  <c r="O262" i="21" s="1"/>
  <c r="O263" i="21" s="1"/>
  <c r="O264" i="21" s="1"/>
  <c r="O265" i="21" s="1"/>
  <c r="O266" i="21" s="1"/>
  <c r="O267" i="21" s="1"/>
  <c r="O268" i="21" s="1"/>
  <c r="O269" i="21" s="1"/>
  <c r="O270" i="21" s="1"/>
  <c r="O271" i="21" s="1"/>
  <c r="O272" i="21" s="1"/>
  <c r="O273" i="21" s="1"/>
  <c r="O274" i="21" s="1"/>
  <c r="O275" i="21" s="1"/>
  <c r="O276" i="21" s="1"/>
  <c r="O277" i="21" s="1"/>
  <c r="O278" i="21" s="1"/>
  <c r="O279" i="21" s="1"/>
  <c r="O280" i="21" s="1"/>
  <c r="O281" i="21" s="1"/>
  <c r="O282" i="21" s="1"/>
  <c r="O283" i="21" s="1"/>
  <c r="O284" i="21" s="1"/>
  <c r="O286" i="21" s="1"/>
  <c r="O287" i="21" s="1"/>
  <c r="O288" i="21" s="1"/>
  <c r="O289" i="21" s="1"/>
  <c r="O290" i="21" s="1"/>
  <c r="P563" i="21" l="1"/>
  <c r="P455" i="21"/>
  <c r="P590" i="21"/>
  <c r="P509" i="21"/>
  <c r="L466" i="21"/>
  <c r="J466" i="21" a="1"/>
  <c r="J466" i="21" s="1"/>
  <c r="I466" i="21"/>
  <c r="K466" i="21" a="1"/>
  <c r="K466" i="21" s="1"/>
  <c r="P466" i="21" s="1"/>
  <c r="L628" i="21"/>
  <c r="I628" i="21"/>
  <c r="K628" i="21" a="1"/>
  <c r="K628" i="21" s="1"/>
  <c r="P628" i="21" s="1"/>
  <c r="J628" i="21" a="1"/>
  <c r="J628" i="21" s="1"/>
  <c r="K547" i="21" a="1"/>
  <c r="K547" i="21" s="1"/>
  <c r="P547" i="21" s="1"/>
  <c r="L547" i="21"/>
  <c r="J547" i="21" a="1"/>
  <c r="J547" i="21" s="1"/>
  <c r="I547" i="21"/>
  <c r="J910" i="21" a="1"/>
  <c r="J910" i="21" s="1"/>
  <c r="I910" i="21"/>
  <c r="I1018" i="21"/>
  <c r="J1018" i="21" a="1"/>
  <c r="J1018" i="21" s="1"/>
  <c r="I883" i="21"/>
  <c r="J883" i="21" a="1"/>
  <c r="J883" i="21" s="1"/>
  <c r="J991" i="21" a="1"/>
  <c r="J991" i="21" s="1"/>
  <c r="I991" i="21"/>
  <c r="J629" i="21" a="1"/>
  <c r="J629" i="21" s="1"/>
  <c r="I629" i="21"/>
  <c r="J548" i="21" a="1"/>
  <c r="J548" i="21" s="1"/>
  <c r="I548" i="21"/>
  <c r="J494" i="21" a="1"/>
  <c r="J494" i="21" s="1"/>
  <c r="I494" i="21"/>
  <c r="I467" i="21"/>
  <c r="J467" i="21" a="1"/>
  <c r="J467" i="21" s="1"/>
  <c r="J986" i="21" a="1"/>
  <c r="J986" i="21" s="1"/>
  <c r="I986" i="21"/>
  <c r="K986" i="21" s="1" a="1"/>
  <c r="K986" i="21" s="1"/>
  <c r="P986" i="21" s="1"/>
  <c r="J1013" i="21" a="1"/>
  <c r="J1013" i="21" s="1"/>
  <c r="I1013" i="21"/>
  <c r="K1013" i="21" s="1" a="1"/>
  <c r="K1013" i="21" s="1"/>
  <c r="P1013" i="21" s="1"/>
  <c r="I932" i="21"/>
  <c r="K932" i="21" s="1" a="1"/>
  <c r="K932" i="21" s="1"/>
  <c r="P932" i="21" s="1"/>
  <c r="J932" i="21" a="1"/>
  <c r="J932" i="21" s="1"/>
  <c r="K543" i="21" a="1"/>
  <c r="K543" i="21" s="1"/>
  <c r="P543" i="21" s="1"/>
  <c r="L543" i="21"/>
  <c r="I543" i="21"/>
  <c r="J543" i="21" a="1"/>
  <c r="J543" i="21" s="1"/>
  <c r="J570" i="21" a="1"/>
  <c r="J570" i="21" s="1"/>
  <c r="L570" i="21"/>
  <c r="I570" i="21"/>
  <c r="K570" i="21" a="1"/>
  <c r="K570" i="21" s="1"/>
  <c r="P570" i="21" s="1"/>
  <c r="L489" i="21"/>
  <c r="J489" i="21" a="1"/>
  <c r="J489" i="21" s="1"/>
  <c r="K489" i="21" a="1"/>
  <c r="K489" i="21" s="1"/>
  <c r="P489" i="21" s="1"/>
  <c r="I489" i="21"/>
  <c r="I871" i="21"/>
  <c r="J871" i="21" a="1"/>
  <c r="J871" i="21" s="1"/>
  <c r="L871" i="21"/>
  <c r="K871" i="21" a="1"/>
  <c r="K871" i="21" s="1"/>
  <c r="P871" i="21" s="1"/>
  <c r="I925" i="21"/>
  <c r="L925" i="21"/>
  <c r="K925" i="21" a="1"/>
  <c r="K925" i="21" s="1"/>
  <c r="P925" i="21" s="1"/>
  <c r="J925" i="21" a="1"/>
  <c r="J925" i="21" s="1"/>
  <c r="J952" i="21" a="1"/>
  <c r="J952" i="21" s="1"/>
  <c r="L952" i="21"/>
  <c r="K952" i="21" a="1"/>
  <c r="K952" i="21" s="1"/>
  <c r="P952" i="21" s="1"/>
  <c r="I952" i="21"/>
  <c r="K979" i="21" a="1"/>
  <c r="K979" i="21" s="1"/>
  <c r="P979" i="21" s="1"/>
  <c r="I979" i="21"/>
  <c r="L979" i="21"/>
  <c r="J979" i="21" a="1"/>
  <c r="J979" i="21" s="1"/>
  <c r="J633" i="21" a="1"/>
  <c r="J633" i="21" s="1"/>
  <c r="I633" i="21"/>
  <c r="I471" i="21"/>
  <c r="J471" i="21" a="1"/>
  <c r="J471" i="21" s="1"/>
  <c r="I579" i="21"/>
  <c r="J579" i="21" a="1"/>
  <c r="J579" i="21" s="1"/>
  <c r="I509" i="21"/>
  <c r="J509" i="21" a="1"/>
  <c r="J509" i="21" s="1"/>
  <c r="I482" i="21"/>
  <c r="J482" i="21" a="1"/>
  <c r="J482" i="21" s="1"/>
  <c r="K482" i="21" s="1" a="1"/>
  <c r="K482" i="21" s="1"/>
  <c r="P482" i="21" s="1"/>
  <c r="J455" i="21" a="1"/>
  <c r="J455" i="21" s="1"/>
  <c r="I455" i="21"/>
  <c r="J590" i="21" a="1"/>
  <c r="J590" i="21" s="1"/>
  <c r="I590" i="21"/>
  <c r="K928" i="21" a="1"/>
  <c r="K928" i="21" s="1"/>
  <c r="P928" i="21" s="1"/>
  <c r="L928" i="21"/>
  <c r="I928" i="21"/>
  <c r="J928" i="21" a="1"/>
  <c r="J928" i="21" s="1"/>
  <c r="J1009" i="21" a="1"/>
  <c r="J1009" i="21" s="1"/>
  <c r="I1009" i="21"/>
  <c r="K1009" i="21" a="1"/>
  <c r="K1009" i="21" s="1"/>
  <c r="P1009" i="21" s="1"/>
  <c r="L1009" i="21"/>
  <c r="I955" i="21"/>
  <c r="K955" i="21" a="1"/>
  <c r="K955" i="21" s="1"/>
  <c r="P955" i="21" s="1"/>
  <c r="J955" i="21" a="1"/>
  <c r="J955" i="21" s="1"/>
  <c r="L955" i="21"/>
  <c r="I841" i="21"/>
  <c r="J841" i="21" a="1"/>
  <c r="J841" i="21" s="1"/>
  <c r="K841" i="21" s="1" a="1"/>
  <c r="K841" i="21" s="1"/>
  <c r="L841" i="21"/>
  <c r="P841" i="21"/>
  <c r="J976" i="21" a="1"/>
  <c r="J976" i="21" s="1"/>
  <c r="I976" i="21"/>
  <c r="K976" i="21" s="1" a="1"/>
  <c r="K976" i="21" s="1"/>
  <c r="L976" i="21"/>
  <c r="P976" i="21"/>
  <c r="J895" i="21" a="1"/>
  <c r="J895" i="21" s="1"/>
  <c r="I895" i="21"/>
  <c r="K895" i="21" s="1" a="1"/>
  <c r="K895" i="21" s="1"/>
  <c r="L895" i="21"/>
  <c r="P895" i="21"/>
  <c r="J922" i="21" a="1"/>
  <c r="J922" i="21" s="1"/>
  <c r="I922" i="21"/>
  <c r="K922" i="21" s="1" a="1"/>
  <c r="K922" i="21" s="1"/>
  <c r="L922" i="21"/>
  <c r="P922" i="21"/>
  <c r="J485" i="21" a="1"/>
  <c r="J485" i="21" s="1"/>
  <c r="K485" i="21" a="1"/>
  <c r="K485" i="21" s="1"/>
  <c r="P485" i="21" s="1"/>
  <c r="I485" i="21"/>
  <c r="L485" i="21"/>
  <c r="K593" i="21" a="1"/>
  <c r="K593" i="21" s="1"/>
  <c r="P593" i="21" s="1"/>
  <c r="I593" i="21"/>
  <c r="J593" i="21" a="1"/>
  <c r="J593" i="21" s="1"/>
  <c r="L593" i="21"/>
  <c r="I566" i="21"/>
  <c r="L566" i="21"/>
  <c r="K566" i="21" a="1"/>
  <c r="K566" i="21" s="1"/>
  <c r="P566" i="21" s="1"/>
  <c r="J566" i="21" a="1"/>
  <c r="J566" i="21" s="1"/>
  <c r="K512" i="21" a="1"/>
  <c r="K512" i="21" s="1"/>
  <c r="P512" i="21" s="1"/>
  <c r="I512" i="21"/>
  <c r="J512" i="21" a="1"/>
  <c r="J512" i="21" s="1"/>
  <c r="L512" i="21"/>
  <c r="I956" i="21"/>
  <c r="J956" i="21" a="1"/>
  <c r="J956" i="21" s="1"/>
  <c r="K956" i="21" a="1"/>
  <c r="K956" i="21" s="1"/>
  <c r="P956" i="21" s="1"/>
  <c r="L956" i="21"/>
  <c r="I1010" i="21"/>
  <c r="J1010" i="21" a="1"/>
  <c r="J1010" i="21" s="1"/>
  <c r="K1010" i="21" a="1"/>
  <c r="K1010" i="21" s="1"/>
  <c r="P1010" i="21" s="1"/>
  <c r="L1010" i="21"/>
  <c r="I902" i="21"/>
  <c r="J902" i="21" a="1"/>
  <c r="J902" i="21" s="1"/>
  <c r="K902" i="21" a="1"/>
  <c r="K902" i="21" s="1"/>
  <c r="P902" i="21" s="1"/>
  <c r="I459" i="21"/>
  <c r="L459" i="21"/>
  <c r="K459" i="21" a="1"/>
  <c r="K459" i="21" s="1"/>
  <c r="P459" i="21" s="1"/>
  <c r="J459" i="21" a="1"/>
  <c r="J459" i="21" s="1"/>
  <c r="L621" i="21"/>
  <c r="K621" i="21" a="1"/>
  <c r="K621" i="21" s="1"/>
  <c r="P621" i="21" s="1"/>
  <c r="I621" i="21"/>
  <c r="J621" i="21" a="1"/>
  <c r="J621" i="21" s="1"/>
  <c r="I513" i="21"/>
  <c r="K513" i="21" a="1"/>
  <c r="K513" i="21" s="1"/>
  <c r="P513" i="21" s="1"/>
  <c r="J513" i="21" a="1"/>
  <c r="J513" i="21" s="1"/>
  <c r="L513" i="21"/>
  <c r="K567" i="21" a="1"/>
  <c r="K567" i="21" s="1"/>
  <c r="P567" i="21" s="1"/>
  <c r="I567" i="21"/>
  <c r="J567" i="21" a="1"/>
  <c r="J567" i="21" s="1"/>
  <c r="L567" i="21"/>
  <c r="L843" i="21"/>
  <c r="J843" i="21" a="1"/>
  <c r="J843" i="21" s="1"/>
  <c r="I843" i="21"/>
  <c r="K843" i="21" a="1"/>
  <c r="K843" i="21" s="1"/>
  <c r="P843" i="21" s="1"/>
  <c r="I978" i="21"/>
  <c r="J978" i="21" a="1"/>
  <c r="J978" i="21" s="1"/>
  <c r="K978" i="21" a="1"/>
  <c r="K978" i="21" s="1"/>
  <c r="P978" i="21" s="1"/>
  <c r="L978" i="21"/>
  <c r="L870" i="21"/>
  <c r="I870" i="21"/>
  <c r="J870" i="21" a="1"/>
  <c r="J870" i="21" s="1"/>
  <c r="K870" i="21" a="1"/>
  <c r="K870" i="21" s="1"/>
  <c r="P870" i="21" s="1"/>
  <c r="I551" i="21"/>
  <c r="K551" i="21" s="1" a="1"/>
  <c r="K551" i="21" s="1"/>
  <c r="P551" i="21" s="1"/>
  <c r="J551" i="21" a="1"/>
  <c r="J551" i="21" s="1"/>
  <c r="L551" i="21"/>
  <c r="J524" i="21" a="1"/>
  <c r="J524" i="21" s="1"/>
  <c r="K524" i="21" s="1" a="1"/>
  <c r="K524" i="21" s="1"/>
  <c r="P524" i="21" s="1"/>
  <c r="I524" i="21"/>
  <c r="L524" i="21"/>
  <c r="K578" i="21" a="1"/>
  <c r="K578" i="21" s="1"/>
  <c r="P578" i="21" s="1"/>
  <c r="L578" i="21"/>
  <c r="J578" i="21" a="1"/>
  <c r="J578" i="21" s="1"/>
  <c r="I578" i="21"/>
  <c r="I470" i="21"/>
  <c r="J470" i="21" a="1"/>
  <c r="J470" i="21" s="1"/>
  <c r="K470" i="21" a="1"/>
  <c r="K470" i="21" s="1"/>
  <c r="P470" i="21" s="1"/>
  <c r="L470" i="21"/>
  <c r="J933" i="21" a="1"/>
  <c r="J933" i="21" s="1"/>
  <c r="I933" i="21"/>
  <c r="I906" i="21"/>
  <c r="J906" i="21" a="1"/>
  <c r="J906" i="21" s="1"/>
  <c r="I879" i="21"/>
  <c r="J879" i="21" a="1"/>
  <c r="J879" i="21" s="1"/>
  <c r="J571" i="21" a="1"/>
  <c r="J571" i="21" s="1"/>
  <c r="I571" i="21"/>
  <c r="L571" i="21"/>
  <c r="K571" i="21" a="1"/>
  <c r="K571" i="21" s="1"/>
  <c r="P571" i="21" s="1"/>
  <c r="J598" i="21" a="1"/>
  <c r="J598" i="21" s="1"/>
  <c r="I598" i="21"/>
  <c r="K598" i="21" a="1"/>
  <c r="K598" i="21" s="1"/>
  <c r="P598" i="21" s="1"/>
  <c r="L598" i="21"/>
  <c r="I490" i="21"/>
  <c r="J490" i="21" a="1"/>
  <c r="J490" i="21" s="1"/>
  <c r="K490" i="21" a="1"/>
  <c r="K490" i="21" s="1"/>
  <c r="P490" i="21" s="1"/>
  <c r="L490" i="21"/>
  <c r="I936" i="21"/>
  <c r="J936" i="21" a="1"/>
  <c r="J936" i="21" s="1"/>
  <c r="K936" i="21" a="1"/>
  <c r="K936" i="21" s="1"/>
  <c r="P936" i="21" s="1"/>
  <c r="I963" i="21"/>
  <c r="J963" i="21" a="1"/>
  <c r="J963" i="21" s="1"/>
  <c r="K963" i="21" a="1"/>
  <c r="K963" i="21" s="1"/>
  <c r="P963" i="21" s="1"/>
  <c r="I855" i="21"/>
  <c r="J855" i="21" a="1"/>
  <c r="J855" i="21" s="1"/>
  <c r="K855" i="21" a="1"/>
  <c r="K855" i="21" s="1"/>
  <c r="P855" i="21" s="1"/>
  <c r="L855" i="21"/>
  <c r="J882" i="21" a="1"/>
  <c r="J882" i="21" s="1"/>
  <c r="I882" i="21"/>
  <c r="K882" i="21" a="1"/>
  <c r="K882" i="21" s="1"/>
  <c r="P882" i="21" s="1"/>
  <c r="L882" i="21"/>
  <c r="J574" i="21" a="1"/>
  <c r="J574" i="21" s="1"/>
  <c r="L574" i="21"/>
  <c r="K574" i="21" a="1"/>
  <c r="K574" i="21" s="1"/>
  <c r="P574" i="21" s="1"/>
  <c r="I574" i="21"/>
  <c r="I520" i="21"/>
  <c r="J520" i="21" a="1"/>
  <c r="J520" i="21" s="1"/>
  <c r="K520" i="21" a="1"/>
  <c r="K520" i="21" s="1"/>
  <c r="P520" i="21" s="1"/>
  <c r="L520" i="21"/>
  <c r="I601" i="21"/>
  <c r="J601" i="21" a="1"/>
  <c r="J601" i="21" s="1"/>
  <c r="L601" i="21"/>
  <c r="K601" i="21" a="1"/>
  <c r="K601" i="21" s="1"/>
  <c r="P601" i="21" s="1"/>
  <c r="J493" i="21" a="1"/>
  <c r="J493" i="21" s="1"/>
  <c r="K493" i="21" a="1"/>
  <c r="K493" i="21" s="1"/>
  <c r="P493" i="21" s="1"/>
  <c r="L493" i="21"/>
  <c r="I493" i="21"/>
  <c r="J937" i="21" a="1"/>
  <c r="J937" i="21" s="1"/>
  <c r="I937" i="21"/>
  <c r="J964" i="21" a="1"/>
  <c r="J964" i="21" s="1"/>
  <c r="I964" i="21"/>
  <c r="I856" i="21"/>
  <c r="J856" i="21" a="1"/>
  <c r="J856" i="21" s="1"/>
  <c r="J575" i="21" a="1"/>
  <c r="J575" i="21" s="1"/>
  <c r="I575" i="21"/>
  <c r="I521" i="21"/>
  <c r="J521" i="21" a="1"/>
  <c r="J521" i="21" s="1"/>
  <c r="I602" i="21"/>
  <c r="J602" i="21" a="1"/>
  <c r="J602" i="21" s="1"/>
  <c r="J959" i="21" a="1"/>
  <c r="J959" i="21" s="1"/>
  <c r="I959" i="21"/>
  <c r="K959" i="21" a="1"/>
  <c r="K959" i="21" s="1"/>
  <c r="P959" i="21" s="1"/>
  <c r="J905" i="21" a="1"/>
  <c r="J905" i="21" s="1"/>
  <c r="K905" i="21" s="1" a="1"/>
  <c r="K905" i="21" s="1"/>
  <c r="P905" i="21" s="1"/>
  <c r="I905" i="21"/>
  <c r="J851" i="21" a="1"/>
  <c r="J851" i="21" s="1"/>
  <c r="I851" i="21"/>
  <c r="K851" i="21" s="1" a="1"/>
  <c r="K851" i="21" s="1"/>
  <c r="P851" i="21" s="1"/>
  <c r="J878" i="21" a="1"/>
  <c r="J878" i="21" s="1"/>
  <c r="K878" i="21" s="1" a="1"/>
  <c r="K878" i="21" s="1"/>
  <c r="P878" i="21" s="1"/>
  <c r="I878" i="21"/>
  <c r="L291" i="21"/>
  <c r="K291" i="21"/>
  <c r="P291" i="21"/>
  <c r="O291" i="21" s="1"/>
  <c r="K677" i="21"/>
  <c r="P677" i="21" s="1"/>
  <c r="L677" i="21"/>
  <c r="I516" i="21"/>
  <c r="L516" i="21"/>
  <c r="J516" i="21" a="1"/>
  <c r="J516" i="21" s="1"/>
  <c r="K516" i="21" a="1"/>
  <c r="K516" i="21" s="1"/>
  <c r="P516" i="21" s="1"/>
  <c r="J597" i="21" a="1"/>
  <c r="J597" i="21" s="1"/>
  <c r="I597" i="21"/>
  <c r="K597" i="21" a="1"/>
  <c r="K597" i="21" s="1"/>
  <c r="L597" i="21"/>
  <c r="P597" i="21"/>
  <c r="J624" i="21" a="1"/>
  <c r="J624" i="21" s="1"/>
  <c r="L624" i="21"/>
  <c r="I624" i="21"/>
  <c r="K624" i="21" a="1"/>
  <c r="K624" i="21" s="1"/>
  <c r="P624" i="21" s="1"/>
  <c r="J462" i="21" a="1"/>
  <c r="J462" i="21" s="1"/>
  <c r="L462" i="21"/>
  <c r="K462" i="21" a="1"/>
  <c r="K462" i="21" s="1"/>
  <c r="P462" i="21" s="1"/>
  <c r="I462" i="21"/>
  <c r="I898" i="21"/>
  <c r="K898" i="21" a="1"/>
  <c r="K898" i="21" s="1"/>
  <c r="P898" i="21" s="1"/>
  <c r="L898" i="21"/>
  <c r="J898" i="21" a="1"/>
  <c r="J898" i="21" s="1"/>
  <c r="J1006" i="21" a="1"/>
  <c r="J1006" i="21" s="1"/>
  <c r="L1006" i="21"/>
  <c r="K1006" i="21" a="1"/>
  <c r="K1006" i="21" s="1"/>
  <c r="P1006" i="21" s="1"/>
  <c r="I1006" i="21"/>
  <c r="J844" i="21" a="1"/>
  <c r="J844" i="21" s="1"/>
  <c r="L844" i="21"/>
  <c r="K844" i="21" a="1"/>
  <c r="K844" i="21" s="1"/>
  <c r="P844" i="21" s="1"/>
  <c r="I844" i="21"/>
  <c r="I552" i="21"/>
  <c r="J552" i="21" a="1"/>
  <c r="J552" i="21" s="1"/>
  <c r="J525" i="21" a="1"/>
  <c r="J525" i="21" s="1"/>
  <c r="I525" i="21"/>
  <c r="J498" i="21" a="1"/>
  <c r="J498" i="21" s="1"/>
  <c r="I498" i="21"/>
  <c r="J606" i="21" a="1"/>
  <c r="J606" i="21" s="1"/>
  <c r="I606" i="21"/>
  <c r="I563" i="21"/>
  <c r="J563" i="21" a="1"/>
  <c r="J563" i="21" s="1"/>
  <c r="J536" i="21" a="1"/>
  <c r="J536" i="21" s="1"/>
  <c r="I536" i="21"/>
  <c r="I617" i="21"/>
  <c r="J617" i="21" a="1"/>
  <c r="J617" i="21" s="1"/>
  <c r="K847" i="21" a="1"/>
  <c r="K847" i="21" s="1"/>
  <c r="P847" i="21" s="1"/>
  <c r="J847" i="21" a="1"/>
  <c r="J847" i="21" s="1"/>
  <c r="L847" i="21"/>
  <c r="I847" i="21"/>
  <c r="K874" i="21" a="1"/>
  <c r="K874" i="21" s="1"/>
  <c r="P874" i="21" s="1"/>
  <c r="I874" i="21"/>
  <c r="J874" i="21" a="1"/>
  <c r="J874" i="21" s="1"/>
  <c r="L874" i="21"/>
  <c r="J901" i="21" a="1"/>
  <c r="J901" i="21" s="1"/>
  <c r="L901" i="21"/>
  <c r="I901" i="21"/>
  <c r="K901" i="21" a="1"/>
  <c r="K901" i="21" s="1"/>
  <c r="P901" i="21" s="1"/>
  <c r="I982" i="21"/>
  <c r="L982" i="21"/>
  <c r="K982" i="21" a="1"/>
  <c r="K982" i="21" s="1"/>
  <c r="J982" i="21" a="1"/>
  <c r="J982" i="21" s="1"/>
  <c r="P982" i="21"/>
  <c r="J1003" i="21" a="1"/>
  <c r="J1003" i="21" s="1"/>
  <c r="I1003" i="21"/>
  <c r="K1003" i="21" s="1" a="1"/>
  <c r="K1003" i="21" s="1"/>
  <c r="L1003" i="21"/>
  <c r="P1003" i="21"/>
  <c r="J868" i="21" a="1"/>
  <c r="J868" i="21" s="1"/>
  <c r="I868" i="21"/>
  <c r="L868" i="21"/>
  <c r="K868" i="21" a="1"/>
  <c r="K868" i="21" s="1"/>
  <c r="P868" i="21" s="1"/>
  <c r="I949" i="21"/>
  <c r="J949" i="21" a="1"/>
  <c r="J949" i="21" s="1"/>
  <c r="K949" i="21" a="1"/>
  <c r="K949" i="21" s="1"/>
  <c r="P949" i="21" s="1"/>
  <c r="L949" i="21"/>
  <c r="I458" i="21"/>
  <c r="J458" i="21" a="1"/>
  <c r="J458" i="21" s="1"/>
  <c r="K458" i="21" a="1"/>
  <c r="K458" i="21" s="1"/>
  <c r="P458" i="21" s="1"/>
  <c r="L458" i="21"/>
  <c r="I620" i="21"/>
  <c r="K620" i="21" a="1"/>
  <c r="K620" i="21" s="1"/>
  <c r="P620" i="21" s="1"/>
  <c r="J620" i="21" a="1"/>
  <c r="J620" i="21" s="1"/>
  <c r="L620" i="21"/>
  <c r="J539" i="21" a="1"/>
  <c r="J539" i="21" s="1"/>
  <c r="K539" i="21" a="1"/>
  <c r="K539" i="21" s="1"/>
  <c r="P539" i="21" s="1"/>
  <c r="I539" i="21"/>
  <c r="L539" i="21"/>
  <c r="I983" i="21"/>
  <c r="J983" i="21" a="1"/>
  <c r="J983" i="21" s="1"/>
  <c r="K983" i="21" s="1" a="1"/>
  <c r="K983" i="21" s="1"/>
  <c r="P983" i="21" s="1"/>
  <c r="L983" i="21"/>
  <c r="J929" i="21" a="1"/>
  <c r="J929" i="21" s="1"/>
  <c r="I929" i="21"/>
  <c r="K929" i="21" s="1" a="1"/>
  <c r="K929" i="21" s="1"/>
  <c r="P929" i="21" s="1"/>
  <c r="L929" i="21"/>
  <c r="J848" i="21" a="1"/>
  <c r="J848" i="21" s="1"/>
  <c r="I848" i="21"/>
  <c r="K848" i="21" a="1"/>
  <c r="K848" i="21" s="1"/>
  <c r="P848" i="21" s="1"/>
  <c r="L848" i="21"/>
  <c r="J875" i="21" a="1"/>
  <c r="J875" i="21" s="1"/>
  <c r="I875" i="21"/>
  <c r="K875" i="21" s="1" a="1"/>
  <c r="K875" i="21" s="1"/>
  <c r="P875" i="21" s="1"/>
  <c r="L875" i="21"/>
  <c r="K594" i="21" a="1"/>
  <c r="K594" i="21" s="1"/>
  <c r="P594" i="21" s="1"/>
  <c r="L594" i="21"/>
  <c r="I594" i="21"/>
  <c r="J594" i="21" a="1"/>
  <c r="J594" i="21" s="1"/>
  <c r="K486" i="21" a="1"/>
  <c r="K486" i="21" s="1"/>
  <c r="P486" i="21" s="1"/>
  <c r="L486" i="21"/>
  <c r="J486" i="21" a="1"/>
  <c r="J486" i="21" s="1"/>
  <c r="I486" i="21"/>
  <c r="J540" i="21" a="1"/>
  <c r="J540" i="21" s="1"/>
  <c r="K540" i="21" a="1"/>
  <c r="K540" i="21" s="1"/>
  <c r="P540" i="21" s="1"/>
  <c r="I540" i="21"/>
  <c r="L540" i="21"/>
  <c r="I897" i="21"/>
  <c r="K897" i="21" a="1"/>
  <c r="K897" i="21" s="1"/>
  <c r="P897" i="21" s="1"/>
  <c r="L897" i="21"/>
  <c r="J897" i="21" a="1"/>
  <c r="J897" i="21" s="1"/>
  <c r="K1005" i="21" a="1"/>
  <c r="K1005" i="21" s="1"/>
  <c r="P1005" i="21" s="1"/>
  <c r="I1005" i="21"/>
  <c r="J1005" i="21" a="1"/>
  <c r="J1005" i="21" s="1"/>
  <c r="L1005" i="21"/>
  <c r="I951" i="21"/>
  <c r="K951" i="21" a="1"/>
  <c r="K951" i="21" s="1"/>
  <c r="P951" i="21" s="1"/>
  <c r="J951" i="21" a="1"/>
  <c r="J951" i="21" s="1"/>
  <c r="L951" i="21"/>
  <c r="K924" i="21" a="1"/>
  <c r="K924" i="21" s="1"/>
  <c r="P924" i="21" s="1"/>
  <c r="L924" i="21"/>
  <c r="I924" i="21"/>
  <c r="J924" i="21" a="1"/>
  <c r="J924" i="21" s="1"/>
  <c r="K676" i="21"/>
  <c r="P676" i="21" s="1"/>
  <c r="L676" i="21"/>
  <c r="K292" i="21"/>
  <c r="P292" i="21" s="1"/>
  <c r="L292" i="21"/>
  <c r="K632" i="21" a="1"/>
  <c r="K632" i="21" s="1"/>
  <c r="P632" i="21" s="1"/>
  <c r="L632" i="21"/>
  <c r="I632" i="21"/>
  <c r="J632" i="21" a="1"/>
  <c r="J632" i="21" s="1"/>
  <c r="I497" i="21"/>
  <c r="J497" i="21" a="1"/>
  <c r="J497" i="21" s="1"/>
  <c r="K497" i="21" s="1" a="1"/>
  <c r="K497" i="21" s="1"/>
  <c r="P497" i="21" s="1"/>
  <c r="L497" i="21"/>
  <c r="I605" i="21"/>
  <c r="K605" i="21" s="1" a="1"/>
  <c r="K605" i="21" s="1"/>
  <c r="P605" i="21" s="1"/>
  <c r="J605" i="21" a="1"/>
  <c r="J605" i="21" s="1"/>
  <c r="L605" i="21"/>
  <c r="I960" i="21"/>
  <c r="J960" i="21" a="1"/>
  <c r="J960" i="21" s="1"/>
  <c r="J987" i="21" a="1"/>
  <c r="J987" i="21" s="1"/>
  <c r="I987" i="21"/>
  <c r="J1014" i="21" a="1"/>
  <c r="J1014" i="21" s="1"/>
  <c r="I1014" i="21"/>
  <c r="J852" i="21" a="1"/>
  <c r="J852" i="21" s="1"/>
  <c r="I852" i="21"/>
  <c r="I463" i="21"/>
  <c r="J463" i="21" a="1"/>
  <c r="J463" i="21" s="1"/>
  <c r="K463" i="21" a="1"/>
  <c r="K463" i="21" s="1"/>
  <c r="P463" i="21" s="1"/>
  <c r="L463" i="21"/>
  <c r="J544" i="21" a="1"/>
  <c r="J544" i="21" s="1"/>
  <c r="I544" i="21"/>
  <c r="K544" i="21" a="1"/>
  <c r="K544" i="21" s="1"/>
  <c r="P544" i="21" s="1"/>
  <c r="L544" i="21"/>
  <c r="I625" i="21"/>
  <c r="J625" i="21" a="1"/>
  <c r="J625" i="21" s="1"/>
  <c r="L625" i="21"/>
  <c r="K625" i="21" a="1"/>
  <c r="K625" i="21" s="1"/>
  <c r="P625" i="21" s="1"/>
  <c r="I517" i="21"/>
  <c r="J517" i="21" a="1"/>
  <c r="J517" i="21" s="1"/>
  <c r="K517" i="21" a="1"/>
  <c r="K517" i="21" s="1"/>
  <c r="P517" i="21" s="1"/>
  <c r="L517" i="21"/>
  <c r="J990" i="21" a="1"/>
  <c r="J990" i="21" s="1"/>
  <c r="I990" i="21"/>
  <c r="K990" i="21" a="1"/>
  <c r="K990" i="21" s="1"/>
  <c r="P990" i="21" s="1"/>
  <c r="I909" i="21"/>
  <c r="J909" i="21" a="1"/>
  <c r="J909" i="21" s="1"/>
  <c r="K909" i="21" a="1"/>
  <c r="K909" i="21" s="1"/>
  <c r="P909" i="21" s="1"/>
  <c r="L909" i="21"/>
  <c r="I1017" i="21"/>
  <c r="J1017" i="21" a="1"/>
  <c r="J1017" i="21" s="1"/>
  <c r="K1017" i="21" a="1"/>
  <c r="K1017" i="21" s="1"/>
  <c r="P1017" i="21" s="1"/>
  <c r="L1018" i="21"/>
  <c r="P961" i="21"/>
  <c r="P522" i="21"/>
  <c r="L958" i="21"/>
  <c r="L630" i="21"/>
  <c r="L603" i="21"/>
  <c r="L471" i="21"/>
  <c r="L519" i="21"/>
  <c r="L468" i="21"/>
  <c r="L633" i="21"/>
  <c r="P948" i="21"/>
  <c r="L579" i="21"/>
  <c r="P501" i="21"/>
  <c r="P903" i="21"/>
  <c r="P867" i="21"/>
  <c r="L954" i="21"/>
  <c r="L498" i="21"/>
  <c r="L545" i="21"/>
  <c r="L525" i="21"/>
  <c r="L528" i="21"/>
  <c r="L894" i="21"/>
  <c r="L1002" i="21"/>
  <c r="P981" i="21"/>
  <c r="P927" i="21"/>
  <c r="P636" i="21"/>
  <c r="L873" i="21"/>
  <c r="L921" i="21"/>
  <c r="L1008" i="21"/>
  <c r="P840" i="21"/>
  <c r="P474" i="21"/>
  <c r="P916" i="21"/>
  <c r="P1011" i="21"/>
  <c r="P877" i="21"/>
  <c r="P853" i="21"/>
  <c r="P907" i="21"/>
  <c r="P934" i="21"/>
  <c r="P576" i="21"/>
  <c r="P850" i="21"/>
  <c r="P931" i="21"/>
  <c r="P968" i="21"/>
  <c r="L991" i="21"/>
  <c r="L572" i="21"/>
  <c r="L491" i="21"/>
  <c r="P599" i="21"/>
  <c r="P914" i="21"/>
  <c r="L583" i="21"/>
  <c r="L985" i="21"/>
  <c r="P876" i="21"/>
  <c r="P883" i="21"/>
  <c r="L849" i="21"/>
  <c r="P626" i="21"/>
  <c r="P856" i="21"/>
  <c r="L937" i="21"/>
  <c r="L964" i="21"/>
  <c r="P609" i="21"/>
  <c r="L910" i="21"/>
  <c r="L488" i="21"/>
  <c r="P943" i="21"/>
  <c r="P997" i="21"/>
  <c r="P548" i="21"/>
  <c r="L889" i="21"/>
  <c r="P862" i="21"/>
  <c r="P623" i="21"/>
  <c r="P970" i="21"/>
  <c r="L521" i="21"/>
  <c r="L542" i="21"/>
  <c r="L467" i="21"/>
  <c r="P467" i="21"/>
  <c r="AA3" i="5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Q3" i="5"/>
  <c r="Q6" i="5"/>
  <c r="Q7" i="5"/>
  <c r="Q8" i="5"/>
  <c r="Q9" i="5"/>
  <c r="S6" i="5"/>
  <c r="S8" i="5"/>
  <c r="S9" i="5"/>
  <c r="S3" i="5"/>
  <c r="S7" i="5"/>
  <c r="O6" i="5"/>
  <c r="O8" i="5"/>
  <c r="O7" i="5"/>
  <c r="O3" i="5"/>
  <c r="O9" i="5"/>
  <c r="M7" i="5"/>
  <c r="M3" i="5"/>
  <c r="M6" i="5"/>
  <c r="M8" i="5"/>
  <c r="M9" i="5"/>
  <c r="K6" i="5"/>
  <c r="K7" i="5"/>
  <c r="K8" i="5"/>
  <c r="K3" i="5"/>
  <c r="K9" i="5"/>
  <c r="I6" i="5"/>
  <c r="I7" i="5"/>
  <c r="I9" i="5"/>
  <c r="I8" i="5"/>
  <c r="I3" i="5"/>
  <c r="G8" i="5"/>
  <c r="G7" i="5"/>
  <c r="G6" i="5"/>
  <c r="G3" i="5"/>
  <c r="G9" i="5"/>
  <c r="E9" i="5"/>
  <c r="E7" i="5"/>
  <c r="E8" i="5"/>
  <c r="E6" i="5"/>
  <c r="E3" i="5"/>
  <c r="Z9" i="5"/>
  <c r="Z6" i="5"/>
  <c r="Z7" i="5"/>
  <c r="Z8" i="5"/>
  <c r="Z3" i="5"/>
  <c r="X8" i="5"/>
  <c r="X7" i="5"/>
  <c r="X3" i="5"/>
  <c r="X6" i="5"/>
  <c r="X9" i="5"/>
  <c r="T9" i="5"/>
  <c r="T6" i="5"/>
  <c r="T7" i="5"/>
  <c r="T8" i="5"/>
  <c r="T3" i="5"/>
  <c r="V7" i="5"/>
  <c r="V9" i="5"/>
  <c r="V8" i="5"/>
  <c r="V3" i="5"/>
  <c r="V6" i="5"/>
  <c r="P8" i="5"/>
  <c r="P9" i="5"/>
  <c r="P6" i="5"/>
  <c r="P7" i="5"/>
  <c r="R7" i="5"/>
  <c r="R9" i="5"/>
  <c r="R3" i="5"/>
  <c r="R8" i="5"/>
  <c r="R6" i="5"/>
  <c r="N9" i="5"/>
  <c r="N7" i="5"/>
  <c r="N8" i="5"/>
  <c r="N3" i="5"/>
  <c r="N6" i="5"/>
  <c r="L6" i="5"/>
  <c r="L8" i="5"/>
  <c r="L7" i="5"/>
  <c r="L3" i="5"/>
  <c r="L9" i="5"/>
  <c r="J8" i="5"/>
  <c r="J6" i="5"/>
  <c r="J7" i="5"/>
  <c r="J9" i="5"/>
  <c r="J3" i="5"/>
  <c r="H6" i="5"/>
  <c r="H7" i="5"/>
  <c r="H9" i="5"/>
  <c r="H3" i="5"/>
  <c r="H8" i="5"/>
  <c r="F8" i="5"/>
  <c r="F6" i="5"/>
  <c r="F7" i="5"/>
  <c r="F9" i="5"/>
  <c r="F3" i="5"/>
  <c r="D3" i="5"/>
  <c r="D7" i="5"/>
  <c r="D6" i="5"/>
  <c r="D9" i="5"/>
  <c r="D8" i="5"/>
  <c r="P3" i="5"/>
  <c r="P569" i="21"/>
  <c r="L569" i="21"/>
  <c r="L494" i="21"/>
  <c r="P494" i="21"/>
  <c r="L602" i="21"/>
  <c r="P602" i="21"/>
  <c r="P515" i="21"/>
  <c r="L515" i="21"/>
  <c r="P629" i="21"/>
  <c r="L629" i="21"/>
  <c r="P575" i="21"/>
  <c r="L575" i="21"/>
  <c r="O292" i="21" l="1"/>
  <c r="O293" i="21" s="1"/>
  <c r="O294" i="21" s="1"/>
  <c r="O295" i="21" s="1"/>
  <c r="O296" i="21" s="1"/>
  <c r="O297" i="21" s="1"/>
  <c r="O298" i="21" s="1"/>
  <c r="O299" i="21" s="1"/>
  <c r="O300" i="21" s="1"/>
  <c r="O301" i="21" s="1"/>
  <c r="O302" i="21" s="1"/>
  <c r="O303" i="21" s="1"/>
  <c r="O304" i="21" s="1"/>
  <c r="O305" i="21" s="1"/>
  <c r="O306" i="21" s="1"/>
  <c r="O307" i="21" s="1"/>
  <c r="O308" i="21" s="1"/>
  <c r="O309" i="21" s="1"/>
  <c r="O310" i="21" s="1"/>
  <c r="O311" i="21" s="1"/>
  <c r="O312" i="21" s="1"/>
  <c r="O313" i="21" s="1"/>
  <c r="O314" i="21" s="1"/>
  <c r="O315" i="21" s="1"/>
  <c r="O316" i="21" s="1"/>
  <c r="O317" i="21" s="1"/>
  <c r="O318" i="21" s="1"/>
  <c r="O319" i="21" s="1"/>
  <c r="O320" i="21" s="1"/>
  <c r="O321" i="21" s="1"/>
  <c r="O322" i="21" s="1"/>
  <c r="O323" i="21" s="1"/>
  <c r="O324" i="21" s="1"/>
  <c r="O325" i="21" s="1"/>
  <c r="O326" i="21" s="1"/>
  <c r="O327" i="21" s="1"/>
  <c r="O328" i="21" s="1"/>
  <c r="O329" i="21" s="1"/>
  <c r="O330" i="21" s="1"/>
  <c r="O331" i="21" s="1"/>
  <c r="O332" i="21" s="1"/>
  <c r="O333" i="21" s="1"/>
  <c r="O334" i="21" s="1"/>
  <c r="O335" i="21" s="1"/>
  <c r="O336" i="21" s="1"/>
  <c r="O337" i="21" s="1"/>
  <c r="O338" i="21" s="1"/>
  <c r="O339" i="21" s="1"/>
  <c r="O340" i="21" s="1"/>
  <c r="O341" i="21" s="1"/>
  <c r="O342" i="21" s="1"/>
  <c r="O343" i="21" s="1"/>
  <c r="O344" i="21" s="1"/>
  <c r="O345" i="21" s="1"/>
  <c r="O346" i="21" s="1"/>
  <c r="O347" i="21" s="1"/>
  <c r="O348" i="21" s="1"/>
  <c r="O349" i="21" s="1"/>
  <c r="O350" i="21" s="1"/>
  <c r="O351" i="21" s="1"/>
  <c r="O352" i="21" s="1"/>
  <c r="O353" i="21" s="1"/>
  <c r="O354" i="21" s="1"/>
  <c r="O355" i="21" s="1"/>
  <c r="O356" i="21" s="1"/>
  <c r="O357" i="21" s="1"/>
  <c r="O358" i="21" s="1"/>
  <c r="O359" i="21" s="1"/>
  <c r="O360" i="21" s="1"/>
  <c r="O361" i="21" s="1"/>
  <c r="O362" i="21" s="1"/>
  <c r="O363" i="21" s="1"/>
  <c r="O364" i="21" s="1"/>
  <c r="O365" i="21" s="1"/>
  <c r="O366" i="21" s="1"/>
  <c r="O367" i="21" s="1"/>
  <c r="O368" i="21" s="1"/>
  <c r="O369" i="21" s="1"/>
  <c r="O370" i="21" s="1"/>
  <c r="O371" i="21" s="1"/>
  <c r="O372" i="21" s="1"/>
  <c r="O373" i="21" s="1"/>
  <c r="O374" i="21" s="1"/>
  <c r="O375" i="21" s="1"/>
  <c r="O376" i="21" s="1"/>
  <c r="O377" i="21" s="1"/>
  <c r="O378" i="21" s="1"/>
  <c r="O379" i="21" s="1"/>
  <c r="O380" i="21" s="1"/>
  <c r="O381" i="21" s="1"/>
  <c r="O382" i="21" s="1"/>
  <c r="O383" i="21" s="1"/>
  <c r="O384" i="21" s="1"/>
  <c r="O385" i="21" s="1"/>
  <c r="O386" i="21" s="1"/>
  <c r="O387" i="21" s="1"/>
  <c r="O388" i="21" s="1"/>
  <c r="O389" i="21" s="1"/>
  <c r="O390" i="21" s="1"/>
  <c r="O391" i="21" s="1"/>
  <c r="O392" i="21" s="1"/>
  <c r="O393" i="21" s="1"/>
  <c r="O394" i="21" s="1"/>
  <c r="O395" i="21" s="1"/>
  <c r="O396" i="21" s="1"/>
  <c r="O397" i="21" s="1"/>
  <c r="O398" i="21" s="1"/>
  <c r="O399" i="21" s="1"/>
  <c r="O400" i="21" s="1"/>
  <c r="O401" i="21" s="1"/>
  <c r="O403" i="21" s="1"/>
  <c r="O404" i="21" s="1"/>
  <c r="O405" i="21" s="1"/>
  <c r="O406" i="21" s="1"/>
  <c r="O407" i="21" s="1"/>
  <c r="O408" i="21" s="1"/>
  <c r="O409" i="21" s="1"/>
  <c r="O410" i="21" s="1"/>
  <c r="O411" i="21" s="1"/>
  <c r="O412" i="21" s="1"/>
  <c r="O413" i="21" s="1"/>
  <c r="O414" i="21" s="1"/>
  <c r="O415" i="21" s="1"/>
  <c r="O416" i="21" s="1"/>
  <c r="O417" i="21" s="1"/>
  <c r="O418" i="21" s="1"/>
  <c r="O419" i="21" s="1"/>
  <c r="O420" i="21" s="1"/>
  <c r="O421" i="21" s="1"/>
  <c r="O422" i="21" s="1"/>
  <c r="O423" i="21" s="1"/>
  <c r="O424" i="21" s="1"/>
  <c r="O425" i="21" s="1"/>
  <c r="O426" i="21" s="1"/>
  <c r="O427" i="21" s="1"/>
  <c r="O428" i="21" s="1"/>
  <c r="O429" i="21" s="1"/>
  <c r="O430" i="21" s="1"/>
  <c r="O431" i="21" s="1"/>
  <c r="O432" i="21" s="1"/>
  <c r="O433" i="21" s="1"/>
  <c r="O434" i="21" s="1"/>
  <c r="O435" i="21" s="1"/>
  <c r="O436" i="21" s="1"/>
  <c r="O437" i="21" s="1"/>
  <c r="O438" i="21" s="1"/>
  <c r="O439" i="21" s="1"/>
  <c r="O440" i="21" s="1"/>
  <c r="O441" i="21" s="1"/>
  <c r="O442" i="21" s="1"/>
  <c r="O443" i="21" s="1"/>
  <c r="O444" i="21" s="1"/>
  <c r="O445" i="21" s="1"/>
  <c r="O446" i="21" s="1"/>
  <c r="O447" i="21" s="1"/>
  <c r="O448" i="21" s="1"/>
  <c r="O449" i="21" s="1"/>
  <c r="O450" i="21" s="1"/>
  <c r="O451" i="21" s="1"/>
  <c r="O452" i="21" s="1"/>
  <c r="O453" i="21" s="1"/>
  <c r="O454" i="21" s="1"/>
  <c r="O455" i="21" s="1"/>
  <c r="O456" i="21" s="1"/>
  <c r="O457" i="21" s="1"/>
  <c r="O458" i="21" s="1"/>
  <c r="O459" i="21" s="1"/>
  <c r="O460" i="21" s="1"/>
  <c r="O461" i="21" s="1"/>
  <c r="O462" i="21" s="1"/>
  <c r="O463" i="21" s="1"/>
  <c r="O464" i="21" s="1"/>
  <c r="O465" i="21" s="1"/>
  <c r="O466" i="21" s="1"/>
  <c r="O467" i="21" s="1"/>
  <c r="O468" i="21" s="1"/>
  <c r="O469" i="21" s="1"/>
  <c r="O470" i="21" s="1"/>
  <c r="O471" i="21" s="1"/>
  <c r="O472" i="21" s="1"/>
  <c r="O473" i="21" s="1"/>
  <c r="O474" i="21" s="1"/>
  <c r="O475" i="21" s="1"/>
  <c r="O476" i="21" s="1"/>
  <c r="O477" i="21" s="1"/>
  <c r="O478" i="21" s="1"/>
  <c r="O479" i="21" s="1"/>
  <c r="O480" i="21" s="1"/>
  <c r="O481" i="21" s="1"/>
  <c r="O482" i="21" s="1"/>
  <c r="O483" i="21" s="1"/>
  <c r="O484" i="21" s="1"/>
  <c r="O485" i="21" s="1"/>
  <c r="O486" i="21" s="1"/>
  <c r="O487" i="21" s="1"/>
  <c r="O488" i="21" s="1"/>
  <c r="O489" i="21" s="1"/>
  <c r="O490" i="21" s="1"/>
  <c r="O491" i="21" s="1"/>
  <c r="O492" i="21" s="1"/>
  <c r="O493" i="21" s="1"/>
  <c r="O494" i="21" s="1"/>
  <c r="C6" i="5"/>
  <c r="AD6" i="5" s="1"/>
  <c r="C7" i="5"/>
  <c r="AD7" i="5" s="1"/>
  <c r="C3" i="5"/>
  <c r="AD3" i="5" s="1"/>
  <c r="C9" i="5"/>
  <c r="AD9" i="5" s="1"/>
  <c r="C8" i="5"/>
  <c r="AD8" i="5" s="1"/>
  <c r="O495" i="21" l="1"/>
  <c r="O496" i="21" s="1"/>
  <c r="O497" i="21" l="1"/>
  <c r="O498" i="21" l="1"/>
  <c r="O499" i="21" l="1"/>
  <c r="O500" i="21" l="1"/>
  <c r="O501" i="21" l="1"/>
  <c r="O502" i="21" l="1"/>
  <c r="O503" i="21" l="1"/>
  <c r="O504" i="21" l="1"/>
  <c r="O505" i="21" l="1"/>
  <c r="O506" i="21" l="1"/>
  <c r="O507" i="21" s="1"/>
  <c r="O508" i="21" s="1"/>
  <c r="O509" i="21" s="1"/>
  <c r="O510" i="21" s="1"/>
  <c r="O511" i="21" s="1"/>
  <c r="O512" i="21" s="1"/>
  <c r="O513" i="21" s="1"/>
  <c r="O514" i="21" s="1"/>
  <c r="O515" i="21" s="1"/>
  <c r="O516" i="21" s="1"/>
  <c r="O517" i="21" s="1"/>
  <c r="O518" i="21" s="1"/>
  <c r="O519" i="21" s="1"/>
  <c r="O520" i="21" s="1"/>
  <c r="O521" i="21" s="1"/>
  <c r="O522" i="21" s="1"/>
  <c r="O523" i="21" s="1"/>
  <c r="O524" i="21" s="1"/>
  <c r="O525" i="21" s="1"/>
  <c r="O526" i="21" s="1"/>
  <c r="O527" i="21" s="1"/>
  <c r="O528" i="21" s="1"/>
  <c r="O529" i="21" s="1"/>
  <c r="O530" i="21" s="1"/>
  <c r="O531" i="21" s="1"/>
  <c r="O532" i="21" s="1"/>
  <c r="O533" i="21" s="1"/>
  <c r="O534" i="21" s="1"/>
  <c r="O535" i="21" s="1"/>
  <c r="O536" i="21" s="1"/>
  <c r="O537" i="21" s="1"/>
  <c r="O538" i="21" s="1"/>
  <c r="O539" i="21" s="1"/>
  <c r="O540" i="21" s="1"/>
  <c r="O541" i="21" s="1"/>
  <c r="O542" i="21" s="1"/>
  <c r="O543" i="21" s="1"/>
  <c r="O544" i="21" s="1"/>
  <c r="O545" i="21" s="1"/>
  <c r="O546" i="21" s="1"/>
  <c r="O547" i="21" s="1"/>
  <c r="O548" i="21" s="1"/>
  <c r="O549" i="21" s="1"/>
  <c r="O550" i="21" s="1"/>
  <c r="O551" i="21" s="1"/>
  <c r="O552" i="21" s="1"/>
  <c r="O553" i="21" s="1"/>
  <c r="O554" i="21" s="1"/>
  <c r="O555" i="21" s="1"/>
  <c r="O556" i="21" s="1"/>
  <c r="O557" i="21" s="1"/>
  <c r="O558" i="21" s="1"/>
  <c r="O559" i="21" s="1"/>
  <c r="O560" i="21" s="1"/>
  <c r="O561" i="21" s="1"/>
  <c r="O562" i="21" s="1"/>
  <c r="O563" i="21" s="1"/>
  <c r="O564" i="21" s="1"/>
  <c r="O565" i="21" s="1"/>
  <c r="O566" i="21" s="1"/>
  <c r="O567" i="21" s="1"/>
  <c r="O568" i="21" s="1"/>
  <c r="O569" i="21" s="1"/>
  <c r="O570" i="21" s="1"/>
  <c r="O571" i="21" s="1"/>
  <c r="O572" i="21" s="1"/>
  <c r="O573" i="21" s="1"/>
  <c r="O574" i="21" s="1"/>
  <c r="O575" i="21" s="1"/>
  <c r="O576" i="21" s="1"/>
  <c r="O577" i="21" s="1"/>
  <c r="O578" i="21" s="1"/>
  <c r="O579" i="21" s="1"/>
  <c r="O580" i="21" s="1"/>
  <c r="O581" i="21" s="1"/>
  <c r="O582" i="21" s="1"/>
  <c r="O583" i="21" s="1"/>
  <c r="O584" i="21" s="1"/>
  <c r="O585" i="21" s="1"/>
  <c r="O586" i="21" s="1"/>
  <c r="O587" i="21" s="1"/>
  <c r="O588" i="21" s="1"/>
  <c r="O589" i="21" s="1"/>
  <c r="O590" i="21" s="1"/>
  <c r="O591" i="21" s="1"/>
  <c r="O592" i="21" s="1"/>
  <c r="O593" i="21" s="1"/>
  <c r="O594" i="21" s="1"/>
  <c r="O595" i="21" s="1"/>
  <c r="O596" i="21" s="1"/>
  <c r="O597" i="21" s="1"/>
  <c r="O598" i="21" s="1"/>
  <c r="O599" i="21" s="1"/>
  <c r="O600" i="21" s="1"/>
  <c r="O601" i="21" s="1"/>
  <c r="O602" i="21" s="1"/>
  <c r="O603" i="21" s="1"/>
  <c r="O604" i="21" s="1"/>
  <c r="O605" i="21" s="1"/>
  <c r="O606" i="21" s="1"/>
  <c r="O607" i="21" s="1"/>
  <c r="O608" i="21" s="1"/>
  <c r="O609" i="21" s="1"/>
  <c r="O610" i="21" s="1"/>
  <c r="O611" i="21" s="1"/>
  <c r="O612" i="21" s="1"/>
  <c r="O613" i="21" s="1"/>
  <c r="O614" i="21" s="1"/>
  <c r="O615" i="21" s="1"/>
  <c r="O616" i="21" s="1"/>
  <c r="O617" i="21" s="1"/>
  <c r="O618" i="21" s="1"/>
  <c r="O619" i="21" s="1"/>
  <c r="O620" i="21" s="1"/>
  <c r="O621" i="21" s="1"/>
  <c r="O622" i="21" s="1"/>
  <c r="O623" i="21" s="1"/>
  <c r="O624" i="21" s="1"/>
  <c r="O625" i="21" s="1"/>
  <c r="O626" i="21" s="1"/>
  <c r="O627" i="21" s="1"/>
  <c r="O628" i="21" s="1"/>
  <c r="O629" i="21" s="1"/>
  <c r="O630" i="21" s="1"/>
  <c r="O631" i="21" s="1"/>
  <c r="O632" i="21" s="1"/>
  <c r="O633" i="21" s="1"/>
  <c r="O634" i="21" s="1"/>
  <c r="O635" i="21" s="1"/>
  <c r="O636" i="21" s="1"/>
  <c r="O637" i="21" s="1"/>
  <c r="O638" i="21" s="1"/>
  <c r="O639" i="21" s="1"/>
  <c r="O640" i="21" s="1"/>
  <c r="O641" i="21" s="1"/>
  <c r="O642" i="21" s="1"/>
  <c r="O643" i="21" s="1"/>
  <c r="O644" i="21" s="1"/>
  <c r="O645" i="21" s="1"/>
  <c r="O646" i="21" s="1"/>
  <c r="O648" i="21" s="1"/>
  <c r="O649" i="21" s="1"/>
  <c r="O650" i="21" s="1"/>
  <c r="O651" i="21" s="1"/>
  <c r="O653" i="21" s="1"/>
  <c r="O654" i="21" s="1"/>
  <c r="O655" i="21" s="1"/>
  <c r="O656" i="21" s="1"/>
  <c r="O657" i="21" s="1"/>
  <c r="O658" i="21" s="1"/>
  <c r="O660" i="21" s="1"/>
  <c r="O661" i="21" s="1"/>
  <c r="O662" i="21" s="1"/>
  <c r="O663" i="21" s="1"/>
  <c r="O664" i="21" s="1"/>
  <c r="O665" i="21" s="1"/>
  <c r="O666" i="21" s="1"/>
  <c r="O667" i="21" s="1"/>
  <c r="O668" i="21" s="1"/>
  <c r="O669" i="21" s="1"/>
  <c r="O670" i="21" s="1"/>
  <c r="O671" i="21" s="1"/>
  <c r="O672" i="21" s="1"/>
  <c r="O673" i="21" s="1"/>
  <c r="O674" i="21" s="1"/>
  <c r="O675" i="21" s="1"/>
  <c r="O676" i="21" s="1"/>
  <c r="O677" i="21" s="1"/>
  <c r="O678" i="21" s="1"/>
  <c r="O679" i="21" s="1"/>
  <c r="O680" i="21" s="1"/>
  <c r="O681" i="21" s="1"/>
  <c r="O682" i="21" s="1"/>
  <c r="O683" i="21" s="1"/>
  <c r="O684" i="21" s="1"/>
  <c r="O685" i="21" s="1"/>
  <c r="O686" i="21" s="1"/>
  <c r="O687" i="21" s="1"/>
  <c r="O688" i="21" s="1"/>
  <c r="O689" i="21" s="1"/>
  <c r="O690" i="21" s="1"/>
  <c r="O691" i="21" s="1"/>
  <c r="O692" i="21" s="1"/>
  <c r="O693" i="21" s="1"/>
  <c r="O694" i="21" s="1"/>
  <c r="O695" i="21" s="1"/>
  <c r="O696" i="21" s="1"/>
  <c r="O697" i="21" s="1"/>
  <c r="O698" i="21" s="1"/>
  <c r="O699" i="21" s="1"/>
  <c r="O700" i="21" s="1"/>
  <c r="O701" i="21" s="1"/>
  <c r="O702" i="21" s="1"/>
  <c r="O703" i="21" s="1"/>
  <c r="O704" i="21" s="1"/>
  <c r="O705" i="21" s="1"/>
  <c r="O706" i="21" s="1"/>
  <c r="O707" i="21" s="1"/>
  <c r="O708" i="21" s="1"/>
  <c r="O709" i="21" s="1"/>
  <c r="O710" i="21" s="1"/>
  <c r="O711" i="21" s="1"/>
  <c r="O712" i="21" s="1"/>
  <c r="O713" i="21" s="1"/>
  <c r="O714" i="21" s="1"/>
  <c r="O715" i="21" s="1"/>
  <c r="O716" i="21" s="1"/>
  <c r="O717" i="21" s="1"/>
  <c r="O718" i="21" s="1"/>
  <c r="O719" i="21" s="1"/>
  <c r="O720" i="21" s="1"/>
  <c r="O721" i="21" s="1"/>
  <c r="O722" i="21" s="1"/>
  <c r="O723" i="21" s="1"/>
  <c r="O724" i="21" s="1"/>
  <c r="O725" i="21" s="1"/>
  <c r="O726" i="21" s="1"/>
  <c r="O727" i="21" s="1"/>
  <c r="O728" i="21" s="1"/>
  <c r="O729" i="21" s="1"/>
  <c r="O730" i="21" s="1"/>
  <c r="O731" i="21" s="1"/>
  <c r="O732" i="21" s="1"/>
  <c r="O733" i="21" s="1"/>
  <c r="O734" i="21" s="1"/>
  <c r="O735" i="21" s="1"/>
  <c r="O736" i="21" s="1"/>
  <c r="O737" i="21" s="1"/>
  <c r="O738" i="21" s="1"/>
  <c r="O739" i="21" s="1"/>
  <c r="O740" i="21" s="1"/>
  <c r="O741" i="21" s="1"/>
  <c r="O742" i="21" s="1"/>
  <c r="O743" i="21" s="1"/>
  <c r="O744" i="21" s="1"/>
  <c r="O745" i="21" s="1"/>
  <c r="O746" i="21" s="1"/>
  <c r="O747" i="21" s="1"/>
  <c r="O748" i="21" s="1"/>
  <c r="O749" i="21" s="1"/>
  <c r="O750" i="21" s="1"/>
  <c r="O751" i="21" s="1"/>
  <c r="O752" i="21" s="1"/>
  <c r="O753" i="21" s="1"/>
  <c r="O754" i="21" s="1"/>
  <c r="O755" i="21" s="1"/>
  <c r="O756" i="21" s="1"/>
  <c r="O757" i="21" s="1"/>
  <c r="O758" i="21" s="1"/>
  <c r="O759" i="21" s="1"/>
  <c r="O760" i="21" s="1"/>
  <c r="O761" i="21" s="1"/>
  <c r="O762" i="21" s="1"/>
  <c r="O763" i="21" s="1"/>
  <c r="O764" i="21" s="1"/>
  <c r="O765" i="21" s="1"/>
  <c r="O766" i="21" s="1"/>
  <c r="O767" i="21" s="1"/>
  <c r="O768" i="21" s="1"/>
  <c r="O769" i="21" s="1"/>
  <c r="O770" i="21" s="1"/>
  <c r="O771" i="21" s="1"/>
  <c r="O772" i="21" s="1"/>
  <c r="O773" i="21" s="1"/>
  <c r="O774" i="21" s="1"/>
  <c r="O775" i="21" s="1"/>
  <c r="O776" i="21" s="1"/>
  <c r="O777" i="21" s="1"/>
  <c r="O778" i="21" s="1"/>
  <c r="O779" i="21" s="1"/>
  <c r="O780" i="21" s="1"/>
  <c r="O781" i="21" s="1"/>
  <c r="O782" i="21" s="1"/>
  <c r="O783" i="21" s="1"/>
  <c r="O784" i="21" s="1"/>
  <c r="O785" i="21" s="1"/>
  <c r="O786" i="21" s="1"/>
  <c r="O788" i="21" s="1"/>
  <c r="O789" i="21" s="1"/>
  <c r="O790" i="21" s="1"/>
  <c r="O791" i="21" s="1"/>
  <c r="O792" i="21" s="1"/>
  <c r="O793" i="21" s="1"/>
  <c r="O795" i="21" s="1"/>
  <c r="O796" i="21" s="1"/>
  <c r="O797" i="21" s="1"/>
  <c r="O798" i="21" s="1"/>
  <c r="O799" i="21" s="1"/>
  <c r="O800" i="21" s="1"/>
  <c r="O801" i="21" s="1"/>
  <c r="O802" i="21" s="1"/>
  <c r="O803" i="21" s="1"/>
  <c r="O804" i="21" s="1"/>
  <c r="O805" i="21" s="1"/>
  <c r="O806" i="21" s="1"/>
  <c r="O807" i="21" s="1"/>
  <c r="O808" i="21" s="1"/>
  <c r="O809" i="21" s="1"/>
  <c r="O810" i="21" s="1"/>
  <c r="O811" i="21" s="1"/>
  <c r="O812" i="21" s="1"/>
  <c r="O813" i="21" s="1"/>
  <c r="O814" i="21" s="1"/>
  <c r="O815" i="21" s="1"/>
  <c r="O816" i="21" s="1"/>
  <c r="O817" i="21" s="1"/>
  <c r="O818" i="21" s="1"/>
  <c r="O819" i="21" s="1"/>
  <c r="O820" i="21" s="1"/>
  <c r="O821" i="21" s="1"/>
  <c r="O822" i="21" s="1"/>
  <c r="O823" i="21" s="1"/>
  <c r="O824" i="21" s="1"/>
  <c r="O825" i="21" s="1"/>
  <c r="O826" i="21" s="1"/>
  <c r="O827" i="21" s="1"/>
  <c r="O828" i="21" s="1"/>
  <c r="O829" i="21" s="1"/>
  <c r="O830" i="21" s="1"/>
  <c r="O831" i="21" s="1"/>
  <c r="O832" i="21" s="1"/>
  <c r="O833" i="21" s="1"/>
  <c r="O834" i="21" s="1"/>
  <c r="O835" i="21" s="1"/>
  <c r="O836" i="21" s="1"/>
  <c r="O837" i="21" s="1"/>
  <c r="O838" i="21" s="1"/>
  <c r="O839" i="21" s="1"/>
  <c r="O840" i="21" s="1"/>
  <c r="O841" i="21" s="1"/>
  <c r="O842" i="21" s="1"/>
  <c r="O843" i="21" s="1"/>
  <c r="O844" i="21" s="1"/>
  <c r="O845" i="21" s="1"/>
  <c r="O846" i="21" s="1"/>
  <c r="O847" i="21" s="1"/>
  <c r="O848" i="21" s="1"/>
  <c r="O849" i="21" s="1"/>
  <c r="O850" i="21" s="1"/>
  <c r="O851" i="21" s="1"/>
  <c r="O852" i="21" s="1"/>
  <c r="O853" i="21" s="1"/>
  <c r="O854" i="21" s="1"/>
  <c r="O855" i="21" s="1"/>
  <c r="O856" i="21" s="1"/>
  <c r="O857" i="21" s="1"/>
  <c r="O858" i="21" s="1"/>
  <c r="O859" i="21" s="1"/>
  <c r="O860" i="21" s="1"/>
  <c r="O861" i="21" s="1"/>
  <c r="O862" i="21" s="1"/>
  <c r="O863" i="21" s="1"/>
  <c r="O864" i="21" s="1"/>
  <c r="O865" i="21" s="1"/>
  <c r="O866" i="21" s="1"/>
  <c r="O867" i="21" s="1"/>
  <c r="O868" i="21" s="1"/>
  <c r="O869" i="21" s="1"/>
  <c r="O870" i="21" s="1"/>
  <c r="O871" i="21" s="1"/>
  <c r="O872" i="21" s="1"/>
  <c r="O873" i="21" s="1"/>
  <c r="O874" i="21" s="1"/>
  <c r="O875" i="21" s="1"/>
  <c r="O876" i="21" s="1"/>
  <c r="O877" i="21" s="1"/>
  <c r="O878" i="21" s="1"/>
  <c r="O879" i="21" s="1"/>
  <c r="O880" i="21" s="1"/>
  <c r="O881" i="21" s="1"/>
  <c r="O882" i="21" s="1"/>
  <c r="O883" i="21" s="1"/>
  <c r="O884" i="21" s="1"/>
  <c r="O885" i="21" s="1"/>
  <c r="O886" i="21" s="1"/>
  <c r="O887" i="21" s="1"/>
  <c r="O888" i="21" s="1"/>
  <c r="O889" i="21" s="1"/>
  <c r="O890" i="21" s="1"/>
  <c r="O891" i="21" s="1"/>
  <c r="O892" i="21" s="1"/>
  <c r="O893" i="21" s="1"/>
  <c r="O894" i="21" s="1"/>
  <c r="O895" i="21" s="1"/>
  <c r="O896" i="21" s="1"/>
  <c r="O897" i="21" s="1"/>
  <c r="O898" i="21" s="1"/>
  <c r="O899" i="21" s="1"/>
  <c r="O900" i="21" s="1"/>
  <c r="O901" i="21" s="1"/>
  <c r="O902" i="21" s="1"/>
  <c r="O903" i="21" s="1"/>
  <c r="O904" i="21" s="1"/>
  <c r="O905" i="21" s="1"/>
  <c r="O906" i="21" s="1"/>
  <c r="O907" i="21" s="1"/>
  <c r="O908" i="21" s="1"/>
  <c r="O909" i="21" s="1"/>
  <c r="O910" i="21" s="1"/>
  <c r="O911" i="21" s="1"/>
  <c r="O912" i="21" s="1"/>
  <c r="O913" i="21" s="1"/>
  <c r="O914" i="21" s="1"/>
  <c r="O915" i="21" s="1"/>
  <c r="O916" i="21" s="1"/>
  <c r="O917" i="21" s="1"/>
  <c r="O918" i="21" s="1"/>
  <c r="O919" i="21" s="1"/>
  <c r="O920" i="21" s="1"/>
  <c r="O921" i="21" s="1"/>
  <c r="O922" i="21" s="1"/>
  <c r="O923" i="21" s="1"/>
  <c r="O924" i="21" s="1"/>
  <c r="O925" i="21" s="1"/>
  <c r="O926" i="21" s="1"/>
  <c r="O927" i="21" s="1"/>
  <c r="O928" i="21" s="1"/>
  <c r="O929" i="21" s="1"/>
  <c r="O930" i="21" s="1"/>
  <c r="O931" i="21" s="1"/>
  <c r="O932" i="21" s="1"/>
  <c r="O933" i="21" s="1"/>
  <c r="O934" i="21" s="1"/>
  <c r="O935" i="21" s="1"/>
  <c r="O936" i="21" s="1"/>
  <c r="O937" i="21" s="1"/>
  <c r="O938" i="21" s="1"/>
  <c r="O939" i="21" s="1"/>
  <c r="O940" i="21" s="1"/>
  <c r="O941" i="21" s="1"/>
  <c r="O942" i="21" s="1"/>
  <c r="O943" i="21" s="1"/>
  <c r="O944" i="21" s="1"/>
  <c r="O945" i="21" s="1"/>
  <c r="O946" i="21" s="1"/>
  <c r="O947" i="21" s="1"/>
  <c r="O948" i="21" s="1"/>
  <c r="O949" i="21" s="1"/>
  <c r="O950" i="21" s="1"/>
  <c r="O951" i="21" s="1"/>
  <c r="O952" i="21" s="1"/>
  <c r="O953" i="21" s="1"/>
  <c r="O954" i="21" s="1"/>
  <c r="O955" i="21" s="1"/>
  <c r="O956" i="21" s="1"/>
  <c r="O957" i="21" s="1"/>
  <c r="O958" i="21" s="1"/>
  <c r="O959" i="21" s="1"/>
  <c r="O960" i="21" s="1"/>
  <c r="O961" i="21" s="1"/>
  <c r="O962" i="21" s="1"/>
  <c r="O963" i="21" s="1"/>
  <c r="O964" i="21" s="1"/>
  <c r="O965" i="21" s="1"/>
  <c r="O966" i="21" s="1"/>
  <c r="O967" i="21" s="1"/>
  <c r="O968" i="21" s="1"/>
  <c r="O969" i="21" s="1"/>
  <c r="O970" i="21" s="1"/>
  <c r="O971" i="21" s="1"/>
  <c r="O972" i="21" s="1"/>
  <c r="O973" i="21" s="1"/>
  <c r="O974" i="21" s="1"/>
  <c r="O975" i="21" s="1"/>
  <c r="O976" i="21" s="1"/>
  <c r="O977" i="21" s="1"/>
  <c r="O978" i="21" s="1"/>
  <c r="O979" i="21" s="1"/>
  <c r="O980" i="21" s="1"/>
  <c r="O981" i="21" s="1"/>
  <c r="O982" i="21" s="1"/>
  <c r="O983" i="21" s="1"/>
  <c r="O984" i="21" s="1"/>
  <c r="O985" i="21" s="1"/>
  <c r="O986" i="21" s="1"/>
  <c r="O987" i="21" s="1"/>
  <c r="O988" i="21" s="1"/>
  <c r="O989" i="21" s="1"/>
  <c r="O990" i="21" s="1"/>
  <c r="O991" i="21" s="1"/>
  <c r="O992" i="21" s="1"/>
  <c r="O993" i="21" s="1"/>
  <c r="O994" i="21" s="1"/>
  <c r="O995" i="21" s="1"/>
  <c r="O996" i="21" s="1"/>
  <c r="O997" i="21" s="1"/>
  <c r="O998" i="21" s="1"/>
  <c r="O999" i="21" s="1"/>
  <c r="O1000" i="21" s="1"/>
  <c r="O1001" i="21" s="1"/>
  <c r="O1002" i="21" s="1"/>
  <c r="O1003" i="21" s="1"/>
  <c r="O1004" i="21" s="1"/>
  <c r="O1005" i="21" s="1"/>
  <c r="O1006" i="21" s="1"/>
  <c r="O1007" i="21" s="1"/>
  <c r="O1008" i="21" s="1"/>
  <c r="O1009" i="21" s="1"/>
  <c r="O1010" i="21" s="1"/>
  <c r="O1011" i="21" s="1"/>
  <c r="O1012" i="21" s="1"/>
  <c r="O1013" i="21" s="1"/>
  <c r="O1014" i="21" s="1"/>
  <c r="O1015" i="21" s="1"/>
  <c r="O1016" i="21" s="1"/>
  <c r="O1017" i="21" s="1"/>
  <c r="O1018" i="21" s="1"/>
  <c r="O1019" i="21" s="1"/>
  <c r="O1020" i="21" s="1"/>
  <c r="O1021" i="21" s="1"/>
  <c r="O1022" i="21" s="1"/>
  <c r="O1023" i="21" s="1"/>
  <c r="O1024" i="21" s="1"/>
  <c r="O1025" i="21" s="1"/>
  <c r="O1026" i="21" s="1"/>
  <c r="O1027" i="21" s="1"/>
  <c r="O1028" i="21" s="1"/>
  <c r="O1029" i="21" s="1"/>
  <c r="O1030" i="21" s="1"/>
  <c r="O1031" i="21" s="1"/>
  <c r="O1032" i="21" s="1"/>
  <c r="O1033" i="21" s="1"/>
  <c r="O1034" i="21" s="1"/>
  <c r="O1035" i="21" s="1"/>
  <c r="O1036" i="21" s="1"/>
  <c r="O1037" i="21" s="1"/>
  <c r="O1038" i="21" s="1"/>
  <c r="O1039" i="21" s="1"/>
  <c r="O1040" i="21" s="1"/>
  <c r="O1041" i="21" s="1"/>
  <c r="O1042" i="21" s="1"/>
  <c r="O1043" i="21" s="1"/>
  <c r="O1044" i="21" s="1"/>
  <c r="O1045" i="21" s="1"/>
  <c r="O1046" i="21" s="1"/>
  <c r="O1047" i="21" s="1"/>
  <c r="O1048" i="21" s="1"/>
  <c r="O1049" i="21" s="1"/>
  <c r="O1050" i="21" s="1"/>
  <c r="O1051" i="21" s="1"/>
  <c r="O1052" i="21" s="1"/>
  <c r="O1053" i="21" s="1"/>
  <c r="O1054" i="21" s="1"/>
  <c r="O1055" i="21" s="1"/>
  <c r="O1056" i="21" s="1"/>
  <c r="O1057" i="21" s="1"/>
  <c r="O1058" i="21" s="1"/>
  <c r="O1059" i="21" s="1"/>
  <c r="O1060" i="21" s="1"/>
  <c r="O1061" i="21" s="1"/>
  <c r="O1062" i="21" s="1"/>
  <c r="O1063" i="21" s="1"/>
  <c r="O1064" i="21" s="1"/>
  <c r="O1065" i="21" s="1"/>
  <c r="O1066" i="21" s="1"/>
  <c r="O1067" i="21" s="1"/>
  <c r="O1068" i="21" s="1"/>
  <c r="O1069" i="21" s="1"/>
  <c r="O1070" i="21" s="1"/>
  <c r="O1071" i="21" s="1"/>
  <c r="O1072" i="21" s="1"/>
  <c r="O1073" i="21" s="1"/>
  <c r="O1074" i="21" s="1"/>
  <c r="O1075" i="21" s="1"/>
  <c r="O1076" i="21" s="1"/>
  <c r="O1077" i="21" s="1"/>
  <c r="O1078" i="21" s="1"/>
  <c r="O1079" i="21" s="1"/>
  <c r="O1080" i="21" s="1"/>
  <c r="O1081" i="21" s="1"/>
  <c r="O1082" i="21" s="1"/>
  <c r="O1083" i="21" s="1"/>
  <c r="O1084" i="21" s="1"/>
  <c r="O1085" i="21" s="1"/>
  <c r="O1086" i="21" s="1"/>
  <c r="O1087" i="21" s="1"/>
  <c r="O1088" i="21" s="1"/>
  <c r="O1089" i="21" s="1"/>
  <c r="O1090" i="21" s="1"/>
  <c r="O1091" i="21" s="1"/>
  <c r="O1092" i="21" s="1"/>
  <c r="O1093" i="21" s="1"/>
  <c r="O1094" i="21" s="1"/>
  <c r="O1095" i="21" s="1"/>
  <c r="O1096" i="21" s="1"/>
  <c r="O1097" i="21" s="1"/>
  <c r="O1098" i="21" s="1"/>
  <c r="O1099" i="21" s="1"/>
  <c r="O1100" i="21" s="1"/>
  <c r="O1101" i="21" s="1"/>
  <c r="O1102" i="21" s="1"/>
  <c r="O1103" i="21" s="1"/>
  <c r="O1104" i="21" s="1"/>
  <c r="O1105" i="21" s="1"/>
  <c r="O1106" i="21" s="1"/>
  <c r="O1107" i="21" s="1"/>
  <c r="O1108" i="21" s="1"/>
  <c r="O1109" i="21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<sst xmlns="http://schemas.openxmlformats.org/spreadsheetml/2006/main" count="6807" uniqueCount="1074">
  <si>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</si>
  <si>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</si>
  <si>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</si>
  <si>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</si>
  <si>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</si>
  <si>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</si>
  <si>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</si>
  <si>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</si>
  <si>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</si>
  <si>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</si>
  <si>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</si>
  <si>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</si>
  <si>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</si>
  <si>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</si>
  <si>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</si>
  <si>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</si>
  <si>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</si>
  <si>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</si>
  <si>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</si>
  <si>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</si>
  <si>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</si>
  <si>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</si>
  <si>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</si>
  <si>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</si>
  <si>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</si>
  <si>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</si>
  <si>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</si>
  <si>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</si>
  <si>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</si>
  <si>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</si>
  <si>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</si>
  <si>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</si>
  <si>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</si>
  <si>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</si>
  <si>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</si>
  <si>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</si>
  <si>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</si>
  <si>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</si>
  <si>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</si>
  <si>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</si>
  <si>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</si>
  <si>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</si>
  <si>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</si>
  <si>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</si>
  <si>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</si>
  <si>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</si>
  <si>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</si>
  <si>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</si>
  <si>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</si>
  <si>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</si>
  <si>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</si>
  <si>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</si>
  <si>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</si>
  <si>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</si>
  <si>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</si>
  <si>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</si>
  <si>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</si>
  <si>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</si>
  <si>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</si>
  <si>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</si>
  <si>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</si>
  <si>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</si>
  <si>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</si>
  <si>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</si>
  <si>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</si>
  <si>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</si>
  <si>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</si>
  <si>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</si>
  <si>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</si>
  <si>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</si>
  <si>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</si>
  <si>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</si>
  <si>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</si>
  <si>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</si>
  <si>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</si>
  <si>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</si>
  <si>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</si>
  <si>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</si>
  <si>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</si>
  <si>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</si>
  <si>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</si>
  <si>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</si>
  <si>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</si>
  <si>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</si>
  <si>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</si>
  <si>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</si>
  <si>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</si>
  <si>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</si>
  <si>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</si>
  <si>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</si>
  <si>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</si>
  <si>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</si>
  <si>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</si>
  <si>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</si>
  <si>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</si>
  <si>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</si>
  <si>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</si>
  <si>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</si>
  <si>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</si>
  <si>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</si>
  <si>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</si>
  <si>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</si>
  <si>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</si>
  <si>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</si>
  <si>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</si>
  <si>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</si>
  <si>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</si>
  <si>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</si>
  <si>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</si>
  <si>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</si>
  <si>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</si>
  <si>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</si>
  <si>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</si>
  <si>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</si>
  <si>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</si>
  <si>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</si>
  <si>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</si>
  <si>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</si>
  <si>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</si>
  <si>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</si>
  <si>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</si>
  <si>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</si>
  <si>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</si>
  <si>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</si>
  <si>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</si>
  <si>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</si>
  <si>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</si>
  <si>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</si>
  <si>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</si>
  <si>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</si>
  <si>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</si>
  <si>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</si>
  <si>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</si>
  <si>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</si>
  <si>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</si>
  <si>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</si>
  <si>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</si>
  <si>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</si>
  <si>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</si>
  <si>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</si>
  <si>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</si>
  <si>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</si>
  <si>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</si>
  <si>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</si>
  <si>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</si>
  <si>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</si>
  <si>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</si>
  <si>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</si>
  <si>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</si>
  <si>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</si>
  <si>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</si>
  <si>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</si>
  <si>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</si>
  <si>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</si>
  <si>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</si>
  <si>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</si>
  <si>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</si>
  <si>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</si>
  <si>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</si>
  <si>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</si>
  <si>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</si>
  <si>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</si>
  <si>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</si>
  <si>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</si>
  <si>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</si>
  <si>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</si>
  <si>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</si>
  <si>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</si>
  <si>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</si>
  <si>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</si>
  <si>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</si>
  <si>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</si>
  <si>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</si>
  <si>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</si>
  <si>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</si>
  <si>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</si>
  <si>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</si>
  <si>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</si>
  <si>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</si>
  <si>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</si>
  <si>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</si>
  <si>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</si>
  <si>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</si>
  <si>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</si>
  <si>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</si>
  <si>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</si>
  <si>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</si>
  <si>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</si>
  <si>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</si>
  <si>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</si>
  <si>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</si>
  <si>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</si>
  <si>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</si>
  <si>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</si>
  <si>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</si>
  <si>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</si>
  <si>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</si>
  <si>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</si>
  <si>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</si>
  <si>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</si>
  <si>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</si>
  <si>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</si>
  <si>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</si>
  <si>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</si>
  <si>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</si>
  <si>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</si>
  <si>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</si>
  <si>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</si>
  <si>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</si>
  <si>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</si>
  <si>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</si>
  <si>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</si>
  <si>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</si>
  <si>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</si>
  <si>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</si>
  <si>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</si>
  <si>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</si>
  <si>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</si>
  <si>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</si>
  <si>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</si>
  <si>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</si>
  <si>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</si>
  <si>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</si>
  <si>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</si>
  <si>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</si>
  <si>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</si>
  <si>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</si>
  <si>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</si>
  <si>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</si>
  <si>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</si>
  <si>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</si>
  <si>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</si>
  <si>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</si>
  <si>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</si>
  <si>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</si>
  <si>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</si>
  <si>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</si>
  <si>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</si>
  <si>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</si>
  <si>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</si>
  <si>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</si>
  <si>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</si>
  <si>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</si>
  <si>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</si>
  <si>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</si>
  <si>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</si>
  <si>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</si>
  <si>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</si>
  <si>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</si>
  <si>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</si>
  <si>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</si>
  <si>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</si>
  <si>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</si>
  <si>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</si>
  <si>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</si>
  <si>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</si>
  <si>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</si>
  <si>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</si>
  <si>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</si>
  <si>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</si>
  <si>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</si>
  <si>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</si>
  <si>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</si>
  <si>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</si>
  <si>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</si>
  <si>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</si>
  <si>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</si>
  <si>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</si>
  <si>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</si>
  <si>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</si>
  <si>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</si>
  <si>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</si>
  <si>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</si>
  <si>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</si>
  <si>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</si>
  <si>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</si>
  <si>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</si>
  <si>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</si>
  <si>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</si>
  <si>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</si>
  <si>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</si>
  <si>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</si>
  <si>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</si>
  <si>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</si>
  <si>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</si>
  <si>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</si>
  <si>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</si>
  <si>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</si>
  <si>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</si>
  <si>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</si>
  <si>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</si>
  <si>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</si>
  <si>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</si>
  <si>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</si>
  <si>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</si>
  <si>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</si>
  <si>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</si>
  <si>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</si>
  <si>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</si>
  <si>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</si>
  <si>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</si>
  <si>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</si>
  <si>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</si>
  <si>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</si>
  <si>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</si>
  <si>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</si>
  <si>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</si>
  <si>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</si>
  <si>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</si>
  <si>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</si>
  <si>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</si>
  <si>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</si>
  <si>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</si>
  <si>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</si>
  <si>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</si>
  <si>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</si>
  <si>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</si>
  <si>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</si>
  <si>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</si>
  <si>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</si>
  <si>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</si>
  <si>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</si>
  <si>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</si>
  <si>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</si>
  <si>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</si>
  <si>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</si>
  <si>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</si>
  <si>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</si>
  <si>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Harald Neumayr</t>
  </si>
  <si>
    <t>Phillip Gould</t>
  </si>
  <si>
    <t>Peter Pichler</t>
  </si>
  <si>
    <t>Jesse Hawkins (DE)</t>
  </si>
  <si>
    <t>Dylan Cooper (HU)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</si>
  <si>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</si>
  <si>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</si>
  <si>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</si>
  <si>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</si>
  <si>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</si>
  <si>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</si>
  <si>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</si>
  <si>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</si>
  <si>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</si>
  <si>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</si>
  <si>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Péter Krámer (HU)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</si>
  <si>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</si>
  <si>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</si>
  <si>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</si>
  <si>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</si>
  <si>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</si>
  <si>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</si>
  <si>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</si>
  <si>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</si>
  <si>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</si>
  <si>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</si>
  <si>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</si>
  <si>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</si>
  <si>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</si>
  <si>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</si>
  <si>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</si>
  <si>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</si>
  <si>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</si>
  <si>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</si>
  <si>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Ousama El Nabriss</t>
  </si>
  <si>
    <t>Marcel Gala (SK)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</si>
  <si>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</si>
  <si>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</si>
  <si>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</si>
  <si>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</si>
  <si>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</si>
  <si>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</si>
  <si>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</si>
  <si>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</si>
  <si>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No Aces</t>
  </si>
  <si>
    <t>No Eagles</t>
  </si>
  <si>
    <t>No Birdies</t>
  </si>
  <si>
    <t>No Bogeys</t>
  </si>
  <si>
    <t>No Double-Bogeys</t>
  </si>
  <si>
    <t>No Triple-Bogeys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</si>
  <si>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</si>
  <si>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</si>
  <si>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</si>
  <si>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</si>
  <si>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</si>
  <si>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</si>
  <si>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</si>
  <si>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</si>
  <si>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</si>
  <si>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</si>
  <si>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</si>
  <si>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</si>
  <si>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</si>
  <si>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</si>
  <si>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</si>
  <si>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</si>
  <si>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</si>
  <si>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</si>
  <si>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</si>
  <si>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</si>
  <si>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</si>
  <si>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</si>
  <si>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</si>
  <si>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</si>
  <si>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</si>
  <si>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</si>
  <si>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</si>
  <si>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</si>
  <si>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Adam Schneiter</t>
  </si>
  <si>
    <t>Rainer Zeller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</si>
  <si>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</si>
  <si>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</si>
  <si>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</si>
  <si>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</si>
  <si>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</si>
  <si>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</si>
  <si>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</si>
  <si>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</si>
  <si>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</si>
  <si>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</si>
  <si>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</si>
  <si>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</si>
  <si>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</si>
  <si>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</si>
  <si>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</si>
  <si>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</si>
  <si>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</si>
  <si>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</si>
  <si>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</si>
  <si>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</si>
  <si>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</si>
  <si>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Benedikt Heiß (DE)</t>
  </si>
  <si>
    <t>Katka Bodova (SK)</t>
  </si>
  <si>
    <t>Barnabas Jozsa (HU)</t>
  </si>
  <si>
    <t>Michael Feller</t>
  </si>
  <si>
    <t>Pavol Kudela (SK)</t>
  </si>
  <si>
    <t>Hole-Name</t>
  </si>
  <si>
    <t>Stefan Dobrev (SK)</t>
  </si>
  <si>
    <t>Martin Killinger</t>
  </si>
  <si>
    <t>Werner Riebesel (DE)</t>
  </si>
  <si>
    <t>Ákos Szabó (HU)</t>
  </si>
  <si>
    <t>Elmer Rossnegger</t>
  </si>
  <si>
    <t>Thomas Strasser</t>
  </si>
  <si>
    <t>Hannes Buschenreithner</t>
  </si>
  <si>
    <t>Stefan Harlander</t>
  </si>
  <si>
    <t>Tino Fillinger (DE)</t>
  </si>
  <si>
    <t>Franjo Kiri? (HR)</t>
  </si>
  <si>
    <t>Andreas Blesberger</t>
  </si>
  <si>
    <t>Michael Maier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</si>
  <si>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</si>
  <si>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</si>
  <si>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</si>
  <si>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</si>
  <si>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</si>
  <si>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</si>
  <si>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</si>
  <si>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</si>
  <si>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</si>
  <si>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</si>
  <si>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</si>
  <si>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</si>
  <si>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Sigi Psutka</t>
  </si>
  <si>
    <t>Jozef ?ierny (SK)</t>
  </si>
  <si>
    <t>Balázs Veres (HU)</t>
  </si>
  <si>
    <t>Tamás Kovács (HU)</t>
  </si>
  <si>
    <t>Benedek Orbán (HU)</t>
  </si>
  <si>
    <t>Alexander Kukuvec</t>
  </si>
  <si>
    <t>Ádám Oláh (HU)</t>
  </si>
  <si>
    <t>Vanja Brozovi? (HR)</t>
  </si>
  <si>
    <t>Thomas Bruckner</t>
  </si>
  <si>
    <t>Susanne Jungwirth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</si>
  <si>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</si>
  <si>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</si>
  <si>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</si>
  <si>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</si>
  <si>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</si>
  <si>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</si>
  <si>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</si>
  <si>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</si>
  <si>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</si>
  <si>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</si>
  <si>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</si>
  <si>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</si>
  <si>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Michael Kulmer</t>
  </si>
  <si>
    <t>Martin Zeilbauer</t>
  </si>
  <si>
    <t>Dominik Fischer</t>
  </si>
  <si>
    <t>Szilárd Pálinkás (HU)</t>
  </si>
  <si>
    <t>Simon Arh (SI)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</si>
  <si>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</si>
  <si>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</si>
  <si>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</si>
  <si>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</si>
  <si>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</si>
  <si>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</si>
  <si>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</si>
  <si>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</si>
  <si>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Simon Lizotte (DE)</t>
  </si>
  <si>
    <t>Avery Jenkins (US)</t>
  </si>
  <si>
    <t>Andreas Kucera (DE)</t>
  </si>
  <si>
    <t>Gregor Marter (DE)</t>
  </si>
  <si>
    <t>Marco Triendl</t>
  </si>
  <si>
    <t>Daniel Oswald</t>
  </si>
  <si>
    <t>Julian Abt</t>
  </si>
  <si>
    <t>Andreas Raunigger</t>
  </si>
  <si>
    <t>Josef Faltejsek</t>
  </si>
  <si>
    <t>Christoph Reindl</t>
  </si>
  <si>
    <t>Andreas Spang (DE)</t>
  </si>
  <si>
    <t>Harald Kucera (DE)</t>
  </si>
  <si>
    <t>Daniela Schälchli-Spang (DE)</t>
  </si>
  <si>
    <t>Steffi Neffe</t>
  </si>
  <si>
    <t>Florian Knoll (DE)</t>
  </si>
  <si>
    <t>Tinu Schär (CH)</t>
  </si>
  <si>
    <t>Alexander Müller (DE)</t>
  </si>
  <si>
    <t>Stefan Pientschik (DE)</t>
  </si>
  <si>
    <t>Markus Abrell (DE)</t>
  </si>
  <si>
    <t>Sebastian Esser (DE)</t>
  </si>
  <si>
    <t>Daniel Veble (DE)</t>
  </si>
  <si>
    <t>Anton Abrell (DE)</t>
  </si>
  <si>
    <t>Christian Eß (DE)</t>
  </si>
  <si>
    <t>Florian Zaha (DE)</t>
  </si>
  <si>
    <t>Georg Pitterle (IT)</t>
  </si>
  <si>
    <t>Matthias Türmer (DE)</t>
  </si>
  <si>
    <t>Christian Maul (DE)</t>
  </si>
  <si>
    <t>Christof Waibel (DE)</t>
  </si>
  <si>
    <t>Viktor Schelhas (DE)</t>
  </si>
  <si>
    <t>54 down</t>
  </si>
  <si>
    <t>Michal Kúdela (SK)</t>
  </si>
  <si>
    <t>Laszló Bak (HU)</t>
  </si>
  <si>
    <t>Nino Djurak (HR)</t>
  </si>
  <si>
    <t>Dirk Bergold (DE)</t>
  </si>
  <si>
    <t>Tomislav Goricki (HU)</t>
  </si>
  <si>
    <t>Roman Miezga (SK)</t>
  </si>
  <si>
    <t>Wolfram Kittl</t>
  </si>
  <si>
    <t>Tadeas Priklopil (FI)</t>
  </si>
  <si>
    <t>Dalibor Pales (SK)</t>
  </si>
  <si>
    <t>Martin Kukuvec</t>
  </si>
  <si>
    <t>Richard Hazod</t>
  </si>
  <si>
    <t>Kornél Kazai (HU)</t>
  </si>
  <si>
    <t>Michael Kukuvec</t>
  </si>
  <si>
    <t>Ira Molnar (HU)</t>
  </si>
  <si>
    <t>Natalija Jarec (HU)</t>
  </si>
  <si>
    <t>Peter Naderer</t>
  </si>
  <si>
    <t>Michael Himmer</t>
  </si>
  <si>
    <t>12 down</t>
  </si>
  <si>
    <t>13 down</t>
  </si>
  <si>
    <t>24 up</t>
  </si>
  <si>
    <t>25 down</t>
  </si>
  <si>
    <t>Tobias Fuchs (IS)</t>
  </si>
  <si>
    <t>Tamas Gajer (HU)</t>
  </si>
  <si>
    <t>76 down</t>
  </si>
  <si>
    <t>Christina Froschauer</t>
  </si>
  <si>
    <t>Peter Schickbauer</t>
  </si>
  <si>
    <t>Stefan Brunner</t>
  </si>
  <si>
    <t>Marcus Kauf</t>
  </si>
  <si>
    <t>Peter Spiegelhofer</t>
  </si>
  <si>
    <t>79 down</t>
  </si>
  <si>
    <t>80 down</t>
  </si>
  <si>
    <t>81 down</t>
  </si>
  <si>
    <t>Sebastian Tatra</t>
  </si>
  <si>
    <t>42 down</t>
  </si>
  <si>
    <t>48 down</t>
  </si>
  <si>
    <t>Jakub Matejka (SK)</t>
  </si>
  <si>
    <t>Georg Kapeller</t>
  </si>
  <si>
    <t>Wolfram Pirstinger</t>
  </si>
  <si>
    <t>Reinhard Pertschy</t>
  </si>
  <si>
    <t>Christoph Schauermann</t>
  </si>
  <si>
    <t>Bernhard Strasser</t>
  </si>
  <si>
    <t>59 down</t>
  </si>
  <si>
    <t>62 down</t>
  </si>
  <si>
    <t>Fritz Holzner</t>
  </si>
  <si>
    <t>Klaus Hammerer</t>
  </si>
  <si>
    <t>Gunther Freytag</t>
  </si>
  <si>
    <t>Andreas Neulinger</t>
  </si>
  <si>
    <t>Markus Hörzer</t>
  </si>
  <si>
    <t>Daniel Lamprecht</t>
  </si>
  <si>
    <t>Filipe Zavarsky</t>
  </si>
  <si>
    <t>Jörg Hütter</t>
  </si>
  <si>
    <t>Christian Veselka</t>
  </si>
  <si>
    <t>Thomas Knauss</t>
  </si>
  <si>
    <t>Georg Grossegger</t>
  </si>
  <si>
    <t>Michael Tauch</t>
  </si>
  <si>
    <t>Georg Holzner</t>
  </si>
  <si>
    <t>Stefan Hierz</t>
  </si>
  <si>
    <t>Valentin Maier</t>
  </si>
  <si>
    <t>Matthias Pirstinger</t>
  </si>
  <si>
    <t>Jonas Neulinger</t>
  </si>
  <si>
    <t>Hannes Persoglia</t>
  </si>
  <si>
    <t>Lukas Neugebauer</t>
  </si>
  <si>
    <t>Winfried Schöberl</t>
  </si>
  <si>
    <t>Kerstin Koller</t>
  </si>
  <si>
    <t>Herwig Freytag</t>
  </si>
  <si>
    <t>Roman Pfarrhofer</t>
  </si>
  <si>
    <t>Ferdinand Holzner</t>
  </si>
  <si>
    <t>Giovanni De Rossi</t>
  </si>
  <si>
    <t>Wolfgang Aichinger</t>
  </si>
  <si>
    <t>Ranking-Comb. (NF#)</t>
  </si>
  <si>
    <t>Logic</t>
  </si>
  <si>
    <t>20 empty</t>
  </si>
  <si>
    <t>26 up</t>
  </si>
  <si>
    <t>Benjamin Ficker (DE)</t>
  </si>
  <si>
    <t>30 up</t>
  </si>
  <si>
    <t>Florian Wallisch</t>
  </si>
  <si>
    <t>37 up</t>
  </si>
  <si>
    <t>39 up</t>
  </si>
  <si>
    <t>43 up</t>
  </si>
  <si>
    <t>44 up</t>
  </si>
  <si>
    <t>50 up</t>
  </si>
  <si>
    <t>57 up</t>
  </si>
  <si>
    <t>Lukas Wiehart</t>
  </si>
  <si>
    <t>63 empty</t>
  </si>
  <si>
    <t>65 empty</t>
  </si>
  <si>
    <t>Tom Hlina</t>
  </si>
  <si>
    <t>66 empty</t>
  </si>
  <si>
    <t>Jasmina Pi?tan (SI)</t>
  </si>
  <si>
    <t>Martin Heimel</t>
  </si>
  <si>
    <t>Leo Steinlechner</t>
  </si>
  <si>
    <t>Mario Mesner</t>
  </si>
  <si>
    <t>Reinhard Fuchs</t>
  </si>
  <si>
    <t>Michael Dossi (DE)</t>
  </si>
  <si>
    <t>Laurenz Seltenhammer</t>
  </si>
  <si>
    <t>Babsi Emmerer</t>
  </si>
  <si>
    <t>Andreas Nechi</t>
  </si>
  <si>
    <t>Alexander Panhofer</t>
  </si>
  <si>
    <t>Marton Metzger</t>
  </si>
  <si>
    <t>Esther Knittl</t>
  </si>
  <si>
    <t>Veronika König</t>
  </si>
  <si>
    <t>1 empty</t>
  </si>
  <si>
    <t>2 empty</t>
  </si>
  <si>
    <t>3 empty</t>
  </si>
  <si>
    <t>4 up</t>
  </si>
  <si>
    <t>5 up</t>
  </si>
  <si>
    <t>6 down</t>
  </si>
  <si>
    <t>7 up</t>
  </si>
  <si>
    <t>8 down</t>
  </si>
  <si>
    <t>9 up</t>
  </si>
  <si>
    <t>10 up</t>
  </si>
  <si>
    <t>11 down</t>
  </si>
  <si>
    <t>14 down</t>
  </si>
  <si>
    <t>15 empty</t>
  </si>
  <si>
    <t>16 empty</t>
  </si>
  <si>
    <t>17 empty</t>
  </si>
  <si>
    <t>18 empty</t>
  </si>
  <si>
    <t>19 empty</t>
  </si>
  <si>
    <t>21 empty</t>
  </si>
  <si>
    <t>22 up</t>
  </si>
  <si>
    <t>23 down</t>
  </si>
  <si>
    <t>27 up</t>
  </si>
  <si>
    <t>28 down</t>
  </si>
  <si>
    <t>29 empty</t>
  </si>
  <si>
    <t>31 down</t>
  </si>
  <si>
    <t>32 down</t>
  </si>
  <si>
    <t>33 up</t>
  </si>
  <si>
    <t>34 empty</t>
  </si>
  <si>
    <t>35 down</t>
  </si>
  <si>
    <t>36 empty</t>
  </si>
  <si>
    <t>38 up</t>
  </si>
  <si>
    <t>40 down</t>
  </si>
  <si>
    <t>41 down</t>
  </si>
  <si>
    <t>45 down</t>
  </si>
  <si>
    <t>46 down</t>
  </si>
  <si>
    <t>47 down</t>
  </si>
  <si>
    <t>49 empty</t>
  </si>
  <si>
    <t>51 down</t>
  </si>
  <si>
    <t>52 empty</t>
  </si>
  <si>
    <t>53 down</t>
  </si>
  <si>
    <t>András Rácz (HU)</t>
  </si>
  <si>
    <t>55 empty</t>
  </si>
  <si>
    <t>56 up</t>
  </si>
  <si>
    <t>58 empty</t>
  </si>
  <si>
    <t>60 down</t>
  </si>
  <si>
    <t>61 down</t>
  </si>
  <si>
    <t>64 down</t>
  </si>
  <si>
    <t>67 down</t>
  </si>
  <si>
    <t>68 down</t>
  </si>
  <si>
    <t>69 down</t>
  </si>
  <si>
    <t>70 up</t>
  </si>
  <si>
    <t>71 down</t>
  </si>
  <si>
    <t>72 up</t>
  </si>
  <si>
    <t>73 down</t>
  </si>
  <si>
    <t>74 empty</t>
  </si>
  <si>
    <t>75 down</t>
  </si>
  <si>
    <t>77 down</t>
  </si>
  <si>
    <t>78 down</t>
  </si>
  <si>
    <t>82 down</t>
  </si>
  <si>
    <t>Tamás Vörös (HU)</t>
  </si>
  <si>
    <t>83 down</t>
  </si>
  <si>
    <t>Görkem Demirkol (TR)</t>
  </si>
  <si>
    <t>84 down</t>
  </si>
  <si>
    <t>MJ1</t>
  </si>
  <si>
    <t>Róbert Furka</t>
  </si>
  <si>
    <t>György Csepeli</t>
  </si>
  <si>
    <t>Consider ratings with caution / Skill-O-Meter-Rating is out of date</t>
  </si>
  <si>
    <t>Ákos Szabó</t>
  </si>
  <si>
    <t>Szilárd Pálinkás</t>
  </si>
  <si>
    <t>Róbert Hatvani</t>
  </si>
  <si>
    <t>Schöckl Open 2015</t>
  </si>
  <si>
    <t>(Graz / 05. - 06.09.2015)</t>
  </si>
  <si>
    <t>11b</t>
  </si>
  <si>
    <t>Dani Hatvani</t>
  </si>
  <si>
    <t>Richard Kollar</t>
  </si>
  <si>
    <t>Dinko Šimenc</t>
  </si>
  <si>
    <t>Michal Kúdela</t>
  </si>
  <si>
    <t>Stefan Sonnleitner</t>
  </si>
  <si>
    <t>Jakub Matejka</t>
  </si>
  <si>
    <t>Aki Vuckovic</t>
  </si>
  <si>
    <t>Neal Dambra</t>
  </si>
  <si>
    <t>Barnabas Jozsa</t>
  </si>
  <si>
    <t>Katka Bodova</t>
  </si>
  <si>
    <t>Tomislav Goricki</t>
  </si>
  <si>
    <t>Balazs Veres</t>
  </si>
  <si>
    <t>Tamás Kovács</t>
  </si>
  <si>
    <t>Pavol Kudela</t>
  </si>
  <si>
    <t>Michael  Paulus</t>
  </si>
  <si>
    <t>Mathias Gutdeutsch</t>
  </si>
  <si>
    <t>Michael Waidhofer</t>
  </si>
  <si>
    <t>Roman Miezga</t>
  </si>
  <si>
    <t>Benny Zalán</t>
  </si>
  <si>
    <t>Wolfgang Bitschnau</t>
  </si>
  <si>
    <t>Wiltrud Derschmidt</t>
  </si>
  <si>
    <t>Paweł Kowalczyk</t>
  </si>
  <si>
    <t>Stefan Hochstöger</t>
  </si>
  <si>
    <t>Sona Švecová</t>
  </si>
  <si>
    <t>Aliz Török</t>
  </si>
  <si>
    <t>Natalija Jarec</t>
  </si>
  <si>
    <t>Nino Djurak</t>
  </si>
  <si>
    <t>2 Player(s) didn't finish</t>
  </si>
  <si>
    <t>Men: 1 / Women: 1</t>
  </si>
  <si>
    <t>Best score in tournament: 54</t>
  </si>
  <si>
    <t>Dani Hatvani / Round 1</t>
  </si>
  <si>
    <t>2 player(s) played 15 holes under par</t>
  </si>
  <si>
    <t>3 player(s) played only 4 holes over par</t>
  </si>
  <si>
    <t>No Aces in tournament</t>
  </si>
  <si>
    <t>No Eagles in tournament</t>
  </si>
  <si>
    <t>On hole 3 (par 3) only Dani Hatvani played all rounds under par</t>
  </si>
  <si>
    <t>On hole 4 (par 3) only Michal Kúdela played all rounds under par</t>
  </si>
  <si>
    <t>On hole 9 (par 4) only Dani Hatvani played all rounds under par</t>
  </si>
  <si>
    <t>Biggest Skill-O-Meter-Worsening Men Rating &gt; 850</t>
  </si>
  <si>
    <t>Wolfgang Pratl played 15 % worst than his last rating (879)</t>
  </si>
  <si>
    <t>Rating in this tournament: 744</t>
  </si>
  <si>
    <t>On hole 16 (par 3) Dani Hatvani took 7 throws in total (2 rounds)</t>
  </si>
  <si>
    <t>Best men took only 4 throws</t>
  </si>
  <si>
    <t>On hole 4 (par 3) Michal Kúdela played 2 throws better than best men (2 rounds)</t>
  </si>
  <si>
    <t>Best men took 6 throws</t>
  </si>
  <si>
    <t>On hole 9 (par 4) Dani Hatvani played 2 throws better than best men (2 rounds)</t>
  </si>
  <si>
    <t>Best men took 8 throws</t>
  </si>
  <si>
    <t>Best/Worst-Difference Men Rating &gt; 850</t>
  </si>
  <si>
    <t>On hole 1 (par 3) Reinhold Schachner took 9 throws in total (2 rounds)</t>
  </si>
  <si>
    <t>Best men took only 5 throws</t>
  </si>
  <si>
    <t>On hole 3 (par 3) Stefan Sonnleitner took 9 throws in total (2 rounds)</t>
  </si>
  <si>
    <t>On hole 5 (par 4) 2 Players took 10 throws in total (2 rounds)</t>
  </si>
  <si>
    <t>Best men took only 6 throws</t>
  </si>
  <si>
    <t>On hole 6 (par 3) Tamás Kovács took 9 throws in total (2 rounds)</t>
  </si>
  <si>
    <t>On hole 10 (par 4) Dani Hatvani took 11 throws in total (2 rounds)</t>
  </si>
  <si>
    <t>Best men took only 7 throws</t>
  </si>
  <si>
    <t>On hole 11 (par 4) Jakob Gusenbauer took 13 throws in total (2 rounds)</t>
  </si>
  <si>
    <t>Best men took only 9 throws</t>
  </si>
  <si>
    <t>On hole 11b (par 3) 3 Players took 9 throws in total (2 rounds)</t>
  </si>
  <si>
    <t>On hole 12 (par 3) 2 Players took 9 throws in total (2 rounds)</t>
  </si>
  <si>
    <t>On hole 16 (par 3) Bernd Kolmanz took 8 throws in total (2 rounds)</t>
  </si>
  <si>
    <t>On hole 17 (par 3) Alexander Kukuvec took 11 throws in total (2 rounds)</t>
  </si>
  <si>
    <t>Best score in tournament: 63</t>
  </si>
  <si>
    <t>Katka Bodova / Round 1</t>
  </si>
  <si>
    <t>Biggest Skill-O-Meter-Worsening Women Rating &gt; 600</t>
  </si>
  <si>
    <t>Irmgard Derschmidt played 11 % worst than her last rating (818)</t>
  </si>
  <si>
    <t>Rating in this tournament: 727</t>
  </si>
  <si>
    <t>On hole 1 (par 3) Michaela Trimmel played 2 throws better than best women (2 rounds)</t>
  </si>
  <si>
    <t>Best women took 7 throws</t>
  </si>
  <si>
    <t>On hole 3 (par 3) Wiltrud Derschmidt played 2 throws better than best women (2 rounds)</t>
  </si>
  <si>
    <t>Best women took 8 throws</t>
  </si>
  <si>
    <t>On hole 4 (par 3) Wiltrud Derschmidt played 2 throws better than best women (2 rounds)</t>
  </si>
  <si>
    <t>On hole 17 (par 3) Katharina Gusenbauer played 2 throws better than best women (2 rounds)</t>
  </si>
  <si>
    <t>Best women took 6 throws</t>
  </si>
  <si>
    <t># Triple-Bogeys Women Rating &gt; 600</t>
  </si>
  <si>
    <t>Only 1 Triple-Bogey on hole 12 (par 3)</t>
  </si>
  <si>
    <t>Irmgard Derschmidt / Round 2</t>
  </si>
  <si>
    <t>Best/Worst-Difference Women Rating &gt; 600</t>
  </si>
  <si>
    <t>On hole 12 (par 3) Irmgard Derschmidt took 10 throws in total (2 rounds)</t>
  </si>
  <si>
    <t>Best women took only 6 throws</t>
  </si>
  <si>
    <t>On hole 17 (par 3) Wiltrud Derschmidt took 12 throws in total (2 rounds)</t>
  </si>
  <si>
    <t>Dinko Šimenc (67 -&gt; 56)</t>
  </si>
  <si>
    <t>Dani Hatvani (54)</t>
  </si>
  <si>
    <t>Dinko Šimenc (56)</t>
  </si>
  <si>
    <t>0 Players ()</t>
  </si>
  <si>
    <t>2 Players (9)</t>
  </si>
  <si>
    <t>Bernd Kolmanz (7)</t>
  </si>
  <si>
    <t>Bernd Wender (1)</t>
  </si>
  <si>
    <t>2 Players (1)</t>
  </si>
  <si>
    <t>Jakub Matejka (Rating 818)</t>
  </si>
  <si>
    <t>Daniel Maier (Rating 916)</t>
  </si>
  <si>
    <t>Dinko Šimenc (Rating 0)</t>
  </si>
  <si>
    <t>3,9 % worse</t>
  </si>
  <si>
    <t># Scores under par / over par Men Rating &gt; 850</t>
  </si>
  <si>
    <t>Biggest Improvement Men Rating &gt; 850</t>
  </si>
  <si>
    <t>Biggest Worsening Men Rating &gt; 850</t>
  </si>
  <si>
    <t>Jakub Matejka (57 -&gt; 69)</t>
  </si>
  <si>
    <t>Worst Round Men Rating &gt; 850</t>
  </si>
  <si>
    <t>3 Players (67)</t>
  </si>
  <si>
    <t>4 Players (69)</t>
  </si>
  <si>
    <t>7,7 % worse</t>
  </si>
  <si>
    <t># Scores under par / over par Women Rating &gt; 600</t>
  </si>
  <si>
    <t>Wiltrud Derschmidt (80 -&gt; 72)</t>
  </si>
  <si>
    <t>Biggest Improvement Women Rating &gt; 600</t>
  </si>
  <si>
    <t>Biggest Worsening Women Rating &gt; 600</t>
  </si>
  <si>
    <t>Sonja Palmetshofer (65 -&gt; 78)</t>
  </si>
  <si>
    <t>Katka Bodova (63)</t>
  </si>
  <si>
    <t>Katharina Gusenbauer (67)</t>
  </si>
  <si>
    <t>Worst Round Women Rating &gt; 600</t>
  </si>
  <si>
    <t>Wiltrud Derschmidt (80)</t>
  </si>
  <si>
    <t>Irmgard Derschmidt (79)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</si>
  <si>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</si>
  <si>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</si>
  <si>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</si>
  <si>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</si>
  <si>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</si>
  <si>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</si>
  <si>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</si>
  <si>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</si>
  <si>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</si>
  <si>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</si>
  <si>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</si>
  <si>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</si>
  <si>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Played/11b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</si>
  <si>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</si>
  <si>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</si>
  <si>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</si>
  <si>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</si>
  <si>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</si>
  <si>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</si>
  <si>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</si>
  <si>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</si>
  <si>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</si>
  <si>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</si>
  <si>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</si>
  <si>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</si>
  <si>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</si>
  <si>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</si>
  <si>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</si>
  <si>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</si>
  <si>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</si>
  <si>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</si>
  <si>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</si>
  <si>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</si>
  <si>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</si>
  <si>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</si>
  <si>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</si>
  <si>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</si>
  <si>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</si>
  <si>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</si>
  <si>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Par/11b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</si>
  <si>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</si>
  <si>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</si>
  <si>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</si>
  <si>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</si>
  <si>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</si>
  <si>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</si>
  <si>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</si>
  <si>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</si>
  <si>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</si>
  <si>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</si>
  <si>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</si>
  <si>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</si>
  <si>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</si>
  <si>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</si>
  <si>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</si>
  <si>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</si>
  <si>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</si>
  <si>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</si>
  <si>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</si>
  <si>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</si>
  <si>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</si>
  <si>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</si>
  <si>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</si>
  <si>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</si>
  <si>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</si>
  <si>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</si>
  <si>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Total/11b</t>
  </si>
  <si>
    <t>Total/12</t>
  </si>
  <si>
    <t>Total/13</t>
  </si>
  <si>
    <t>Total/14</t>
  </si>
  <si>
    <t>Total/15</t>
  </si>
  <si>
    <t>Total/16</t>
  </si>
  <si>
    <t>Total/17</t>
  </si>
  <si>
    <t>Total/18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</si>
  <si>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</si>
  <si>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</si>
  <si>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</si>
  <si>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</si>
  <si>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</si>
  <si>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</si>
  <si>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</si>
  <si>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</si>
  <si>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</si>
  <si>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</si>
  <si>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</si>
  <si>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</si>
  <si>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</si>
  <si>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</si>
  <si>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</si>
  <si>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</si>
  <si>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</si>
  <si>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</si>
  <si>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</si>
  <si>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1/11b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</si>
  <si>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</si>
  <si>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</si>
  <si>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</si>
  <si>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</si>
  <si>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</si>
  <si>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</si>
  <si>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</si>
  <si>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</si>
  <si>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</si>
  <si>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</si>
  <si>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</si>
  <si>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</si>
  <si>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</si>
  <si>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</si>
  <si>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</si>
  <si>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</si>
  <si>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</si>
  <si>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</si>
  <si>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2/11b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</si>
  <si>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</si>
  <si>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</si>
  <si>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</si>
  <si>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</si>
  <si>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</si>
  <si>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</si>
  <si>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</si>
  <si>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# Triple-Bogeys Men Rating &gt; 850</t>
  </si>
  <si>
    <t># Oh dear Men Rating &gt; 850</t>
  </si>
  <si>
    <t># Oh dear Women Rating &gt; 600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</si>
  <si>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</si>
  <si>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</si>
  <si>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</si>
  <si>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</si>
  <si>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</si>
  <si>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</si>
  <si>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</si>
  <si>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</si>
  <si>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</si>
  <si>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</si>
  <si>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</si>
  <si>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</si>
  <si>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</si>
  <si>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</si>
  <si>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</si>
  <si>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</si>
  <si>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</si>
  <si>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</si>
  <si>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</si>
  <si>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</si>
  <si>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</si>
  <si>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</si>
  <si>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</si>
  <si>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</si>
  <si>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</si>
  <si>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</si>
  <si>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</si>
  <si>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</si>
  <si>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W1</t>
  </si>
  <si>
    <t>M29</t>
  </si>
  <si>
    <t>M30</t>
  </si>
  <si>
    <t>M31</t>
  </si>
  <si>
    <t>M32</t>
  </si>
  <si>
    <t>M33</t>
  </si>
  <si>
    <t>M34</t>
  </si>
  <si>
    <t>M35</t>
  </si>
  <si>
    <t>M36</t>
  </si>
  <si>
    <t>W2</t>
  </si>
  <si>
    <t>M37</t>
  </si>
  <si>
    <t>M38</t>
  </si>
  <si>
    <t>M39</t>
  </si>
  <si>
    <t>M40</t>
  </si>
  <si>
    <t>M41</t>
  </si>
  <si>
    <t>W3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</si>
  <si>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</si>
  <si>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</si>
  <si>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</si>
  <si>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</si>
  <si>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</si>
  <si>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</si>
  <si>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</si>
  <si>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</si>
  <si>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</si>
  <si>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</si>
  <si>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W4</t>
  </si>
  <si>
    <t>M52</t>
  </si>
  <si>
    <t>M53</t>
  </si>
  <si>
    <t>M54</t>
  </si>
  <si>
    <t>W5</t>
  </si>
  <si>
    <t>M55</t>
  </si>
  <si>
    <t>M56</t>
  </si>
  <si>
    <t>M57</t>
  </si>
  <si>
    <t>M58</t>
  </si>
  <si>
    <t>M59</t>
  </si>
  <si>
    <t>M60</t>
  </si>
  <si>
    <t>W6</t>
  </si>
  <si>
    <t>M61</t>
  </si>
  <si>
    <t>W7</t>
  </si>
  <si>
    <t>W8</t>
  </si>
  <si>
    <t>WNF0</t>
  </si>
  <si>
    <t>WNF</t>
  </si>
  <si>
    <t>MNF0</t>
  </si>
  <si>
    <t>MNF</t>
  </si>
  <si>
    <t>Simon Lizotte</t>
  </si>
  <si>
    <t>Avery Jenkins</t>
  </si>
  <si>
    <t>Mike Gordon</t>
  </si>
  <si>
    <t>Jesse Hawkins</t>
  </si>
  <si>
    <t>Bostjan Babic</t>
  </si>
  <si>
    <t>Andreas Kucera</t>
  </si>
  <si>
    <t>Gregor Marter</t>
  </si>
  <si>
    <t>Péter Krámer</t>
  </si>
  <si>
    <t>Benedikt Heiß</t>
  </si>
  <si>
    <t>Dinko Simenc</t>
  </si>
  <si>
    <t>Florian Knoll</t>
  </si>
  <si>
    <t>Tobias Fuchs</t>
  </si>
  <si>
    <t>Bálint Kazai</t>
  </si>
  <si>
    <t>Stefan Dobrev</t>
  </si>
  <si>
    <t>Tinu Schär</t>
  </si>
  <si>
    <t>Alexander Müller</t>
  </si>
  <si>
    <t>Laszló Bak</t>
  </si>
  <si>
    <t>Christopher Kranz</t>
  </si>
  <si>
    <t>Stefan Pientschik</t>
  </si>
  <si>
    <t>Benjamin Ficker</t>
  </si>
  <si>
    <t>Dylan Cooper</t>
  </si>
  <si>
    <t>Robert Mayer</t>
  </si>
  <si>
    <t>Benedek Orbán</t>
  </si>
  <si>
    <t>Tino Fillinger</t>
  </si>
  <si>
    <t>Rudolf Haag</t>
  </si>
  <si>
    <t>Markus Abrell</t>
  </si>
  <si>
    <t>Werner Riebesel</t>
  </si>
  <si>
    <t>Radule Mikic</t>
  </si>
  <si>
    <t>Sebastian Esser</t>
  </si>
  <si>
    <t>Balázs Veres</t>
  </si>
  <si>
    <t>Tommy Vacca</t>
  </si>
  <si>
    <t>János Kazai</t>
  </si>
  <si>
    <t>Karl Hinterlechner</t>
  </si>
  <si>
    <t>Jozef ?ierny</t>
  </si>
  <si>
    <t>Dirk Bergold</t>
  </si>
  <si>
    <t>Marcus Holzmüller</t>
  </si>
  <si>
    <t>Daniel Veble</t>
  </si>
  <si>
    <t>Anton Abrell</t>
  </si>
  <si>
    <t>Péter Hársfai</t>
  </si>
  <si>
    <t>Harald Kucera</t>
  </si>
  <si>
    <t>Viktor Schelhas</t>
  </si>
  <si>
    <t>Ádám Oláh</t>
  </si>
  <si>
    <t>András Rácz</t>
  </si>
  <si>
    <t>Christian Eß</t>
  </si>
  <si>
    <t>Aaron Maxwell Andrews</t>
  </si>
  <si>
    <t>Simon Arh</t>
  </si>
  <si>
    <t>Csaba Balsai</t>
  </si>
  <si>
    <t>Franjo Kiri?</t>
  </si>
  <si>
    <t>Maja Simenc</t>
  </si>
  <si>
    <t>Tamas Gajer</t>
  </si>
  <si>
    <t>Andreas Spang</t>
  </si>
  <si>
    <t>Florian Zaha</t>
  </si>
  <si>
    <t>Georg Pitterle</t>
  </si>
  <si>
    <t>Marcel Gala</t>
  </si>
  <si>
    <t>Tadeas Priklopil</t>
  </si>
  <si>
    <t>Matthias Türmer</t>
  </si>
  <si>
    <t>Jasmina Pi?tan</t>
  </si>
  <si>
    <t>Franz Strauch</t>
  </si>
  <si>
    <t>Dalibor Pales</t>
  </si>
  <si>
    <t>Daniela Schälchli-Spang</t>
  </si>
  <si>
    <t>Christian Maul</t>
  </si>
  <si>
    <t>Christof Waibel</t>
  </si>
  <si>
    <t>Kornél Kazai</t>
  </si>
  <si>
    <t>Michael Dossi</t>
  </si>
  <si>
    <t>Vanja Brozovi?</t>
  </si>
  <si>
    <t>Danica Pajtak</t>
  </si>
  <si>
    <t>Markus Birkenmeier</t>
  </si>
  <si>
    <t>Rebecca Kiermaier</t>
  </si>
  <si>
    <t>Tamás Vörös</t>
  </si>
  <si>
    <t>Ira Molnar</t>
  </si>
  <si>
    <t>Görkem Demirkol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</si>
</sst>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8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0"/>
      <name val="Arial"/>
    </font>
  </fonts>
  <fills count="3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0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  <xf numFmtId="0" fontId="47" fillId="0" borderId="0"/>
    <xf numFmtId="0" fontId="46" fillId="0" borderId="0"/>
    <xf numFmtId="0" fontId="3" fillId="0" borderId="0"/>
    <xf numFmtId="0" fontId="46" fillId="0" borderId="0"/>
  </cellStyleXfs>
  <cellXfs count="514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15" borderId="0" xfId="0" quotePrefix="1" applyFill="1" applyAlignment="1">
      <alignment wrapText="1"/>
    </xf>
    <xf numFmtId="0" fontId="15" fillId="12" borderId="44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50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rmal 2" xfId="48"/>
    <cellStyle name="Notiz 2" xfId="35"/>
    <cellStyle name="Schlecht 2" xfId="36"/>
    <cellStyle name="Standard" xfId="0" builtinId="0"/>
    <cellStyle name="Standard 2" xfId="1"/>
    <cellStyle name="Standard 2 2" xfId="37"/>
    <cellStyle name="Standard 2 2 2" xfId="49"/>
    <cellStyle name="Standard 2 3" xfId="47"/>
    <cellStyle name="Standard 3" xfId="46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71"/>
                <c:pt idx="0">
                  <c:v>Otfried Derschmidt</c:v>
                </c:pt>
                <c:pt idx="1">
                  <c:v>Dani Hatvani</c:v>
                </c:pt>
                <c:pt idx="2">
                  <c:v>Peter Pichler</c:v>
                </c:pt>
                <c:pt idx="3">
                  <c:v>Bernd Wender</c:v>
                </c:pt>
                <c:pt idx="4">
                  <c:v>Róbert Furka</c:v>
                </c:pt>
                <c:pt idx="5">
                  <c:v>Jakob Gusenbauer</c:v>
                </c:pt>
                <c:pt idx="6">
                  <c:v>Richard Kollar</c:v>
                </c:pt>
                <c:pt idx="7">
                  <c:v>Daniel Maier</c:v>
                </c:pt>
                <c:pt idx="8">
                  <c:v>Dinko Šimenc</c:v>
                </c:pt>
                <c:pt idx="9">
                  <c:v>Bernd Kolmanz</c:v>
                </c:pt>
                <c:pt idx="10">
                  <c:v>Mike Bischof-Horak</c:v>
                </c:pt>
                <c:pt idx="11">
                  <c:v>Eric Osterwinter</c:v>
                </c:pt>
                <c:pt idx="12">
                  <c:v>Johannes Hielfer</c:v>
                </c:pt>
                <c:pt idx="13">
                  <c:v>Michal Kúdela</c:v>
                </c:pt>
                <c:pt idx="14">
                  <c:v>Harald Dehner</c:v>
                </c:pt>
                <c:pt idx="15">
                  <c:v>Stefan Sonnleitner</c:v>
                </c:pt>
                <c:pt idx="16">
                  <c:v>Karl Seper</c:v>
                </c:pt>
                <c:pt idx="17">
                  <c:v>Jakub Matejka</c:v>
                </c:pt>
                <c:pt idx="18">
                  <c:v>Gerhard Petz</c:v>
                </c:pt>
                <c:pt idx="19">
                  <c:v>Aki Vuckovic</c:v>
                </c:pt>
                <c:pt idx="20">
                  <c:v>Reinhold Schachner</c:v>
                </c:pt>
                <c:pt idx="21">
                  <c:v>Thomas Panhofer</c:v>
                </c:pt>
                <c:pt idx="22">
                  <c:v>Markus Riepler</c:v>
                </c:pt>
                <c:pt idx="23">
                  <c:v>Neal Dambra</c:v>
                </c:pt>
                <c:pt idx="24">
                  <c:v>Lukas Froschauer</c:v>
                </c:pt>
                <c:pt idx="25">
                  <c:v>Manuel Oman</c:v>
                </c:pt>
                <c:pt idx="26">
                  <c:v>Barnabas Jozsa</c:v>
                </c:pt>
                <c:pt idx="27">
                  <c:v>Michael Seitlinger</c:v>
                </c:pt>
                <c:pt idx="28">
                  <c:v>Katka Bodova</c:v>
                </c:pt>
                <c:pt idx="29">
                  <c:v>Gerold Lehner</c:v>
                </c:pt>
                <c:pt idx="30">
                  <c:v>Peter Naderer</c:v>
                </c:pt>
                <c:pt idx="31">
                  <c:v>Alexander Kukuvec</c:v>
                </c:pt>
                <c:pt idx="32">
                  <c:v>Tomislav Goricki</c:v>
                </c:pt>
                <c:pt idx="33">
                  <c:v>Balazs Veres</c:v>
                </c:pt>
                <c:pt idx="34">
                  <c:v>Tamás Kovács</c:v>
                </c:pt>
                <c:pt idx="35">
                  <c:v>Pavol Kudela</c:v>
                </c:pt>
                <c:pt idx="36">
                  <c:v>Michael  Paulus</c:v>
                </c:pt>
                <c:pt idx="37">
                  <c:v>Katharina Gusenbauer</c:v>
                </c:pt>
                <c:pt idx="38">
                  <c:v>Mathias Gutdeutsch</c:v>
                </c:pt>
                <c:pt idx="39">
                  <c:v>Ákos Szabó</c:v>
                </c:pt>
                <c:pt idx="40">
                  <c:v>Michael Waidhofer</c:v>
                </c:pt>
                <c:pt idx="41">
                  <c:v>Roman Miezga</c:v>
                </c:pt>
                <c:pt idx="42">
                  <c:v>Szilárd Pálinkás</c:v>
                </c:pt>
                <c:pt idx="43">
                  <c:v>Sonja Palmetshofer</c:v>
                </c:pt>
                <c:pt idx="44">
                  <c:v>Markus Hörzer</c:v>
                </c:pt>
                <c:pt idx="45">
                  <c:v>Bernhard Freytag</c:v>
                </c:pt>
                <c:pt idx="46">
                  <c:v>Stefan Topolovec</c:v>
                </c:pt>
                <c:pt idx="47">
                  <c:v>Stefan Peham</c:v>
                </c:pt>
                <c:pt idx="48">
                  <c:v>Georg Grossegger</c:v>
                </c:pt>
                <c:pt idx="49">
                  <c:v>Benny Zalán</c:v>
                </c:pt>
                <c:pt idx="50">
                  <c:v>Matthias Palmetshofer</c:v>
                </c:pt>
                <c:pt idx="51">
                  <c:v>Alois Obernberger</c:v>
                </c:pt>
                <c:pt idx="52">
                  <c:v>Wolfgang Pratl</c:v>
                </c:pt>
                <c:pt idx="53">
                  <c:v>Andreas Blesberger</c:v>
                </c:pt>
                <c:pt idx="54">
                  <c:v>Irmgard Derschmidt</c:v>
                </c:pt>
                <c:pt idx="55">
                  <c:v>Giovanni De Rossi</c:v>
                </c:pt>
                <c:pt idx="56">
                  <c:v>Helmut Heizeneder</c:v>
                </c:pt>
                <c:pt idx="57">
                  <c:v>Wolfgang Bitschnau</c:v>
                </c:pt>
                <c:pt idx="58">
                  <c:v>Wiltrud Derschmidt</c:v>
                </c:pt>
                <c:pt idx="59">
                  <c:v>György Csepeli</c:v>
                </c:pt>
                <c:pt idx="60">
                  <c:v>Paweł Kowalczyk</c:v>
                </c:pt>
                <c:pt idx="61">
                  <c:v>Christian Stepanek</c:v>
                </c:pt>
                <c:pt idx="62">
                  <c:v>Stefan Hochstöger</c:v>
                </c:pt>
                <c:pt idx="63">
                  <c:v>Gerald Froschauer</c:v>
                </c:pt>
                <c:pt idx="64">
                  <c:v>Róbert Hatvani</c:v>
                </c:pt>
                <c:pt idx="65">
                  <c:v>Sona Švecová</c:v>
                </c:pt>
                <c:pt idx="66">
                  <c:v>Marton Metzger</c:v>
                </c:pt>
                <c:pt idx="67">
                  <c:v>Michaela Trimmel</c:v>
                </c:pt>
                <c:pt idx="68">
                  <c:v>Aliz Török</c:v>
                </c:pt>
                <c:pt idx="69">
                  <c:v>Nino Djurak</c:v>
                </c:pt>
                <c:pt idx="70">
                  <c:v>Natalija Jarec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71"/>
                <c:pt idx="0">
                  <c:v>-15</c:v>
                </c:pt>
                <c:pt idx="1">
                  <c:v>-15</c:v>
                </c:pt>
                <c:pt idx="2">
                  <c:v>-8</c:v>
                </c:pt>
                <c:pt idx="3">
                  <c:v>-9</c:v>
                </c:pt>
                <c:pt idx="4">
                  <c:v>-7</c:v>
                </c:pt>
                <c:pt idx="5">
                  <c:v>-12</c:v>
                </c:pt>
                <c:pt idx="6">
                  <c:v>-9</c:v>
                </c:pt>
                <c:pt idx="7">
                  <c:v>-10</c:v>
                </c:pt>
                <c:pt idx="8">
                  <c:v>-7</c:v>
                </c:pt>
                <c:pt idx="9">
                  <c:v>-10</c:v>
                </c:pt>
                <c:pt idx="10">
                  <c:v>-9</c:v>
                </c:pt>
                <c:pt idx="11">
                  <c:v>-9</c:v>
                </c:pt>
                <c:pt idx="12">
                  <c:v>-8</c:v>
                </c:pt>
                <c:pt idx="13">
                  <c:v>-12</c:v>
                </c:pt>
                <c:pt idx="14">
                  <c:v>-4</c:v>
                </c:pt>
                <c:pt idx="15">
                  <c:v>-6</c:v>
                </c:pt>
                <c:pt idx="16">
                  <c:v>-12</c:v>
                </c:pt>
                <c:pt idx="17">
                  <c:v>-9</c:v>
                </c:pt>
                <c:pt idx="18">
                  <c:v>-8</c:v>
                </c:pt>
                <c:pt idx="19">
                  <c:v>-4</c:v>
                </c:pt>
                <c:pt idx="20">
                  <c:v>-8</c:v>
                </c:pt>
                <c:pt idx="21">
                  <c:v>-7</c:v>
                </c:pt>
                <c:pt idx="22">
                  <c:v>-7</c:v>
                </c:pt>
                <c:pt idx="23">
                  <c:v>-3</c:v>
                </c:pt>
                <c:pt idx="24">
                  <c:v>-6</c:v>
                </c:pt>
                <c:pt idx="25">
                  <c:v>-4</c:v>
                </c:pt>
                <c:pt idx="26">
                  <c:v>-4</c:v>
                </c:pt>
                <c:pt idx="27">
                  <c:v>-4</c:v>
                </c:pt>
                <c:pt idx="28">
                  <c:v>-2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-4</c:v>
                </c:pt>
                <c:pt idx="33">
                  <c:v>-4</c:v>
                </c:pt>
                <c:pt idx="34">
                  <c:v>-6</c:v>
                </c:pt>
                <c:pt idx="35">
                  <c:v>-3</c:v>
                </c:pt>
                <c:pt idx="36">
                  <c:v>-3</c:v>
                </c:pt>
                <c:pt idx="37">
                  <c:v>-4</c:v>
                </c:pt>
                <c:pt idx="38">
                  <c:v>-3</c:v>
                </c:pt>
                <c:pt idx="39">
                  <c:v>-1</c:v>
                </c:pt>
                <c:pt idx="40">
                  <c:v>-4</c:v>
                </c:pt>
                <c:pt idx="41">
                  <c:v>-1</c:v>
                </c:pt>
                <c:pt idx="42">
                  <c:v>-1</c:v>
                </c:pt>
                <c:pt idx="43">
                  <c:v>-2</c:v>
                </c:pt>
                <c:pt idx="44">
                  <c:v>-1</c:v>
                </c:pt>
                <c:pt idx="45">
                  <c:v>-1</c:v>
                </c:pt>
                <c:pt idx="46">
                  <c:v>-3</c:v>
                </c:pt>
                <c:pt idx="47">
                  <c:v>-2</c:v>
                </c:pt>
                <c:pt idx="48">
                  <c:v>-1</c:v>
                </c:pt>
                <c:pt idx="49">
                  <c:v>-2</c:v>
                </c:pt>
                <c:pt idx="50">
                  <c:v>-3</c:v>
                </c:pt>
                <c:pt idx="52">
                  <c:v>-5</c:v>
                </c:pt>
                <c:pt idx="54">
                  <c:v>-2</c:v>
                </c:pt>
                <c:pt idx="55">
                  <c:v>-1</c:v>
                </c:pt>
                <c:pt idx="56">
                  <c:v>-2</c:v>
                </c:pt>
                <c:pt idx="57">
                  <c:v>-3</c:v>
                </c:pt>
                <c:pt idx="58">
                  <c:v>-4</c:v>
                </c:pt>
                <c:pt idx="60">
                  <c:v>-1</c:v>
                </c:pt>
                <c:pt idx="61">
                  <c:v>-2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-2</c:v>
                </c:pt>
                <c:pt idx="68">
                  <c:v>-1</c:v>
                </c:pt>
                <c:pt idx="69">
                  <c:v>-3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71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6</c:v>
                </c:pt>
                <c:pt idx="7">
                  <c:v>8</c:v>
                </c:pt>
                <c:pt idx="8">
                  <c:v>6</c:v>
                </c:pt>
                <c:pt idx="9">
                  <c:v>7</c:v>
                </c:pt>
                <c:pt idx="10">
                  <c:v>6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8</c:v>
                </c:pt>
                <c:pt idx="16">
                  <c:v>7</c:v>
                </c:pt>
                <c:pt idx="17">
                  <c:v>5</c:v>
                </c:pt>
                <c:pt idx="18">
                  <c:v>11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10</c:v>
                </c:pt>
                <c:pt idx="25">
                  <c:v>8</c:v>
                </c:pt>
                <c:pt idx="26">
                  <c:v>10</c:v>
                </c:pt>
                <c:pt idx="27">
                  <c:v>9</c:v>
                </c:pt>
                <c:pt idx="28">
                  <c:v>9</c:v>
                </c:pt>
                <c:pt idx="29">
                  <c:v>7</c:v>
                </c:pt>
                <c:pt idx="30">
                  <c:v>9</c:v>
                </c:pt>
                <c:pt idx="31">
                  <c:v>10</c:v>
                </c:pt>
                <c:pt idx="32">
                  <c:v>8</c:v>
                </c:pt>
                <c:pt idx="33">
                  <c:v>12</c:v>
                </c:pt>
                <c:pt idx="34">
                  <c:v>12</c:v>
                </c:pt>
                <c:pt idx="35">
                  <c:v>9</c:v>
                </c:pt>
                <c:pt idx="36">
                  <c:v>9</c:v>
                </c:pt>
                <c:pt idx="37">
                  <c:v>8</c:v>
                </c:pt>
                <c:pt idx="38">
                  <c:v>13</c:v>
                </c:pt>
                <c:pt idx="39">
                  <c:v>8</c:v>
                </c:pt>
                <c:pt idx="40">
                  <c:v>15</c:v>
                </c:pt>
                <c:pt idx="41">
                  <c:v>17</c:v>
                </c:pt>
                <c:pt idx="42">
                  <c:v>12</c:v>
                </c:pt>
                <c:pt idx="43">
                  <c:v>14</c:v>
                </c:pt>
                <c:pt idx="44">
                  <c:v>11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15</c:v>
                </c:pt>
                <c:pt idx="50">
                  <c:v>11</c:v>
                </c:pt>
                <c:pt idx="51">
                  <c:v>16</c:v>
                </c:pt>
                <c:pt idx="52">
                  <c:v>12</c:v>
                </c:pt>
                <c:pt idx="53">
                  <c:v>16</c:v>
                </c:pt>
                <c:pt idx="54">
                  <c:v>15</c:v>
                </c:pt>
                <c:pt idx="55">
                  <c:v>19</c:v>
                </c:pt>
                <c:pt idx="56">
                  <c:v>20</c:v>
                </c:pt>
                <c:pt idx="57">
                  <c:v>12</c:v>
                </c:pt>
                <c:pt idx="58">
                  <c:v>16</c:v>
                </c:pt>
                <c:pt idx="59">
                  <c:v>11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17</c:v>
                </c:pt>
                <c:pt idx="64">
                  <c:v>14</c:v>
                </c:pt>
                <c:pt idx="65">
                  <c:v>15</c:v>
                </c:pt>
                <c:pt idx="66">
                  <c:v>19</c:v>
                </c:pt>
                <c:pt idx="67">
                  <c:v>15</c:v>
                </c:pt>
                <c:pt idx="68">
                  <c:v>9</c:v>
                </c:pt>
                <c:pt idx="69">
                  <c:v>5</c:v>
                </c:pt>
                <c:pt idx="70">
                  <c:v>14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4</c:v>
                </c:pt>
                <c:pt idx="30">
                  <c:v>3</c:v>
                </c:pt>
                <c:pt idx="31">
                  <c:v>2</c:v>
                </c:pt>
                <c:pt idx="32">
                  <c:v>3</c:v>
                </c:pt>
                <c:pt idx="33">
                  <c:v>1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5</c:v>
                </c:pt>
                <c:pt idx="38">
                  <c:v>3</c:v>
                </c:pt>
                <c:pt idx="39">
                  <c:v>5</c:v>
                </c:pt>
                <c:pt idx="40">
                  <c:v>3</c:v>
                </c:pt>
                <c:pt idx="41">
                  <c:v>1</c:v>
                </c:pt>
                <c:pt idx="42">
                  <c:v>5</c:v>
                </c:pt>
                <c:pt idx="43">
                  <c:v>4</c:v>
                </c:pt>
                <c:pt idx="44">
                  <c:v>5</c:v>
                </c:pt>
                <c:pt idx="45">
                  <c:v>5</c:v>
                </c:pt>
                <c:pt idx="46">
                  <c:v>6</c:v>
                </c:pt>
                <c:pt idx="47">
                  <c:v>6</c:v>
                </c:pt>
                <c:pt idx="48">
                  <c:v>5</c:v>
                </c:pt>
                <c:pt idx="49">
                  <c:v>5</c:v>
                </c:pt>
                <c:pt idx="50">
                  <c:v>8</c:v>
                </c:pt>
                <c:pt idx="51">
                  <c:v>4</c:v>
                </c:pt>
                <c:pt idx="52">
                  <c:v>6</c:v>
                </c:pt>
                <c:pt idx="53">
                  <c:v>5</c:v>
                </c:pt>
                <c:pt idx="54">
                  <c:v>6</c:v>
                </c:pt>
                <c:pt idx="55">
                  <c:v>4</c:v>
                </c:pt>
                <c:pt idx="56">
                  <c:v>5</c:v>
                </c:pt>
                <c:pt idx="57">
                  <c:v>8</c:v>
                </c:pt>
                <c:pt idx="58">
                  <c:v>8</c:v>
                </c:pt>
                <c:pt idx="59">
                  <c:v>10</c:v>
                </c:pt>
                <c:pt idx="60">
                  <c:v>10</c:v>
                </c:pt>
                <c:pt idx="61">
                  <c:v>9</c:v>
                </c:pt>
                <c:pt idx="62">
                  <c:v>10</c:v>
                </c:pt>
                <c:pt idx="63">
                  <c:v>11</c:v>
                </c:pt>
                <c:pt idx="64">
                  <c:v>12</c:v>
                </c:pt>
                <c:pt idx="65">
                  <c:v>11</c:v>
                </c:pt>
                <c:pt idx="66">
                  <c:v>9</c:v>
                </c:pt>
                <c:pt idx="67">
                  <c:v>18</c:v>
                </c:pt>
                <c:pt idx="68">
                  <c:v>27</c:v>
                </c:pt>
                <c:pt idx="69">
                  <c:v>1</c:v>
                </c:pt>
                <c:pt idx="7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89058432"/>
        <c:axId val="189215872"/>
      </c:barChart>
      <c:catAx>
        <c:axId val="1890584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89215872"/>
        <c:crosses val="autoZero"/>
        <c:auto val="1"/>
        <c:lblAlgn val="ctr"/>
        <c:lblOffset val="100"/>
        <c:tickLblSkip val="1"/>
        <c:noMultiLvlLbl val="0"/>
      </c:catAx>
      <c:valAx>
        <c:axId val="18921587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8905843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602432"/>
        <c:axId val="211604224"/>
      </c:lineChart>
      <c:catAx>
        <c:axId val="21160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1604224"/>
        <c:crosses val="autoZero"/>
        <c:auto val="1"/>
        <c:lblAlgn val="ctr"/>
        <c:lblOffset val="100"/>
        <c:noMultiLvlLbl val="0"/>
      </c:catAx>
      <c:valAx>
        <c:axId val="21160422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160243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0.21138211382113822</c:v>
                </c:pt>
                <c:pt idx="2">
                  <c:v>0.47967479674796748</c:v>
                </c:pt>
                <c:pt idx="3">
                  <c:v>0.21138211382113822</c:v>
                </c:pt>
                <c:pt idx="4">
                  <c:v>5.6910569105691054E-2</c:v>
                </c:pt>
                <c:pt idx="5">
                  <c:v>3.2520325203252036E-2</c:v>
                </c:pt>
                <c:pt idx="6">
                  <c:v>8.130081300813009E-3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0.16666666666666666</c:v>
                </c:pt>
                <c:pt idx="2">
                  <c:v>0.3888888888888889</c:v>
                </c:pt>
                <c:pt idx="3">
                  <c:v>0.22222222222222221</c:v>
                </c:pt>
                <c:pt idx="4">
                  <c:v>0.1111111111111111</c:v>
                </c:pt>
                <c:pt idx="5">
                  <c:v>0.1111111111111111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699200"/>
        <c:axId val="211700736"/>
      </c:lineChart>
      <c:catAx>
        <c:axId val="21169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1700736"/>
        <c:crosses val="autoZero"/>
        <c:auto val="1"/>
        <c:lblAlgn val="ctr"/>
        <c:lblOffset val="100"/>
        <c:noMultiLvlLbl val="0"/>
      </c:catAx>
      <c:valAx>
        <c:axId val="21170073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16992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743104"/>
        <c:axId val="211744640"/>
      </c:lineChart>
      <c:catAx>
        <c:axId val="21174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1744640"/>
        <c:crosses val="autoZero"/>
        <c:auto val="1"/>
        <c:lblAlgn val="ctr"/>
        <c:lblOffset val="100"/>
        <c:noMultiLvlLbl val="0"/>
      </c:catAx>
      <c:valAx>
        <c:axId val="21174464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17431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-2</c:v>
                </c:pt>
                <c:pt idx="8">
                  <c:v>-3</c:v>
                </c:pt>
                <c:pt idx="9">
                  <c:v>-3</c:v>
                </c:pt>
                <c:pt idx="10">
                  <c:v>-4</c:v>
                </c:pt>
                <c:pt idx="11">
                  <c:v>-2</c:v>
                </c:pt>
                <c:pt idx="12">
                  <c:v>-3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-6</c:v>
                </c:pt>
                <c:pt idx="19">
                  <c:v>-6</c:v>
                </c:pt>
                <c:pt idx="20">
                  <c:v>-7</c:v>
                </c:pt>
                <c:pt idx="21">
                  <c:v>-6</c:v>
                </c:pt>
                <c:pt idx="22">
                  <c:v>-6</c:v>
                </c:pt>
                <c:pt idx="23">
                  <c:v>-6</c:v>
                </c:pt>
                <c:pt idx="24">
                  <c:v>-7</c:v>
                </c:pt>
                <c:pt idx="25">
                  <c:v>-8</c:v>
                </c:pt>
                <c:pt idx="26">
                  <c:v>-9</c:v>
                </c:pt>
                <c:pt idx="27">
                  <c:v>-9</c:v>
                </c:pt>
                <c:pt idx="28">
                  <c:v>-9</c:v>
                </c:pt>
                <c:pt idx="29">
                  <c:v>-9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-9</c:v>
                </c:pt>
                <c:pt idx="35">
                  <c:v>-9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39"/>
                <c:pt idx="0">
                  <c:v>0</c:v>
                </c:pt>
                <c:pt idx="1">
                  <c:v>-1.6129032258064502E-2</c:v>
                </c:pt>
                <c:pt idx="2">
                  <c:v>8.0645161290322509E-2</c:v>
                </c:pt>
                <c:pt idx="3">
                  <c:v>0.35483870967741948</c:v>
                </c:pt>
                <c:pt idx="4">
                  <c:v>0.82258064516129048</c:v>
                </c:pt>
                <c:pt idx="5">
                  <c:v>0.79032258064516148</c:v>
                </c:pt>
                <c:pt idx="6">
                  <c:v>1.1290322580645165</c:v>
                </c:pt>
                <c:pt idx="7">
                  <c:v>1.3870967741935489</c:v>
                </c:pt>
                <c:pt idx="8">
                  <c:v>1.4193548387096779</c:v>
                </c:pt>
                <c:pt idx="9">
                  <c:v>2.0322580645161299</c:v>
                </c:pt>
                <c:pt idx="10">
                  <c:v>2.4677419354838719</c:v>
                </c:pt>
                <c:pt idx="11">
                  <c:v>3.3870967741935489</c:v>
                </c:pt>
                <c:pt idx="12">
                  <c:v>4.0322580645161299</c:v>
                </c:pt>
                <c:pt idx="13">
                  <c:v>4.0967741935483879</c:v>
                </c:pt>
                <c:pt idx="14">
                  <c:v>4.3548387096774199</c:v>
                </c:pt>
                <c:pt idx="15">
                  <c:v>4.7741935483870979</c:v>
                </c:pt>
                <c:pt idx="16">
                  <c:v>4.5806451612903238</c:v>
                </c:pt>
                <c:pt idx="17">
                  <c:v>4.8387096774193559</c:v>
                </c:pt>
                <c:pt idx="18">
                  <c:v>5.0483870967741939</c:v>
                </c:pt>
                <c:pt idx="19">
                  <c:v>5.4677419354838719</c:v>
                </c:pt>
                <c:pt idx="20">
                  <c:v>5.9923320994182987</c:v>
                </c:pt>
                <c:pt idx="21">
                  <c:v>6.22184029613961</c:v>
                </c:pt>
                <c:pt idx="22">
                  <c:v>6.7956107879428886</c:v>
                </c:pt>
                <c:pt idx="23">
                  <c:v>7.0742993125330527</c:v>
                </c:pt>
                <c:pt idx="24">
                  <c:v>7.3202009518773146</c:v>
                </c:pt>
                <c:pt idx="25">
                  <c:v>7.861184558434692</c:v>
                </c:pt>
                <c:pt idx="26">
                  <c:v>8.3038075092543639</c:v>
                </c:pt>
                <c:pt idx="27">
                  <c:v>8.3202009518773146</c:v>
                </c:pt>
                <c:pt idx="28">
                  <c:v>8.6316763617133798</c:v>
                </c:pt>
                <c:pt idx="29">
                  <c:v>9.3038075092543622</c:v>
                </c:pt>
                <c:pt idx="30">
                  <c:v>10.320200951877313</c:v>
                </c:pt>
                <c:pt idx="31">
                  <c:v>10.697250132205182</c:v>
                </c:pt>
                <c:pt idx="32">
                  <c:v>10.943151771549445</c:v>
                </c:pt>
                <c:pt idx="33">
                  <c:v>11.221840296139609</c:v>
                </c:pt>
                <c:pt idx="34">
                  <c:v>11.64806980433633</c:v>
                </c:pt>
                <c:pt idx="35">
                  <c:v>11.664463246959281</c:v>
                </c:pt>
                <c:pt idx="36">
                  <c:v>12.008725542041248</c:v>
                </c:pt>
                <c:pt idx="37">
                  <c:v>12.795610787942888</c:v>
                </c:pt>
                <c:pt idx="38">
                  <c:v>13.549709148598625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39"/>
                <c:pt idx="0">
                  <c:v>0</c:v>
                </c:pt>
                <c:pt idx="1">
                  <c:v>-0.33333333333333348</c:v>
                </c:pt>
                <c:pt idx="2">
                  <c:v>-0.83333333333333348</c:v>
                </c:pt>
                <c:pt idx="3">
                  <c:v>-1.166666666666667</c:v>
                </c:pt>
                <c:pt idx="4">
                  <c:v>-1.0000000000000004</c:v>
                </c:pt>
                <c:pt idx="5">
                  <c:v>-1.666666666666667</c:v>
                </c:pt>
                <c:pt idx="6">
                  <c:v>-1.8333333333333335</c:v>
                </c:pt>
                <c:pt idx="7">
                  <c:v>-2</c:v>
                </c:pt>
                <c:pt idx="8">
                  <c:v>-2.5</c:v>
                </c:pt>
                <c:pt idx="9">
                  <c:v>-2.333333333333333</c:v>
                </c:pt>
                <c:pt idx="10">
                  <c:v>-2.333333333333333</c:v>
                </c:pt>
                <c:pt idx="11">
                  <c:v>-1.333333333333333</c:v>
                </c:pt>
                <c:pt idx="12">
                  <c:v>-0.83333333333333304</c:v>
                </c:pt>
                <c:pt idx="13">
                  <c:v>-0.99999999999999956</c:v>
                </c:pt>
                <c:pt idx="14">
                  <c:v>-1.1666666666666661</c:v>
                </c:pt>
                <c:pt idx="15">
                  <c:v>-1.4999999999999996</c:v>
                </c:pt>
                <c:pt idx="16">
                  <c:v>-1.9999999999999996</c:v>
                </c:pt>
                <c:pt idx="17">
                  <c:v>-2.333333333333333</c:v>
                </c:pt>
                <c:pt idx="18">
                  <c:v>-3.333333333333333</c:v>
                </c:pt>
                <c:pt idx="19">
                  <c:v>-3.4999999999999996</c:v>
                </c:pt>
                <c:pt idx="20">
                  <c:v>-3.6666666666666661</c:v>
                </c:pt>
                <c:pt idx="21">
                  <c:v>-3.3333333333333326</c:v>
                </c:pt>
                <c:pt idx="22">
                  <c:v>-3.6666666666666661</c:v>
                </c:pt>
                <c:pt idx="23">
                  <c:v>-3.6666666666666661</c:v>
                </c:pt>
                <c:pt idx="24">
                  <c:v>-4.3333333333333321</c:v>
                </c:pt>
                <c:pt idx="25">
                  <c:v>-4.4999999999999982</c:v>
                </c:pt>
                <c:pt idx="26">
                  <c:v>-4.6666666666666643</c:v>
                </c:pt>
                <c:pt idx="27">
                  <c:v>-4.8333333333333304</c:v>
                </c:pt>
                <c:pt idx="28">
                  <c:v>-5.1666666666666643</c:v>
                </c:pt>
                <c:pt idx="29">
                  <c:v>-4.4999999999999973</c:v>
                </c:pt>
                <c:pt idx="30">
                  <c:v>-4.3333333333333304</c:v>
                </c:pt>
                <c:pt idx="31">
                  <c:v>-4.4999999999999964</c:v>
                </c:pt>
                <c:pt idx="32">
                  <c:v>-4.8333333333333304</c:v>
                </c:pt>
                <c:pt idx="33">
                  <c:v>-4.8333333333333304</c:v>
                </c:pt>
                <c:pt idx="34">
                  <c:v>-4.6666666666666643</c:v>
                </c:pt>
                <c:pt idx="35">
                  <c:v>-4.8333333333333304</c:v>
                </c:pt>
                <c:pt idx="36">
                  <c:v>-4.8333333333333304</c:v>
                </c:pt>
                <c:pt idx="37">
                  <c:v>-4.8333333333333304</c:v>
                </c:pt>
                <c:pt idx="38">
                  <c:v>-4.6666666666666643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343424"/>
        <c:axId val="212357888"/>
      </c:lineChart>
      <c:catAx>
        <c:axId val="2123434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2357888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212357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234342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'Player-Statistic'!$C$11:$AC$11</c:f>
              <c:numCache>
                <c:formatCode>General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6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'Player-Statistic'!$C$12:$AC$12</c:f>
              <c:numCache>
                <c:formatCode>General</c:formatCode>
                <c:ptCount val="19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218240"/>
        <c:axId val="212220160"/>
      </c:barChart>
      <c:catAx>
        <c:axId val="21221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2220160"/>
        <c:crosses val="autoZero"/>
        <c:auto val="1"/>
        <c:lblAlgn val="ctr"/>
        <c:lblOffset val="0"/>
        <c:noMultiLvlLbl val="0"/>
      </c:catAx>
      <c:valAx>
        <c:axId val="21222016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2218240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'Player-Statistic'!$C$20:$AC$20</c:f>
              <c:numCache>
                <c:formatCode>General</c:formatCode>
                <c:ptCount val="19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-2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0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</c:v>
                </c:pt>
                <c:pt idx="17">
                  <c:v>-1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'Player-Statistic'!$C$21:$AC$21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'Player-Statistic'!$C$22:$AC$22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'Player-Statistic'!$C$23:$AC$23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12270080"/>
        <c:axId val="212681472"/>
      </c:barChart>
      <c:catAx>
        <c:axId val="2122700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2681472"/>
        <c:crosses val="autoZero"/>
        <c:auto val="1"/>
        <c:lblAlgn val="ctr"/>
        <c:lblOffset val="100"/>
        <c:tickLblSkip val="1"/>
        <c:noMultiLvlLbl val="0"/>
      </c:catAx>
      <c:valAx>
        <c:axId val="21268147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122700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'Player-Statistic'!$C$24:$AC$24</c:f>
              <c:numCache>
                <c:formatCode>#,#00</c:formatCode>
                <c:ptCount val="19"/>
                <c:pt idx="0">
                  <c:v>-0.25</c:v>
                </c:pt>
                <c:pt idx="1">
                  <c:v>8.3333333333333481E-2</c:v>
                </c:pt>
                <c:pt idx="2">
                  <c:v>-0.16666666666666652</c:v>
                </c:pt>
                <c:pt idx="3">
                  <c:v>-8.3333333333333481E-2</c:v>
                </c:pt>
                <c:pt idx="4">
                  <c:v>-0.33333333333333348</c:v>
                </c:pt>
                <c:pt idx="5">
                  <c:v>-0.33333333333333348</c:v>
                </c:pt>
                <c:pt idx="6">
                  <c:v>0.16666666666666652</c:v>
                </c:pt>
                <c:pt idx="7">
                  <c:v>-0.16666666666666652</c:v>
                </c:pt>
                <c:pt idx="8">
                  <c:v>8.3333333333333481E-2</c:v>
                </c:pt>
                <c:pt idx="9">
                  <c:v>-0.83333333333333304</c:v>
                </c:pt>
                <c:pt idx="10">
                  <c:v>-8.3333333333333037E-2</c:v>
                </c:pt>
                <c:pt idx="11">
                  <c:v>-0.66666666666666652</c:v>
                </c:pt>
                <c:pt idx="12">
                  <c:v>-0.25</c:v>
                </c:pt>
                <c:pt idx="13">
                  <c:v>8.3333333333333481E-2</c:v>
                </c:pt>
                <c:pt idx="14">
                  <c:v>0.58333333333333348</c:v>
                </c:pt>
                <c:pt idx="15">
                  <c:v>0.33333333333333348</c:v>
                </c:pt>
                <c:pt idx="16">
                  <c:v>-0.83333333333333348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710144"/>
        <c:axId val="212712064"/>
      </c:barChart>
      <c:catAx>
        <c:axId val="21271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2712064"/>
        <c:crosses val="autoZero"/>
        <c:auto val="1"/>
        <c:lblAlgn val="ctr"/>
        <c:lblOffset val="0"/>
        <c:noMultiLvlLbl val="0"/>
      </c:catAx>
      <c:valAx>
        <c:axId val="21271206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1271014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'Player-Statistic'!$C$25:$AC$25</c:f>
              <c:numCache>
                <c:formatCode>#,#00</c:formatCode>
                <c:ptCount val="19"/>
                <c:pt idx="0">
                  <c:v>-0.5</c:v>
                </c:pt>
                <c:pt idx="1">
                  <c:v>0</c:v>
                </c:pt>
                <c:pt idx="2">
                  <c:v>-0.5</c:v>
                </c:pt>
                <c:pt idx="3">
                  <c:v>0</c:v>
                </c:pt>
                <c:pt idx="4">
                  <c:v>-1</c:v>
                </c:pt>
                <c:pt idx="5">
                  <c:v>-0.5</c:v>
                </c:pt>
                <c:pt idx="6">
                  <c:v>0</c:v>
                </c:pt>
                <c:pt idx="7">
                  <c:v>-0.5</c:v>
                </c:pt>
                <c:pt idx="8">
                  <c:v>0</c:v>
                </c:pt>
                <c:pt idx="9">
                  <c:v>-0.5</c:v>
                </c:pt>
                <c:pt idx="10">
                  <c:v>0.5</c:v>
                </c:pt>
                <c:pt idx="11">
                  <c:v>-0.5</c:v>
                </c:pt>
                <c:pt idx="12">
                  <c:v>-0.5</c:v>
                </c:pt>
                <c:pt idx="13">
                  <c:v>0</c:v>
                </c:pt>
                <c:pt idx="14">
                  <c:v>0.5</c:v>
                </c:pt>
                <c:pt idx="15">
                  <c:v>0</c:v>
                </c:pt>
                <c:pt idx="16">
                  <c:v>-1</c:v>
                </c:pt>
                <c:pt idx="17">
                  <c:v>-0.5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806272"/>
        <c:axId val="212824832"/>
      </c:barChart>
      <c:catAx>
        <c:axId val="21280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2824832"/>
        <c:crosses val="autoZero"/>
        <c:auto val="1"/>
        <c:lblAlgn val="ctr"/>
        <c:lblOffset val="0"/>
        <c:noMultiLvlLbl val="0"/>
      </c:catAx>
      <c:valAx>
        <c:axId val="21282483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1280627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-2</c:v>
                </c:pt>
                <c:pt idx="8">
                  <c:v>-3</c:v>
                </c:pt>
                <c:pt idx="9">
                  <c:v>-3</c:v>
                </c:pt>
                <c:pt idx="10">
                  <c:v>-4</c:v>
                </c:pt>
                <c:pt idx="11">
                  <c:v>-2</c:v>
                </c:pt>
                <c:pt idx="12">
                  <c:v>-3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-6</c:v>
                </c:pt>
                <c:pt idx="19">
                  <c:v>-6</c:v>
                </c:pt>
                <c:pt idx="20">
                  <c:v>-7</c:v>
                </c:pt>
                <c:pt idx="21">
                  <c:v>-6</c:v>
                </c:pt>
                <c:pt idx="22">
                  <c:v>-6</c:v>
                </c:pt>
                <c:pt idx="23">
                  <c:v>-6</c:v>
                </c:pt>
                <c:pt idx="24">
                  <c:v>-7</c:v>
                </c:pt>
                <c:pt idx="25">
                  <c:v>-8</c:v>
                </c:pt>
                <c:pt idx="26">
                  <c:v>-9</c:v>
                </c:pt>
                <c:pt idx="27">
                  <c:v>-9</c:v>
                </c:pt>
                <c:pt idx="28">
                  <c:v>-9</c:v>
                </c:pt>
                <c:pt idx="29">
                  <c:v>-9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-9</c:v>
                </c:pt>
                <c:pt idx="35">
                  <c:v>-9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39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9</c:v>
                </c:pt>
                <c:pt idx="38">
                  <c:v>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40448"/>
        <c:axId val="212842368"/>
      </c:lineChart>
      <c:catAx>
        <c:axId val="212840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2842368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212842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284044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Player'!$C$12:$AC$12</c:f>
              <c:numCache>
                <c:formatCode>General</c:formatCode>
                <c:ptCount val="19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6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Player'!$C$17:$AC$17</c:f>
              <c:numCache>
                <c:formatCode>General</c:formatCode>
                <c:ptCount val="19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1760"/>
        <c:axId val="163543680"/>
      </c:barChart>
      <c:catAx>
        <c:axId val="1635417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63543680"/>
        <c:crosses val="autoZero"/>
        <c:auto val="1"/>
        <c:lblAlgn val="ctr"/>
        <c:lblOffset val="0"/>
        <c:tickMarkSkip val="1"/>
        <c:noMultiLvlLbl val="0"/>
      </c:catAx>
      <c:valAx>
        <c:axId val="16354368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354176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'Tournament-Statistic'!$B$5:$AB$5</c:f>
              <c:numCache>
                <c:formatCode>#,#00</c:formatCode>
                <c:ptCount val="19"/>
                <c:pt idx="0" formatCode="General">
                  <c:v>-0.20000000000000018</c:v>
                </c:pt>
                <c:pt idx="1">
                  <c:v>-0.10000000000000009</c:v>
                </c:pt>
                <c:pt idx="2" formatCode="General">
                  <c:v>-0.29999999999999982</c:v>
                </c:pt>
                <c:pt idx="3" formatCode="General">
                  <c:v>0.10000000000000009</c:v>
                </c:pt>
                <c:pt idx="4" formatCode="General">
                  <c:v>-0.70000000000000018</c:v>
                </c:pt>
                <c:pt idx="5" formatCode="General">
                  <c:v>-0.20000000000000018</c:v>
                </c:pt>
                <c:pt idx="6" formatCode="General">
                  <c:v>-0.20000000000000018</c:v>
                </c:pt>
                <c:pt idx="7" formatCode="General">
                  <c:v>-0.29999999999999982</c:v>
                </c:pt>
                <c:pt idx="8" formatCode="General">
                  <c:v>-0.10000000000000009</c:v>
                </c:pt>
                <c:pt idx="9" formatCode="General">
                  <c:v>0.29999999999999982</c:v>
                </c:pt>
                <c:pt idx="10" formatCode="General">
                  <c:v>0.59999999999999964</c:v>
                </c:pt>
                <c:pt idx="11" formatCode="General">
                  <c:v>0.20000000000000018</c:v>
                </c:pt>
                <c:pt idx="12" formatCode="General">
                  <c:v>-0.20000000000000018</c:v>
                </c:pt>
                <c:pt idx="13" formatCode="General">
                  <c:v>-0.10000000000000009</c:v>
                </c:pt>
                <c:pt idx="14" formatCode="General">
                  <c:v>-0.10000000000000009</c:v>
                </c:pt>
                <c:pt idx="15" formatCode="General">
                  <c:v>-0.29999999999999982</c:v>
                </c:pt>
                <c:pt idx="16" formatCode="General">
                  <c:v>-0.20000000000000018</c:v>
                </c:pt>
                <c:pt idx="17" formatCode="General">
                  <c:v>-0.5</c:v>
                </c:pt>
                <c:pt idx="18" formatCode="General">
                  <c:v>0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'Tournament-Statistic'!$B$6:$AB$6</c:f>
              <c:numCache>
                <c:formatCode>#,#00</c:formatCode>
                <c:ptCount val="19"/>
                <c:pt idx="0" formatCode="General">
                  <c:v>0.29999999999999982</c:v>
                </c:pt>
                <c:pt idx="1">
                  <c:v>0.10000000000000009</c:v>
                </c:pt>
                <c:pt idx="2" formatCode="General">
                  <c:v>0.89999999999999991</c:v>
                </c:pt>
                <c:pt idx="3" formatCode="General">
                  <c:v>0.5</c:v>
                </c:pt>
                <c:pt idx="4" formatCode="General">
                  <c:v>0.70000000000000018</c:v>
                </c:pt>
                <c:pt idx="5" formatCode="General">
                  <c:v>0.60000000000000009</c:v>
                </c:pt>
                <c:pt idx="6" formatCode="General">
                  <c:v>0.5</c:v>
                </c:pt>
                <c:pt idx="7" formatCode="General">
                  <c:v>0.29999999999999982</c:v>
                </c:pt>
                <c:pt idx="8" formatCode="General">
                  <c:v>0.70000000000000018</c:v>
                </c:pt>
                <c:pt idx="9" formatCode="General">
                  <c:v>0.70000000000000018</c:v>
                </c:pt>
                <c:pt idx="10" formatCode="General">
                  <c:v>1.4000000000000004</c:v>
                </c:pt>
                <c:pt idx="11" formatCode="General">
                  <c:v>0.39999999999999991</c:v>
                </c:pt>
                <c:pt idx="12" formatCode="General">
                  <c:v>0.39999999999999991</c:v>
                </c:pt>
                <c:pt idx="13" formatCode="General">
                  <c:v>0.5</c:v>
                </c:pt>
                <c:pt idx="14" formatCode="General">
                  <c:v>0.60000000000000009</c:v>
                </c:pt>
                <c:pt idx="15" formatCode="General">
                  <c:v>0</c:v>
                </c:pt>
                <c:pt idx="16" formatCode="General">
                  <c:v>0.39999999999999991</c:v>
                </c:pt>
                <c:pt idx="17" formatCode="General">
                  <c:v>0.39999999999999991</c:v>
                </c:pt>
                <c:pt idx="18" formatCode="General">
                  <c:v>0.70000000000000018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237120"/>
        <c:axId val="189243392"/>
      </c:barChart>
      <c:catAx>
        <c:axId val="18923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8924339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89243392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9237120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Player'!$C$13:$AC$13</c:f>
              <c:numCache>
                <c:formatCode>General</c:formatCode>
                <c:ptCount val="19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Player'!$C$18:$AC$18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6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30880"/>
        <c:axId val="28732800"/>
      </c:barChart>
      <c:catAx>
        <c:axId val="287308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732800"/>
        <c:crosses val="autoZero"/>
        <c:auto val="1"/>
        <c:lblAlgn val="ctr"/>
        <c:lblOffset val="0"/>
        <c:tickMarkSkip val="1"/>
        <c:noMultiLvlLbl val="0"/>
      </c:catAx>
      <c:valAx>
        <c:axId val="2873280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73088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08480"/>
        <c:axId val="29114752"/>
      </c:barChart>
      <c:catAx>
        <c:axId val="291084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9114752"/>
        <c:crosses val="autoZero"/>
        <c:auto val="1"/>
        <c:lblAlgn val="ctr"/>
        <c:lblOffset val="0"/>
        <c:tickMarkSkip val="1"/>
        <c:noMultiLvlLbl val="0"/>
      </c:catAx>
      <c:valAx>
        <c:axId val="2911475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10848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146112"/>
        <c:axId val="29230208"/>
      </c:barChart>
      <c:catAx>
        <c:axId val="291461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9230208"/>
        <c:crosses val="autoZero"/>
        <c:auto val="1"/>
        <c:lblAlgn val="ctr"/>
        <c:lblOffset val="0"/>
        <c:tickMarkSkip val="1"/>
        <c:noMultiLvlLbl val="0"/>
      </c:catAx>
      <c:valAx>
        <c:axId val="2923020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14611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78592"/>
        <c:axId val="29280512"/>
      </c:barChart>
      <c:catAx>
        <c:axId val="292785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9280512"/>
        <c:crosses val="autoZero"/>
        <c:auto val="1"/>
        <c:lblAlgn val="ctr"/>
        <c:lblOffset val="0"/>
        <c:tickMarkSkip val="1"/>
        <c:noMultiLvlLbl val="0"/>
      </c:catAx>
      <c:valAx>
        <c:axId val="2928051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27859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'Player vs. Player'!$C$22:$AC$22</c:f>
              <c:numCache>
                <c:formatCode>#,#00</c:formatCode>
                <c:ptCount val="19"/>
                <c:pt idx="0">
                  <c:v>-1</c:v>
                </c:pt>
                <c:pt idx="1">
                  <c:v>0</c:v>
                </c:pt>
                <c:pt idx="2" formatCode="General">
                  <c:v>-1.5</c:v>
                </c:pt>
                <c:pt idx="3" formatCode="General">
                  <c:v>-0.5</c:v>
                </c:pt>
                <c:pt idx="4" formatCode="General">
                  <c:v>-1</c:v>
                </c:pt>
                <c:pt idx="5" formatCode="General">
                  <c:v>-1</c:v>
                </c:pt>
                <c:pt idx="6" formatCode="General">
                  <c:v>0</c:v>
                </c:pt>
                <c:pt idx="7" formatCode="General">
                  <c:v>-0.5</c:v>
                </c:pt>
                <c:pt idx="8" formatCode="General">
                  <c:v>-0.5</c:v>
                </c:pt>
                <c:pt idx="9" formatCode="General">
                  <c:v>-0.5</c:v>
                </c:pt>
                <c:pt idx="10" formatCode="General">
                  <c:v>-0.5</c:v>
                </c:pt>
                <c:pt idx="11" formatCode="General">
                  <c:v>-0.5</c:v>
                </c:pt>
                <c:pt idx="12" formatCode="General">
                  <c:v>-0.5</c:v>
                </c:pt>
                <c:pt idx="13" formatCode="General">
                  <c:v>-0.5</c:v>
                </c:pt>
                <c:pt idx="14" formatCode="General">
                  <c:v>0</c:v>
                </c:pt>
                <c:pt idx="15" formatCode="General">
                  <c:v>0.5</c:v>
                </c:pt>
                <c:pt idx="16" formatCode="General">
                  <c:v>-1</c:v>
                </c:pt>
                <c:pt idx="17" formatCode="General">
                  <c:v>-0.5</c:v>
                </c:pt>
                <c:pt idx="18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13664"/>
        <c:axId val="29328128"/>
      </c:barChart>
      <c:catAx>
        <c:axId val="2931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9328128"/>
        <c:crosses val="autoZero"/>
        <c:auto val="1"/>
        <c:lblAlgn val="ctr"/>
        <c:lblOffset val="0"/>
        <c:noMultiLvlLbl val="0"/>
      </c:catAx>
      <c:valAx>
        <c:axId val="29328128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931366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-2</c:v>
                </c:pt>
                <c:pt idx="8">
                  <c:v>-3</c:v>
                </c:pt>
                <c:pt idx="9">
                  <c:v>-3</c:v>
                </c:pt>
                <c:pt idx="10">
                  <c:v>-4</c:v>
                </c:pt>
                <c:pt idx="11">
                  <c:v>-2</c:v>
                </c:pt>
                <c:pt idx="12">
                  <c:v>-3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-6</c:v>
                </c:pt>
                <c:pt idx="19">
                  <c:v>-6</c:v>
                </c:pt>
                <c:pt idx="20">
                  <c:v>-7</c:v>
                </c:pt>
                <c:pt idx="21">
                  <c:v>-6</c:v>
                </c:pt>
                <c:pt idx="22">
                  <c:v>-6</c:v>
                </c:pt>
                <c:pt idx="23">
                  <c:v>-6</c:v>
                </c:pt>
                <c:pt idx="24">
                  <c:v>-7</c:v>
                </c:pt>
                <c:pt idx="25">
                  <c:v>-8</c:v>
                </c:pt>
                <c:pt idx="26">
                  <c:v>-9</c:v>
                </c:pt>
                <c:pt idx="27">
                  <c:v>-9</c:v>
                </c:pt>
                <c:pt idx="28">
                  <c:v>-9</c:v>
                </c:pt>
                <c:pt idx="29">
                  <c:v>-9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-9</c:v>
                </c:pt>
                <c:pt idx="35">
                  <c:v>-9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39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-3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-4</c:v>
                </c:pt>
                <c:pt idx="8">
                  <c:v>-4</c:v>
                </c:pt>
                <c:pt idx="9">
                  <c:v>-5</c:v>
                </c:pt>
                <c:pt idx="10">
                  <c:v>-4</c:v>
                </c:pt>
                <c:pt idx="11">
                  <c:v>-4</c:v>
                </c:pt>
                <c:pt idx="12">
                  <c:v>-4</c:v>
                </c:pt>
                <c:pt idx="13">
                  <c:v>-4</c:v>
                </c:pt>
                <c:pt idx="14">
                  <c:v>-4</c:v>
                </c:pt>
                <c:pt idx="15">
                  <c:v>-5</c:v>
                </c:pt>
                <c:pt idx="16">
                  <c:v>-6</c:v>
                </c:pt>
                <c:pt idx="17">
                  <c:v>-6</c:v>
                </c:pt>
                <c:pt idx="18">
                  <c:v>-7</c:v>
                </c:pt>
                <c:pt idx="19">
                  <c:v>-7</c:v>
                </c:pt>
                <c:pt idx="20">
                  <c:v>-6</c:v>
                </c:pt>
                <c:pt idx="21">
                  <c:v>-5</c:v>
                </c:pt>
                <c:pt idx="22">
                  <c:v>-6</c:v>
                </c:pt>
                <c:pt idx="23">
                  <c:v>-6</c:v>
                </c:pt>
                <c:pt idx="24">
                  <c:v>-6</c:v>
                </c:pt>
                <c:pt idx="25">
                  <c:v>-6</c:v>
                </c:pt>
                <c:pt idx="26">
                  <c:v>-6</c:v>
                </c:pt>
                <c:pt idx="27">
                  <c:v>-6</c:v>
                </c:pt>
                <c:pt idx="28">
                  <c:v>-7</c:v>
                </c:pt>
                <c:pt idx="29">
                  <c:v>-5</c:v>
                </c:pt>
                <c:pt idx="30">
                  <c:v>-6</c:v>
                </c:pt>
                <c:pt idx="31">
                  <c:v>-6</c:v>
                </c:pt>
                <c:pt idx="32">
                  <c:v>-7</c:v>
                </c:pt>
                <c:pt idx="33">
                  <c:v>-7</c:v>
                </c:pt>
                <c:pt idx="34">
                  <c:v>-8</c:v>
                </c:pt>
                <c:pt idx="35">
                  <c:v>-8</c:v>
                </c:pt>
                <c:pt idx="36">
                  <c:v>-7</c:v>
                </c:pt>
                <c:pt idx="37">
                  <c:v>-8</c:v>
                </c:pt>
                <c:pt idx="38">
                  <c:v>-8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Peter Pichler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39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-2</c:v>
                </c:pt>
                <c:pt idx="25">
                  <c:v>-2</c:v>
                </c:pt>
                <c:pt idx="26">
                  <c:v>-2</c:v>
                </c:pt>
                <c:pt idx="27">
                  <c:v>-2</c:v>
                </c:pt>
                <c:pt idx="28">
                  <c:v>-3</c:v>
                </c:pt>
                <c:pt idx="29">
                  <c:v>-2</c:v>
                </c:pt>
                <c:pt idx="30">
                  <c:v>-2</c:v>
                </c:pt>
                <c:pt idx="31">
                  <c:v>-2</c:v>
                </c:pt>
                <c:pt idx="32">
                  <c:v>-2</c:v>
                </c:pt>
                <c:pt idx="33">
                  <c:v>-1</c:v>
                </c:pt>
                <c:pt idx="34">
                  <c:v>-1</c:v>
                </c:pt>
                <c:pt idx="35">
                  <c:v>-2</c:v>
                </c:pt>
                <c:pt idx="36">
                  <c:v>-2</c:v>
                </c:pt>
                <c:pt idx="37">
                  <c:v>-3</c:v>
                </c:pt>
                <c:pt idx="38">
                  <c:v>-3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-2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-4</c:v>
                </c:pt>
                <c:pt idx="22">
                  <c:v>-5</c:v>
                </c:pt>
                <c:pt idx="23">
                  <c:v>-5</c:v>
                </c:pt>
                <c:pt idx="24">
                  <c:v>-6</c:v>
                </c:pt>
                <c:pt idx="25">
                  <c:v>-6</c:v>
                </c:pt>
                <c:pt idx="26">
                  <c:v>-6</c:v>
                </c:pt>
                <c:pt idx="27">
                  <c:v>-6</c:v>
                </c:pt>
                <c:pt idx="28">
                  <c:v>-6</c:v>
                </c:pt>
                <c:pt idx="29">
                  <c:v>-6</c:v>
                </c:pt>
                <c:pt idx="30">
                  <c:v>-5</c:v>
                </c:pt>
                <c:pt idx="31">
                  <c:v>-5</c:v>
                </c:pt>
                <c:pt idx="32">
                  <c:v>-6</c:v>
                </c:pt>
                <c:pt idx="33">
                  <c:v>-6</c:v>
                </c:pt>
                <c:pt idx="34">
                  <c:v>-4</c:v>
                </c:pt>
                <c:pt idx="35">
                  <c:v>-4</c:v>
                </c:pt>
                <c:pt idx="36">
                  <c:v>-4</c:v>
                </c:pt>
                <c:pt idx="37">
                  <c:v>-4</c:v>
                </c:pt>
                <c:pt idx="38">
                  <c:v>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356672"/>
        <c:axId val="189367040"/>
      </c:lineChart>
      <c:catAx>
        <c:axId val="1893566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9367040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189367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935667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39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9</c:v>
                </c:pt>
                <c:pt idx="38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8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9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12</c:v>
                </c:pt>
                <c:pt idx="38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39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5</c:v>
                </c:pt>
                <c:pt idx="22">
                  <c:v>7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13</c:v>
                </c:pt>
                <c:pt idx="30">
                  <c:v>16</c:v>
                </c:pt>
                <c:pt idx="31">
                  <c:v>16</c:v>
                </c:pt>
                <c:pt idx="32">
                  <c:v>17</c:v>
                </c:pt>
                <c:pt idx="33">
                  <c:v>17</c:v>
                </c:pt>
                <c:pt idx="34">
                  <c:v>18</c:v>
                </c:pt>
                <c:pt idx="35">
                  <c:v>18</c:v>
                </c:pt>
                <c:pt idx="36">
                  <c:v>19</c:v>
                </c:pt>
                <c:pt idx="37">
                  <c:v>20</c:v>
                </c:pt>
                <c:pt idx="3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39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  <c:pt idx="16">
                  <c:v>8</c:v>
                </c:pt>
                <c:pt idx="17">
                  <c:v>9</c:v>
                </c:pt>
                <c:pt idx="18">
                  <c:v>8</c:v>
                </c:pt>
                <c:pt idx="19">
                  <c:v>9</c:v>
                </c:pt>
                <c:pt idx="20">
                  <c:v>11</c:v>
                </c:pt>
                <c:pt idx="21">
                  <c:v>11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13</c:v>
                </c:pt>
                <c:pt idx="28">
                  <c:v>15</c:v>
                </c:pt>
                <c:pt idx="29">
                  <c:v>16</c:v>
                </c:pt>
                <c:pt idx="30">
                  <c:v>19</c:v>
                </c:pt>
                <c:pt idx="31">
                  <c:v>21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27</c:v>
                </c:pt>
                <c:pt idx="38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299648"/>
        <c:axId val="200301568"/>
      </c:lineChart>
      <c:catAx>
        <c:axId val="2002996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00301568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200301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029964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9"/>
                <c:pt idx="0">
                  <c:v>-26</c:v>
                </c:pt>
                <c:pt idx="1">
                  <c:v>-17</c:v>
                </c:pt>
                <c:pt idx="2">
                  <c:v>-12</c:v>
                </c:pt>
                <c:pt idx="3">
                  <c:v>-10</c:v>
                </c:pt>
                <c:pt idx="4">
                  <c:v>-27</c:v>
                </c:pt>
                <c:pt idx="5">
                  <c:v>-12</c:v>
                </c:pt>
                <c:pt idx="6">
                  <c:v>-8</c:v>
                </c:pt>
                <c:pt idx="7">
                  <c:v>-21</c:v>
                </c:pt>
                <c:pt idx="8">
                  <c:v>-8</c:v>
                </c:pt>
                <c:pt idx="9">
                  <c:v>-8</c:v>
                </c:pt>
                <c:pt idx="10">
                  <c:v>-3</c:v>
                </c:pt>
                <c:pt idx="11">
                  <c:v>-9</c:v>
                </c:pt>
                <c:pt idx="12">
                  <c:v>-23</c:v>
                </c:pt>
                <c:pt idx="13">
                  <c:v>-14</c:v>
                </c:pt>
                <c:pt idx="14">
                  <c:v>-15</c:v>
                </c:pt>
                <c:pt idx="15">
                  <c:v>-32</c:v>
                </c:pt>
                <c:pt idx="16">
                  <c:v>-10</c:v>
                </c:pt>
                <c:pt idx="17">
                  <c:v>-48</c:v>
                </c:pt>
                <c:pt idx="18">
                  <c:v>-2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'Tournament-Statistic'!$B$7:$AB$7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9"/>
                <c:pt idx="0">
                  <c:v>26</c:v>
                </c:pt>
                <c:pt idx="1">
                  <c:v>24</c:v>
                </c:pt>
                <c:pt idx="2">
                  <c:v>37</c:v>
                </c:pt>
                <c:pt idx="3">
                  <c:v>33</c:v>
                </c:pt>
                <c:pt idx="4">
                  <c:v>30</c:v>
                </c:pt>
                <c:pt idx="5">
                  <c:v>44</c:v>
                </c:pt>
                <c:pt idx="6">
                  <c:v>35</c:v>
                </c:pt>
                <c:pt idx="7">
                  <c:v>20</c:v>
                </c:pt>
                <c:pt idx="8">
                  <c:v>38</c:v>
                </c:pt>
                <c:pt idx="9">
                  <c:v>35</c:v>
                </c:pt>
                <c:pt idx="10">
                  <c:v>49</c:v>
                </c:pt>
                <c:pt idx="11">
                  <c:v>25</c:v>
                </c:pt>
                <c:pt idx="12">
                  <c:v>24</c:v>
                </c:pt>
                <c:pt idx="13">
                  <c:v>31</c:v>
                </c:pt>
                <c:pt idx="14">
                  <c:v>33</c:v>
                </c:pt>
                <c:pt idx="15">
                  <c:v>8</c:v>
                </c:pt>
                <c:pt idx="16">
                  <c:v>37</c:v>
                </c:pt>
                <c:pt idx="17">
                  <c:v>32</c:v>
                </c:pt>
                <c:pt idx="18">
                  <c:v>56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9"/>
                <c:pt idx="0">
                  <c:v>12</c:v>
                </c:pt>
                <c:pt idx="1">
                  <c:v>6</c:v>
                </c:pt>
                <c:pt idx="2">
                  <c:v>13</c:v>
                </c:pt>
                <c:pt idx="3">
                  <c:v>11</c:v>
                </c:pt>
                <c:pt idx="4">
                  <c:v>5</c:v>
                </c:pt>
                <c:pt idx="5">
                  <c:v>10</c:v>
                </c:pt>
                <c:pt idx="6">
                  <c:v>8</c:v>
                </c:pt>
                <c:pt idx="7">
                  <c:v>2</c:v>
                </c:pt>
                <c:pt idx="8">
                  <c:v>12</c:v>
                </c:pt>
                <c:pt idx="9">
                  <c:v>19</c:v>
                </c:pt>
                <c:pt idx="10">
                  <c:v>33</c:v>
                </c:pt>
                <c:pt idx="11">
                  <c:v>22</c:v>
                </c:pt>
                <c:pt idx="12">
                  <c:v>8</c:v>
                </c:pt>
                <c:pt idx="13">
                  <c:v>6</c:v>
                </c:pt>
                <c:pt idx="14">
                  <c:v>16</c:v>
                </c:pt>
                <c:pt idx="15">
                  <c:v>6</c:v>
                </c:pt>
                <c:pt idx="16">
                  <c:v>5</c:v>
                </c:pt>
                <c:pt idx="17">
                  <c:v>31</c:v>
                </c:pt>
                <c:pt idx="18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9792384"/>
        <c:axId val="209802368"/>
      </c:barChart>
      <c:catAx>
        <c:axId val="2097923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9802368"/>
        <c:crosses val="autoZero"/>
        <c:auto val="1"/>
        <c:lblAlgn val="ctr"/>
        <c:lblOffset val="100"/>
        <c:tickLblSkip val="1"/>
        <c:noMultiLvlLbl val="0"/>
      </c:catAx>
      <c:valAx>
        <c:axId val="20980236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97923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9"/>
                <c:pt idx="0">
                  <c:v>-3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</c:v>
                </c:pt>
                <c:pt idx="13">
                  <c:v>0</c:v>
                </c:pt>
                <c:pt idx="14">
                  <c:v>0</c:v>
                </c:pt>
                <c:pt idx="15">
                  <c:v>-1</c:v>
                </c:pt>
                <c:pt idx="16">
                  <c:v>0</c:v>
                </c:pt>
                <c:pt idx="17">
                  <c:v>-7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</c:strCache>
            </c:strRef>
          </c:cat>
          <c:val>
            <c:numRef>
              <c:f>'Tournament-Statistic'!$B$11:$AB$11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9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5</c:v>
                </c:pt>
                <c:pt idx="7">
                  <c:v>8</c:v>
                </c:pt>
                <c:pt idx="8">
                  <c:v>2</c:v>
                </c:pt>
                <c:pt idx="9">
                  <c:v>7</c:v>
                </c:pt>
                <c:pt idx="10">
                  <c:v>2</c:v>
                </c:pt>
                <c:pt idx="11">
                  <c:v>4</c:v>
                </c:pt>
                <c:pt idx="12">
                  <c:v>7</c:v>
                </c:pt>
                <c:pt idx="13">
                  <c:v>5</c:v>
                </c:pt>
                <c:pt idx="14">
                  <c:v>7</c:v>
                </c:pt>
                <c:pt idx="15">
                  <c:v>5</c:v>
                </c:pt>
                <c:pt idx="16">
                  <c:v>9</c:v>
                </c:pt>
                <c:pt idx="17">
                  <c:v>6</c:v>
                </c:pt>
                <c:pt idx="18">
                  <c:v>10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9"/>
                <c:pt idx="0">
                  <c:v>4</c:v>
                </c:pt>
                <c:pt idx="1">
                  <c:v>2</c:v>
                </c:pt>
                <c:pt idx="2">
                  <c:v>7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6</c:v>
                </c:pt>
                <c:pt idx="10">
                  <c:v>12</c:v>
                </c:pt>
                <c:pt idx="11">
                  <c:v>6</c:v>
                </c:pt>
                <c:pt idx="12">
                  <c:v>2</c:v>
                </c:pt>
                <c:pt idx="13">
                  <c:v>5</c:v>
                </c:pt>
                <c:pt idx="14">
                  <c:v>4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9596416"/>
        <c:axId val="209597952"/>
      </c:barChart>
      <c:catAx>
        <c:axId val="209596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9597952"/>
        <c:crosses val="autoZero"/>
        <c:auto val="1"/>
        <c:lblAlgn val="ctr"/>
        <c:lblOffset val="100"/>
        <c:tickLblSkip val="1"/>
        <c:noMultiLvlLbl val="0"/>
      </c:catAx>
      <c:valAx>
        <c:axId val="20959795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95964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0.25806451612903225</c:v>
                </c:pt>
                <c:pt idx="2">
                  <c:v>0.59677419354838712</c:v>
                </c:pt>
                <c:pt idx="3">
                  <c:v>9.6774193548387094E-2</c:v>
                </c:pt>
                <c:pt idx="4">
                  <c:v>3.2258064516129031E-2</c:v>
                </c:pt>
                <c:pt idx="5">
                  <c:v>0</c:v>
                </c:pt>
                <c:pt idx="6">
                  <c:v>1.6129032258064516E-2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0.22222222222222221</c:v>
                </c:pt>
                <c:pt idx="2">
                  <c:v>0.33333333333333331</c:v>
                </c:pt>
                <c:pt idx="3">
                  <c:v>0.33333333333333331</c:v>
                </c:pt>
                <c:pt idx="4">
                  <c:v>0</c:v>
                </c:pt>
                <c:pt idx="5">
                  <c:v>0.1111111111111111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816448"/>
        <c:axId val="211817984"/>
      </c:lineChart>
      <c:catAx>
        <c:axId val="21181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1817984"/>
        <c:crosses val="autoZero"/>
        <c:auto val="1"/>
        <c:lblAlgn val="ctr"/>
        <c:lblOffset val="100"/>
        <c:noMultiLvlLbl val="0"/>
      </c:catAx>
      <c:valAx>
        <c:axId val="21181798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18164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0.16393442622950818</c:v>
                </c:pt>
                <c:pt idx="2">
                  <c:v>0.36065573770491804</c:v>
                </c:pt>
                <c:pt idx="3">
                  <c:v>0.32786885245901637</c:v>
                </c:pt>
                <c:pt idx="4">
                  <c:v>8.1967213114754092E-2</c:v>
                </c:pt>
                <c:pt idx="5">
                  <c:v>6.5573770491803282E-2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0.1111111111111111</c:v>
                </c:pt>
                <c:pt idx="2">
                  <c:v>0.44444444444444442</c:v>
                </c:pt>
                <c:pt idx="3">
                  <c:v>0.1111111111111111</c:v>
                </c:pt>
                <c:pt idx="4">
                  <c:v>0.22222222222222221</c:v>
                </c:pt>
                <c:pt idx="5">
                  <c:v>0.1111111111111111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847424"/>
        <c:axId val="211857408"/>
      </c:lineChart>
      <c:catAx>
        <c:axId val="21184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1857408"/>
        <c:crosses val="autoZero"/>
        <c:auto val="1"/>
        <c:lblAlgn val="ctr"/>
        <c:lblOffset val="100"/>
        <c:noMultiLvlLbl val="0"/>
      </c:catAx>
      <c:valAx>
        <c:axId val="21185740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18474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571456"/>
        <c:axId val="211572992"/>
      </c:lineChart>
      <c:catAx>
        <c:axId val="2115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1572992"/>
        <c:crosses val="autoZero"/>
        <c:auto val="1"/>
        <c:lblAlgn val="ctr"/>
        <c:lblOffset val="100"/>
        <c:noMultiLvlLbl val="0"/>
      </c:catAx>
      <c:valAx>
        <c:axId val="21157299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15714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161924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36</xdr:col>
      <xdr:colOff>161926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36</xdr:col>
      <xdr:colOff>161926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1381125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29</xdr:col>
      <xdr:colOff>676275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29</xdr:col>
      <xdr:colOff>704850</xdr:colOff>
      <xdr:row>9</xdr:row>
      <xdr:rowOff>171450</xdr:rowOff>
    </xdr:from>
    <xdr:to>
      <xdr:col>31</xdr:col>
      <xdr:colOff>1381125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638175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638175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638175</xdr:colOff>
      <xdr:row>36</xdr:row>
      <xdr:rowOff>102916</xdr:rowOff>
    </xdr:to>
    <xdr:graphicFrame macro="">
      <xdr:nvGraphicFramePr>
        <xdr:cNvPr id="16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638175</xdr:colOff>
      <xdr:row>41</xdr:row>
      <xdr:rowOff>89557</xdr:rowOff>
    </xdr:to>
    <xdr:graphicFrame macro="">
      <xdr:nvGraphicFramePr>
        <xdr:cNvPr id="17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638175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638175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Otfried Derschmidt vs. Avg. Katka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60225</xdr:colOff>
      <xdr:row>0</xdr:row>
      <xdr:rowOff>13931</xdr:rowOff>
    </xdr:from>
    <xdr:to>
      <xdr:col>19</xdr:col>
      <xdr:colOff>216225</xdr:colOff>
      <xdr:row>8</xdr:row>
      <xdr:rowOff>131884</xdr:rowOff>
    </xdr:to>
    <xdr:pic>
      <xdr:nvPicPr>
        <xdr:cNvPr id="12" name="Grafik 11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6" r="895"/>
        <a:stretch/>
      </xdr:blipFill>
      <xdr:spPr>
        <a:xfrm>
          <a:off x="7070625" y="13931"/>
          <a:ext cx="3204000" cy="226107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16</xdr:col>
      <xdr:colOff>628649</xdr:colOff>
      <xdr:row>2</xdr:row>
      <xdr:rowOff>191402</xdr:rowOff>
    </xdr:from>
    <xdr:to>
      <xdr:col>20</xdr:col>
      <xdr:colOff>1166222</xdr:colOff>
      <xdr:row>14</xdr:row>
      <xdr:rowOff>183915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49" y="1143902"/>
          <a:ext cx="3185523" cy="2335663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217</v>
      </c>
    </row>
    <row r="2" spans="1:27" ht="3" customHeight="1" thickBot="1" x14ac:dyDescent="0.3">
      <c r="AA2" s="247" t="s">
        <v>168</v>
      </c>
    </row>
    <row r="3" spans="1:27" ht="27.75" customHeight="1" thickBot="1" x14ac:dyDescent="0.3">
      <c r="A3" s="388" t="str">
        <f>Parameter!B28 &amp; "   "&amp;Parameter!B29</f>
        <v>Schöckl Open 2015   (Graz / 05. - 06.09.2015)</v>
      </c>
      <c r="B3" s="389"/>
      <c r="C3" s="389"/>
      <c r="D3" s="389"/>
      <c r="E3" s="389"/>
      <c r="F3" s="389"/>
      <c r="G3" s="389"/>
      <c r="H3" s="389"/>
      <c r="I3" s="389"/>
      <c r="J3" s="389"/>
      <c r="K3" s="390"/>
      <c r="AA3" s="247" t="s">
        <v>170</v>
      </c>
    </row>
    <row r="4" spans="1:27" x14ac:dyDescent="0.25">
      <c r="A4" s="247" t="s">
        <v>218</v>
      </c>
      <c r="B4" s="247" t="s">
        <v>689</v>
      </c>
      <c r="AA4" s="247" t="s">
        <v>171</v>
      </c>
    </row>
    <row r="5" spans="1:27" ht="15" customHeight="1" x14ac:dyDescent="0.25">
      <c r="B5" s="385" t="s">
        <v>28</v>
      </c>
    </row>
    <row r="6" spans="1:27" ht="23.25" x14ac:dyDescent="0.35">
      <c r="A6" s="246" t="s">
        <v>167</v>
      </c>
    </row>
    <row r="7" spans="1:27" ht="15" customHeight="1" thickBot="1" x14ac:dyDescent="0.3">
      <c r="A7" s="247" t="s">
        <v>229</v>
      </c>
      <c r="AA7" s="247" t="s">
        <v>168</v>
      </c>
    </row>
    <row r="8" spans="1:27" ht="15" customHeight="1" thickBot="1" x14ac:dyDescent="0.3">
      <c r="A8" s="247" t="s">
        <v>169</v>
      </c>
      <c r="D8" s="248"/>
      <c r="AA8" s="247" t="s">
        <v>170</v>
      </c>
    </row>
    <row r="9" spans="1:27" x14ac:dyDescent="0.25">
      <c r="A9" s="247" t="s">
        <v>185</v>
      </c>
      <c r="AA9" s="247" t="s">
        <v>171</v>
      </c>
    </row>
    <row r="11" spans="1:27" ht="23.25" x14ac:dyDescent="0.35">
      <c r="A11" s="246" t="s">
        <v>172</v>
      </c>
    </row>
    <row r="12" spans="1:27" x14ac:dyDescent="0.25">
      <c r="A12" s="247" t="s">
        <v>194</v>
      </c>
    </row>
    <row r="13" spans="1:27" x14ac:dyDescent="0.25">
      <c r="A13" s="247" t="s">
        <v>219</v>
      </c>
      <c r="J13" s="249" t="s">
        <v>184</v>
      </c>
    </row>
    <row r="14" spans="1:27" ht="9.75" customHeight="1" x14ac:dyDescent="0.25"/>
    <row r="15" spans="1:27" ht="46.5" x14ac:dyDescent="0.7">
      <c r="A15" s="391" t="s">
        <v>173</v>
      </c>
      <c r="B15" s="391"/>
      <c r="C15" s="391"/>
      <c r="D15" s="391"/>
      <c r="E15" s="280" t="s">
        <v>174</v>
      </c>
      <c r="I15" s="394" t="s">
        <v>401</v>
      </c>
      <c r="J15" s="394"/>
      <c r="K15" s="394"/>
      <c r="L15" s="394"/>
      <c r="M15" s="394"/>
      <c r="N15" s="394"/>
      <c r="O15" s="394"/>
      <c r="P15" s="394"/>
    </row>
    <row r="16" spans="1:27" x14ac:dyDescent="0.25">
      <c r="A16" s="283" t="s">
        <v>175</v>
      </c>
      <c r="B16" s="283"/>
      <c r="C16" s="283"/>
      <c r="D16" s="283"/>
      <c r="E16" s="283"/>
      <c r="I16" s="395" t="str">
        <f>B4</f>
        <v>Consider ratings with caution / Skill-O-Meter-Rating is out of date</v>
      </c>
      <c r="J16" s="395"/>
      <c r="K16" s="395"/>
      <c r="L16" s="395"/>
      <c r="M16" s="395"/>
      <c r="N16" s="395"/>
      <c r="O16" s="395"/>
      <c r="P16" s="395"/>
    </row>
    <row r="17" spans="1:16" x14ac:dyDescent="0.25">
      <c r="A17" s="247" t="s">
        <v>176</v>
      </c>
      <c r="B17" s="281" t="s">
        <v>177</v>
      </c>
      <c r="I17" s="395"/>
      <c r="J17" s="395"/>
      <c r="K17" s="395"/>
      <c r="L17" s="395"/>
      <c r="M17" s="395"/>
      <c r="N17" s="395"/>
      <c r="O17" s="395"/>
      <c r="P17" s="395"/>
    </row>
    <row r="18" spans="1:16" x14ac:dyDescent="0.25">
      <c r="A18" s="247" t="s">
        <v>178</v>
      </c>
      <c r="B18" s="281" t="s">
        <v>15</v>
      </c>
      <c r="I18" s="395" t="str">
        <f>B5</f>
        <v/>
      </c>
      <c r="J18" s="395"/>
      <c r="K18" s="395"/>
      <c r="L18" s="395"/>
      <c r="M18" s="395"/>
      <c r="N18" s="395"/>
      <c r="O18" s="395"/>
      <c r="P18" s="395"/>
    </row>
    <row r="19" spans="1:16" x14ac:dyDescent="0.25">
      <c r="A19" s="247" t="s">
        <v>179</v>
      </c>
      <c r="B19" s="281" t="s">
        <v>17</v>
      </c>
      <c r="I19" s="395"/>
      <c r="J19" s="395"/>
      <c r="K19" s="395"/>
      <c r="L19" s="395"/>
      <c r="M19" s="395"/>
      <c r="N19" s="395"/>
      <c r="O19" s="395"/>
      <c r="P19" s="395"/>
    </row>
    <row r="20" spans="1:16" ht="9" customHeight="1" x14ac:dyDescent="0.25">
      <c r="I20" s="340"/>
      <c r="J20" s="340"/>
      <c r="K20" s="340"/>
      <c r="L20" s="340"/>
      <c r="M20" s="340"/>
      <c r="N20" s="340"/>
      <c r="O20" s="340"/>
      <c r="P20" s="340"/>
    </row>
    <row r="21" spans="1:16" x14ac:dyDescent="0.25">
      <c r="A21" s="392" t="s">
        <v>180</v>
      </c>
      <c r="B21" s="392"/>
      <c r="C21" s="392"/>
      <c r="D21" s="392"/>
      <c r="E21" s="392"/>
    </row>
    <row r="25" spans="1:16" ht="12.75" customHeight="1" x14ac:dyDescent="0.25"/>
    <row r="26" spans="1:16" ht="12.75" customHeight="1" x14ac:dyDescent="0.25">
      <c r="A26" s="393" t="s">
        <v>181</v>
      </c>
      <c r="B26" s="393"/>
      <c r="C26" s="393"/>
      <c r="D26" s="393"/>
    </row>
    <row r="27" spans="1:16" ht="9" customHeight="1" x14ac:dyDescent="0.25"/>
    <row r="28" spans="1:16" x14ac:dyDescent="0.25">
      <c r="A28" s="247" t="s">
        <v>195</v>
      </c>
    </row>
    <row r="29" spans="1:16" x14ac:dyDescent="0.25">
      <c r="A29" s="247" t="s">
        <v>182</v>
      </c>
      <c r="F29" s="282" t="s">
        <v>183</v>
      </c>
      <c r="G29" s="282"/>
      <c r="H29" s="282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DE1" workbookViewId="0">
      <pane ySplit="1" topLeftCell="A154" activePane="bottomLeft" state="frozen"/>
      <selection pane="bottomLeft" activeCell="EG163" sqref="EG163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83" t="s">
        <v>593</v>
      </c>
      <c r="B1" s="384" t="s">
        <v>77</v>
      </c>
      <c r="C1" s="384" t="s">
        <v>78</v>
      </c>
      <c r="D1" s="375" t="s">
        <v>45</v>
      </c>
      <c r="E1" s="375" t="s">
        <v>47</v>
      </c>
      <c r="F1" s="375" t="s">
        <v>27</v>
      </c>
      <c r="G1" s="375" t="s">
        <v>46</v>
      </c>
      <c r="H1" s="285" t="s">
        <v>230</v>
      </c>
      <c r="I1" s="285" t="s">
        <v>231</v>
      </c>
      <c r="J1" s="284" t="s">
        <v>29</v>
      </c>
      <c r="K1" s="284" t="s">
        <v>30</v>
      </c>
      <c r="L1" s="284" t="s">
        <v>31</v>
      </c>
      <c r="M1" s="284" t="s">
        <v>32</v>
      </c>
      <c r="N1" s="284" t="s">
        <v>33</v>
      </c>
      <c r="O1" s="349" t="s">
        <v>473</v>
      </c>
      <c r="P1" s="349" t="s">
        <v>472</v>
      </c>
      <c r="Q1" s="349" t="s">
        <v>476</v>
      </c>
      <c r="R1" s="350" t="s">
        <v>478</v>
      </c>
      <c r="S1" s="338" t="s">
        <v>388</v>
      </c>
      <c r="T1" s="284" t="s">
        <v>220</v>
      </c>
      <c r="U1" s="338" t="s">
        <v>387</v>
      </c>
      <c r="V1" s="284" t="s">
        <v>221</v>
      </c>
      <c r="W1" s="338" t="s">
        <v>386</v>
      </c>
      <c r="X1" s="284" t="s">
        <v>222</v>
      </c>
      <c r="Y1" s="285" t="s">
        <v>232</v>
      </c>
      <c r="Z1" s="285" t="s">
        <v>233</v>
      </c>
      <c r="AA1" s="285" t="s">
        <v>234</v>
      </c>
      <c r="AB1" s="285" t="s">
        <v>235</v>
      </c>
      <c r="AC1" s="285" t="s">
        <v>236</v>
      </c>
      <c r="AD1" s="285" t="s">
        <v>237</v>
      </c>
      <c r="AE1" s="285" t="s">
        <v>238</v>
      </c>
      <c r="AF1" s="285" t="s">
        <v>239</v>
      </c>
      <c r="AG1" s="348" t="s">
        <v>471</v>
      </c>
      <c r="AH1" s="349" t="s">
        <v>470</v>
      </c>
      <c r="AI1" s="349" t="s">
        <v>474</v>
      </c>
      <c r="AJ1" s="349" t="s">
        <v>475</v>
      </c>
      <c r="AK1" s="350" t="s">
        <v>479</v>
      </c>
      <c r="AL1" s="285" t="s">
        <v>313</v>
      </c>
      <c r="AM1" s="284" t="s">
        <v>223</v>
      </c>
      <c r="AN1" s="328" t="s">
        <v>320</v>
      </c>
      <c r="AO1" s="328" t="s">
        <v>321</v>
      </c>
      <c r="AP1" s="285" t="s">
        <v>113</v>
      </c>
      <c r="AQ1" s="64" t="s">
        <v>808</v>
      </c>
      <c r="AR1" s="64" t="s">
        <v>809</v>
      </c>
      <c r="AS1" s="64" t="s">
        <v>810</v>
      </c>
      <c r="AT1" s="64" t="s">
        <v>811</v>
      </c>
      <c r="AU1" s="64" t="s">
        <v>812</v>
      </c>
      <c r="AV1" s="64" t="s">
        <v>813</v>
      </c>
      <c r="AW1" s="64" t="s">
        <v>814</v>
      </c>
      <c r="AX1" s="64" t="s">
        <v>815</v>
      </c>
      <c r="AY1" s="64" t="s">
        <v>816</v>
      </c>
      <c r="AZ1" s="64" t="s">
        <v>817</v>
      </c>
      <c r="BA1" s="64" t="s">
        <v>818</v>
      </c>
      <c r="BB1" s="64" t="s">
        <v>819</v>
      </c>
      <c r="BC1" s="64" t="s">
        <v>820</v>
      </c>
      <c r="BD1" s="64" t="s">
        <v>821</v>
      </c>
      <c r="BE1" s="64" t="s">
        <v>822</v>
      </c>
      <c r="BF1" s="64" t="s">
        <v>823</v>
      </c>
      <c r="BG1" s="64" t="s">
        <v>824</v>
      </c>
      <c r="BH1" s="64" t="s">
        <v>825</v>
      </c>
      <c r="BI1" s="64" t="s">
        <v>826</v>
      </c>
      <c r="BJ1" s="64" t="s">
        <v>827</v>
      </c>
      <c r="BK1" s="64" t="s">
        <v>828</v>
      </c>
      <c r="BL1" s="64" t="s">
        <v>829</v>
      </c>
      <c r="BM1" s="64" t="s">
        <v>830</v>
      </c>
      <c r="BN1" s="64" t="s">
        <v>831</v>
      </c>
      <c r="BO1" s="64" t="s">
        <v>832</v>
      </c>
      <c r="BP1" s="64" t="s">
        <v>833</v>
      </c>
      <c r="BQ1" s="64" t="s">
        <v>834</v>
      </c>
      <c r="BR1" s="64" t="s">
        <v>835</v>
      </c>
      <c r="BS1" s="64" t="s">
        <v>836</v>
      </c>
      <c r="BT1" s="64" t="s">
        <v>837</v>
      </c>
      <c r="BU1" s="64" t="s">
        <v>838</v>
      </c>
      <c r="BV1" s="64" t="s">
        <v>839</v>
      </c>
      <c r="BW1" s="64" t="s">
        <v>840</v>
      </c>
      <c r="BX1" s="64" t="s">
        <v>841</v>
      </c>
      <c r="BY1" s="64" t="s">
        <v>842</v>
      </c>
      <c r="BZ1" s="64" t="s">
        <v>843</v>
      </c>
      <c r="CA1" s="64" t="s">
        <v>844</v>
      </c>
      <c r="CB1" s="64" t="s">
        <v>845</v>
      </c>
      <c r="CC1" s="64" t="s">
        <v>846</v>
      </c>
      <c r="CD1" s="64" t="s">
        <v>847</v>
      </c>
      <c r="CE1" s="64" t="s">
        <v>848</v>
      </c>
      <c r="CF1" s="64" t="s">
        <v>849</v>
      </c>
      <c r="CG1" s="64" t="s">
        <v>850</v>
      </c>
      <c r="CH1" s="64" t="s">
        <v>851</v>
      </c>
      <c r="CI1" s="64" t="s">
        <v>852</v>
      </c>
      <c r="CJ1" s="64" t="s">
        <v>853</v>
      </c>
      <c r="CK1" s="64" t="s">
        <v>854</v>
      </c>
      <c r="CL1" s="64" t="s">
        <v>855</v>
      </c>
      <c r="CM1" s="64" t="s">
        <v>856</v>
      </c>
      <c r="CN1" s="64" t="s">
        <v>857</v>
      </c>
      <c r="CO1" s="64" t="s">
        <v>858</v>
      </c>
      <c r="CP1" s="64" t="s">
        <v>859</v>
      </c>
      <c r="CQ1" s="64" t="s">
        <v>860</v>
      </c>
      <c r="CR1" s="64" t="s">
        <v>861</v>
      </c>
      <c r="CS1" s="64" t="s">
        <v>862</v>
      </c>
      <c r="CT1" s="64" t="s">
        <v>863</v>
      </c>
      <c r="CU1" s="64" t="s">
        <v>864</v>
      </c>
      <c r="CV1" s="64" t="s">
        <v>865</v>
      </c>
      <c r="CW1" s="64" t="s">
        <v>866</v>
      </c>
      <c r="CX1" s="64" t="s">
        <v>867</v>
      </c>
      <c r="CY1" s="64" t="s">
        <v>868</v>
      </c>
      <c r="CZ1" s="64" t="s">
        <v>869</v>
      </c>
      <c r="DA1" s="64" t="s">
        <v>870</v>
      </c>
      <c r="DB1" s="64" t="s">
        <v>871</v>
      </c>
      <c r="DC1" s="64" t="s">
        <v>872</v>
      </c>
      <c r="DD1" s="64" t="s">
        <v>873</v>
      </c>
      <c r="DE1" s="64" t="s">
        <v>874</v>
      </c>
      <c r="DF1" s="64" t="s">
        <v>875</v>
      </c>
      <c r="DG1" s="64" t="s">
        <v>876</v>
      </c>
      <c r="DH1" s="64" t="s">
        <v>877</v>
      </c>
      <c r="DI1" s="64" t="s">
        <v>878</v>
      </c>
      <c r="DJ1" s="64" t="s">
        <v>879</v>
      </c>
      <c r="DK1" s="64" t="s">
        <v>880</v>
      </c>
      <c r="DL1" s="64" t="s">
        <v>881</v>
      </c>
      <c r="DM1" s="64" t="s">
        <v>882</v>
      </c>
      <c r="DN1" s="64" t="s">
        <v>883</v>
      </c>
      <c r="DO1" s="64" t="s">
        <v>884</v>
      </c>
      <c r="DP1" s="64" t="s">
        <v>885</v>
      </c>
      <c r="DQ1" s="64" t="s">
        <v>886</v>
      </c>
      <c r="DR1" s="64" t="s">
        <v>887</v>
      </c>
      <c r="DS1" s="64" t="s">
        <v>888</v>
      </c>
      <c r="DT1" s="32" t="s">
        <v>63</v>
      </c>
      <c r="DU1" s="32"/>
      <c r="DV1" s="32"/>
      <c r="DY1" s="75" t="s">
        <v>889</v>
      </c>
      <c r="DZ1" s="75" t="s">
        <v>890</v>
      </c>
      <c r="EA1" s="75" t="s">
        <v>891</v>
      </c>
      <c r="EB1" s="75" t="s">
        <v>892</v>
      </c>
      <c r="EC1" s="75" t="s">
        <v>893</v>
      </c>
      <c r="ED1" s="75" t="s">
        <v>894</v>
      </c>
      <c r="EE1" s="75" t="s">
        <v>895</v>
      </c>
      <c r="EF1" s="75" t="s">
        <v>896</v>
      </c>
      <c r="EG1" s="75" t="s">
        <v>897</v>
      </c>
      <c r="EH1" s="75" t="s">
        <v>898</v>
      </c>
      <c r="EI1" s="75" t="s">
        <v>899</v>
      </c>
      <c r="EJ1" s="75" t="s">
        <v>900</v>
      </c>
      <c r="EK1" s="75" t="s">
        <v>901</v>
      </c>
      <c r="EL1" s="75" t="s">
        <v>902</v>
      </c>
      <c r="EM1" s="75" t="s">
        <v>903</v>
      </c>
      <c r="EN1" s="75" t="s">
        <v>904</v>
      </c>
      <c r="EO1" s="75" t="s">
        <v>905</v>
      </c>
      <c r="EP1" s="75" t="s">
        <v>906</v>
      </c>
      <c r="EQ1" s="75" t="s">
        <v>907</v>
      </c>
      <c r="ER1" s="75" t="s">
        <v>908</v>
      </c>
      <c r="ES1" s="75" t="s">
        <v>909</v>
      </c>
      <c r="ET1" s="75" t="s">
        <v>910</v>
      </c>
      <c r="EU1" s="75" t="s">
        <v>911</v>
      </c>
      <c r="EV1" s="75" t="s">
        <v>912</v>
      </c>
      <c r="EW1" s="75" t="s">
        <v>913</v>
      </c>
      <c r="EX1" s="75" t="s">
        <v>914</v>
      </c>
      <c r="EY1" s="75" t="s">
        <v>915</v>
      </c>
      <c r="EZ1" s="75" t="s">
        <v>916</v>
      </c>
      <c r="FA1" s="75" t="s">
        <v>917</v>
      </c>
      <c r="FB1" s="75" t="s">
        <v>918</v>
      </c>
      <c r="FC1" s="75" t="s">
        <v>919</v>
      </c>
      <c r="FD1" s="75" t="s">
        <v>920</v>
      </c>
      <c r="FE1" s="75" t="s">
        <v>921</v>
      </c>
      <c r="FF1" s="75" t="s">
        <v>922</v>
      </c>
      <c r="FG1" s="75" t="s">
        <v>923</v>
      </c>
      <c r="FH1" s="75" t="s">
        <v>924</v>
      </c>
      <c r="FI1" s="75" t="s">
        <v>925</v>
      </c>
      <c r="FJ1" s="75" t="s">
        <v>926</v>
      </c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3</v>
      </c>
      <c r="CW2" s="62">
        <v>4</v>
      </c>
      <c r="CX2" s="62">
        <v>3</v>
      </c>
      <c r="CY2" s="62">
        <v>3</v>
      </c>
      <c r="CZ2" s="62">
        <v>3</v>
      </c>
      <c r="DA2" s="62">
        <v>4</v>
      </c>
      <c r="DB2" s="62">
        <v>4</v>
      </c>
      <c r="DC2" s="62">
        <v>4</v>
      </c>
      <c r="DD2" s="62">
        <v>3</v>
      </c>
      <c r="DE2" s="62">
        <v>3</v>
      </c>
      <c r="DF2" s="62">
        <v>3</v>
      </c>
      <c r="DG2" s="62">
        <v>3</v>
      </c>
      <c r="DH2" s="62">
        <v>3</v>
      </c>
      <c r="DI2" s="62">
        <v>3</v>
      </c>
      <c r="DJ2" s="62">
        <v>3</v>
      </c>
      <c r="DK2" s="62">
        <v>3</v>
      </c>
      <c r="DL2" s="62" t="s">
        <v>53</v>
      </c>
      <c r="DM2" s="62" t="s">
        <v>53</v>
      </c>
      <c r="DN2" s="62" t="s">
        <v>53</v>
      </c>
      <c r="DO2" s="62" t="s">
        <v>53</v>
      </c>
      <c r="DP2" s="62" t="s">
        <v>53</v>
      </c>
      <c r="DQ2" s="62" t="s">
        <v>53</v>
      </c>
      <c r="DR2" s="62" t="s">
        <v>53</v>
      </c>
      <c r="DS2" s="62" t="s">
        <v>53</v>
      </c>
      <c r="DT2" s="32" t="s">
        <v>23</v>
      </c>
      <c r="DY2" s="76">
        <v>3</v>
      </c>
      <c r="DZ2" s="76">
        <v>3</v>
      </c>
      <c r="EA2" s="76">
        <v>3</v>
      </c>
      <c r="EB2" s="76">
        <v>3</v>
      </c>
      <c r="EC2" s="76">
        <v>4</v>
      </c>
      <c r="ED2" s="76">
        <v>3</v>
      </c>
      <c r="EE2" s="76">
        <v>3</v>
      </c>
      <c r="EF2" s="76">
        <v>3</v>
      </c>
      <c r="EG2" s="76">
        <v>4</v>
      </c>
      <c r="EH2" s="76">
        <v>4</v>
      </c>
      <c r="EI2" s="76">
        <v>4</v>
      </c>
      <c r="EJ2" s="76">
        <v>3</v>
      </c>
      <c r="EK2" s="76">
        <v>3</v>
      </c>
      <c r="EL2" s="76">
        <v>3</v>
      </c>
      <c r="EM2" s="76">
        <v>3</v>
      </c>
      <c r="EN2" s="76">
        <v>3</v>
      </c>
      <c r="EO2" s="76">
        <v>3</v>
      </c>
      <c r="EP2" s="76">
        <v>3</v>
      </c>
      <c r="EQ2" s="76">
        <v>3</v>
      </c>
      <c r="ER2" s="76">
        <v>3</v>
      </c>
      <c r="ES2" s="76">
        <v>3</v>
      </c>
      <c r="ET2" s="76">
        <v>3</v>
      </c>
      <c r="EU2" s="76">
        <v>3</v>
      </c>
      <c r="EV2" s="76">
        <v>4</v>
      </c>
      <c r="EW2" s="76">
        <v>3</v>
      </c>
      <c r="EX2" s="76">
        <v>3</v>
      </c>
      <c r="EY2" s="76">
        <v>3</v>
      </c>
      <c r="EZ2" s="76">
        <v>4</v>
      </c>
      <c r="FA2" s="76">
        <v>4</v>
      </c>
      <c r="FB2" s="76">
        <v>4</v>
      </c>
      <c r="FC2" s="76">
        <v>3</v>
      </c>
      <c r="FD2" s="76">
        <v>3</v>
      </c>
      <c r="FE2" s="76">
        <v>3</v>
      </c>
      <c r="FF2" s="76">
        <v>3</v>
      </c>
      <c r="FG2" s="76">
        <v>3</v>
      </c>
      <c r="FH2" s="76">
        <v>3</v>
      </c>
      <c r="FI2" s="76">
        <v>3</v>
      </c>
      <c r="FJ2" s="76">
        <v>3</v>
      </c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385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0</v>
      </c>
      <c r="ES3" s="76">
        <v>0</v>
      </c>
      <c r="ET3" s="76">
        <v>0</v>
      </c>
      <c r="EU3" s="76">
        <v>0</v>
      </c>
      <c r="EV3" s="76">
        <v>0</v>
      </c>
      <c r="EW3" s="76">
        <v>0</v>
      </c>
      <c r="EX3" s="76">
        <v>0</v>
      </c>
      <c r="EY3" s="76">
        <v>0</v>
      </c>
      <c r="EZ3" s="76">
        <v>0</v>
      </c>
      <c r="FA3" s="76">
        <v>0</v>
      </c>
      <c r="FB3" s="76">
        <v>0</v>
      </c>
      <c r="FC3" s="76">
        <v>0</v>
      </c>
      <c r="FD3" s="76">
        <v>0</v>
      </c>
      <c r="FE3" s="76">
        <v>0</v>
      </c>
      <c r="FF3" s="76">
        <v>0</v>
      </c>
      <c r="FG3" s="76">
        <v>0</v>
      </c>
      <c r="FH3" s="76">
        <v>0</v>
      </c>
      <c r="FI3" s="76">
        <v>0</v>
      </c>
      <c r="FJ3" s="76">
        <v>0</v>
      </c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66</v>
      </c>
      <c r="CT4" s="62">
        <v>86</v>
      </c>
      <c r="CU4" s="62">
        <v>63</v>
      </c>
      <c r="CV4" s="62">
        <v>75</v>
      </c>
      <c r="CW4" s="62">
        <v>67</v>
      </c>
      <c r="CX4" s="62">
        <v>62</v>
      </c>
      <c r="CY4" s="62">
        <v>78</v>
      </c>
      <c r="CZ4" s="62">
        <v>86</v>
      </c>
      <c r="DA4" s="62">
        <v>72</v>
      </c>
      <c r="DB4" s="62">
        <v>65</v>
      </c>
      <c r="DC4" s="62">
        <v>41</v>
      </c>
      <c r="DD4" s="62">
        <v>74</v>
      </c>
      <c r="DE4" s="62">
        <v>74</v>
      </c>
      <c r="DF4" s="62">
        <v>79</v>
      </c>
      <c r="DG4" s="62">
        <v>65</v>
      </c>
      <c r="DH4" s="62">
        <v>88</v>
      </c>
      <c r="DI4" s="62">
        <v>77</v>
      </c>
      <c r="DJ4" s="62">
        <v>13</v>
      </c>
      <c r="DK4" s="62">
        <v>62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57</v>
      </c>
      <c r="DY4" s="76">
        <v>40</v>
      </c>
      <c r="DZ4" s="76">
        <v>42</v>
      </c>
      <c r="EA4" s="76">
        <v>38</v>
      </c>
      <c r="EB4" s="76">
        <v>32</v>
      </c>
      <c r="EC4" s="76">
        <v>30</v>
      </c>
      <c r="ED4" s="76">
        <v>38</v>
      </c>
      <c r="EE4" s="76">
        <v>45</v>
      </c>
      <c r="EF4" s="76">
        <v>41</v>
      </c>
      <c r="EG4" s="76">
        <v>35</v>
      </c>
      <c r="EH4" s="76">
        <v>35</v>
      </c>
      <c r="EI4" s="76">
        <v>23</v>
      </c>
      <c r="EJ4" s="76">
        <v>33</v>
      </c>
      <c r="EK4" s="76">
        <v>37</v>
      </c>
      <c r="EL4" s="76">
        <v>43</v>
      </c>
      <c r="EM4" s="76">
        <v>33</v>
      </c>
      <c r="EN4" s="76">
        <v>42</v>
      </c>
      <c r="EO4" s="76">
        <v>38</v>
      </c>
      <c r="EP4" s="76">
        <v>5</v>
      </c>
      <c r="EQ4" s="76">
        <v>39</v>
      </c>
      <c r="ER4" s="76">
        <v>26</v>
      </c>
      <c r="ES4" s="76">
        <v>44</v>
      </c>
      <c r="ET4" s="76">
        <v>25</v>
      </c>
      <c r="EU4" s="76">
        <v>43</v>
      </c>
      <c r="EV4" s="76">
        <v>37</v>
      </c>
      <c r="EW4" s="76">
        <v>24</v>
      </c>
      <c r="EX4" s="76">
        <v>33</v>
      </c>
      <c r="EY4" s="76">
        <v>45</v>
      </c>
      <c r="EZ4" s="76">
        <v>37</v>
      </c>
      <c r="FA4" s="76">
        <v>30</v>
      </c>
      <c r="FB4" s="76">
        <v>18</v>
      </c>
      <c r="FC4" s="76">
        <v>41</v>
      </c>
      <c r="FD4" s="76">
        <v>37</v>
      </c>
      <c r="FE4" s="76">
        <v>36</v>
      </c>
      <c r="FF4" s="76">
        <v>32</v>
      </c>
      <c r="FG4" s="76">
        <v>46</v>
      </c>
      <c r="FH4" s="76">
        <v>39</v>
      </c>
      <c r="FI4" s="76">
        <v>8</v>
      </c>
      <c r="FJ4" s="76">
        <v>23</v>
      </c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224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225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226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29</v>
      </c>
      <c r="CT8" s="62">
        <v>17</v>
      </c>
      <c r="CU8" s="62">
        <v>13</v>
      </c>
      <c r="CV8" s="62">
        <v>11</v>
      </c>
      <c r="CW8" s="62">
        <v>27</v>
      </c>
      <c r="CX8" s="62">
        <v>12</v>
      </c>
      <c r="CY8" s="62">
        <v>9</v>
      </c>
      <c r="CZ8" s="62">
        <v>23</v>
      </c>
      <c r="DA8" s="62">
        <v>8</v>
      </c>
      <c r="DB8" s="62">
        <v>8</v>
      </c>
      <c r="DC8" s="62">
        <v>3</v>
      </c>
      <c r="DD8" s="62">
        <v>9</v>
      </c>
      <c r="DE8" s="62">
        <v>25</v>
      </c>
      <c r="DF8" s="62">
        <v>14</v>
      </c>
      <c r="DG8" s="62">
        <v>15</v>
      </c>
      <c r="DH8" s="62">
        <v>33</v>
      </c>
      <c r="DI8" s="62">
        <v>10</v>
      </c>
      <c r="DJ8" s="62">
        <v>55</v>
      </c>
      <c r="DK8" s="62">
        <v>2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58</v>
      </c>
      <c r="DY8" s="76">
        <v>18</v>
      </c>
      <c r="DZ8" s="76">
        <v>10</v>
      </c>
      <c r="EA8" s="76">
        <v>6</v>
      </c>
      <c r="EB8" s="76">
        <v>6</v>
      </c>
      <c r="EC8" s="76">
        <v>19</v>
      </c>
      <c r="ED8" s="76">
        <v>5</v>
      </c>
      <c r="EE8" s="76">
        <v>5</v>
      </c>
      <c r="EF8" s="76">
        <v>13</v>
      </c>
      <c r="EG8" s="76">
        <v>3</v>
      </c>
      <c r="EH8" s="76">
        <v>6</v>
      </c>
      <c r="EI8" s="76">
        <v>1</v>
      </c>
      <c r="EJ8" s="76">
        <v>5</v>
      </c>
      <c r="EK8" s="76">
        <v>16</v>
      </c>
      <c r="EL8" s="76">
        <v>7</v>
      </c>
      <c r="EM8" s="76">
        <v>8</v>
      </c>
      <c r="EN8" s="76">
        <v>21</v>
      </c>
      <c r="EO8" s="76">
        <v>6</v>
      </c>
      <c r="EP8" s="76">
        <v>35</v>
      </c>
      <c r="EQ8" s="76">
        <v>2</v>
      </c>
      <c r="ER8" s="76">
        <v>11</v>
      </c>
      <c r="ES8" s="76">
        <v>7</v>
      </c>
      <c r="ET8" s="76">
        <v>7</v>
      </c>
      <c r="EU8" s="76">
        <v>5</v>
      </c>
      <c r="EV8" s="76">
        <v>8</v>
      </c>
      <c r="EW8" s="76">
        <v>7</v>
      </c>
      <c r="EX8" s="76">
        <v>4</v>
      </c>
      <c r="EY8" s="76">
        <v>10</v>
      </c>
      <c r="EZ8" s="76">
        <v>5</v>
      </c>
      <c r="FA8" s="76">
        <v>2</v>
      </c>
      <c r="FB8" s="76">
        <v>2</v>
      </c>
      <c r="FC8" s="76">
        <v>4</v>
      </c>
      <c r="FD8" s="76">
        <v>9</v>
      </c>
      <c r="FE8" s="76">
        <v>7</v>
      </c>
      <c r="FF8" s="76">
        <v>7</v>
      </c>
      <c r="FG8" s="76">
        <v>12</v>
      </c>
      <c r="FH8" s="76">
        <v>4</v>
      </c>
      <c r="FI8" s="76">
        <v>20</v>
      </c>
      <c r="FJ8" s="76">
        <v>0</v>
      </c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59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30</v>
      </c>
      <c r="CT10" s="62">
        <v>30</v>
      </c>
      <c r="CU10" s="62">
        <v>45</v>
      </c>
      <c r="CV10" s="62">
        <v>39</v>
      </c>
      <c r="CW10" s="62">
        <v>36</v>
      </c>
      <c r="CX10" s="62">
        <v>52</v>
      </c>
      <c r="CY10" s="62">
        <v>40</v>
      </c>
      <c r="CZ10" s="62">
        <v>28</v>
      </c>
      <c r="DA10" s="62">
        <v>40</v>
      </c>
      <c r="DB10" s="62">
        <v>42</v>
      </c>
      <c r="DC10" s="62">
        <v>51</v>
      </c>
      <c r="DD10" s="62">
        <v>29</v>
      </c>
      <c r="DE10" s="62">
        <v>31</v>
      </c>
      <c r="DF10" s="62">
        <v>36</v>
      </c>
      <c r="DG10" s="62">
        <v>40</v>
      </c>
      <c r="DH10" s="62">
        <v>13</v>
      </c>
      <c r="DI10" s="62">
        <v>46</v>
      </c>
      <c r="DJ10" s="62">
        <v>38</v>
      </c>
      <c r="DK10" s="62">
        <v>66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60</v>
      </c>
      <c r="DY10" s="76">
        <v>9</v>
      </c>
      <c r="DZ10" s="76">
        <v>16</v>
      </c>
      <c r="EA10" s="76">
        <v>20</v>
      </c>
      <c r="EB10" s="76">
        <v>25</v>
      </c>
      <c r="EC10" s="76">
        <v>19</v>
      </c>
      <c r="ED10" s="76">
        <v>22</v>
      </c>
      <c r="EE10" s="76">
        <v>17</v>
      </c>
      <c r="EF10" s="76">
        <v>15</v>
      </c>
      <c r="EG10" s="76">
        <v>21</v>
      </c>
      <c r="EH10" s="76">
        <v>19</v>
      </c>
      <c r="EI10" s="76">
        <v>26</v>
      </c>
      <c r="EJ10" s="76">
        <v>15</v>
      </c>
      <c r="EK10" s="76">
        <v>15</v>
      </c>
      <c r="EL10" s="76">
        <v>13</v>
      </c>
      <c r="EM10" s="76">
        <v>20</v>
      </c>
      <c r="EN10" s="76">
        <v>5</v>
      </c>
      <c r="EO10" s="76">
        <v>26</v>
      </c>
      <c r="EP10" s="76">
        <v>18</v>
      </c>
      <c r="EQ10" s="76">
        <v>25</v>
      </c>
      <c r="ER10" s="76">
        <v>21</v>
      </c>
      <c r="ES10" s="76">
        <v>14</v>
      </c>
      <c r="ET10" s="76">
        <v>25</v>
      </c>
      <c r="EU10" s="76">
        <v>14</v>
      </c>
      <c r="EV10" s="76">
        <v>17</v>
      </c>
      <c r="EW10" s="76">
        <v>30</v>
      </c>
      <c r="EX10" s="76">
        <v>23</v>
      </c>
      <c r="EY10" s="76">
        <v>13</v>
      </c>
      <c r="EZ10" s="76">
        <v>19</v>
      </c>
      <c r="FA10" s="76">
        <v>23</v>
      </c>
      <c r="FB10" s="76">
        <v>25</v>
      </c>
      <c r="FC10" s="76">
        <v>14</v>
      </c>
      <c r="FD10" s="76">
        <v>16</v>
      </c>
      <c r="FE10" s="76">
        <v>23</v>
      </c>
      <c r="FF10" s="76">
        <v>20</v>
      </c>
      <c r="FG10" s="76">
        <v>8</v>
      </c>
      <c r="FH10" s="76">
        <v>20</v>
      </c>
      <c r="FI10" s="76">
        <v>20</v>
      </c>
      <c r="FJ10" s="76">
        <v>41</v>
      </c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16</v>
      </c>
      <c r="CT11" s="62">
        <v>8</v>
      </c>
      <c r="CU11" s="62">
        <v>20</v>
      </c>
      <c r="CV11" s="62">
        <v>16</v>
      </c>
      <c r="CW11" s="62">
        <v>11</v>
      </c>
      <c r="CX11" s="62">
        <v>14</v>
      </c>
      <c r="CY11" s="62">
        <v>13</v>
      </c>
      <c r="CZ11" s="62">
        <v>3</v>
      </c>
      <c r="DA11" s="62">
        <v>20</v>
      </c>
      <c r="DB11" s="62">
        <v>25</v>
      </c>
      <c r="DC11" s="62">
        <v>45</v>
      </c>
      <c r="DD11" s="62">
        <v>28</v>
      </c>
      <c r="DE11" s="62">
        <v>10</v>
      </c>
      <c r="DF11" s="62">
        <v>11</v>
      </c>
      <c r="DG11" s="62">
        <v>20</v>
      </c>
      <c r="DH11" s="62">
        <v>6</v>
      </c>
      <c r="DI11" s="62">
        <v>7</v>
      </c>
      <c r="DJ11" s="62">
        <v>35</v>
      </c>
      <c r="DK11" s="62">
        <v>11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61</v>
      </c>
      <c r="DY11" s="76">
        <v>4</v>
      </c>
      <c r="DZ11" s="76">
        <v>3</v>
      </c>
      <c r="EA11" s="76">
        <v>7</v>
      </c>
      <c r="EB11" s="76">
        <v>8</v>
      </c>
      <c r="EC11" s="76">
        <v>3</v>
      </c>
      <c r="ED11" s="76">
        <v>6</v>
      </c>
      <c r="EE11" s="76">
        <v>4</v>
      </c>
      <c r="EF11" s="76">
        <v>2</v>
      </c>
      <c r="EG11" s="76">
        <v>12</v>
      </c>
      <c r="EH11" s="76">
        <v>11</v>
      </c>
      <c r="EI11" s="76">
        <v>21</v>
      </c>
      <c r="EJ11" s="76">
        <v>18</v>
      </c>
      <c r="EK11" s="76">
        <v>3</v>
      </c>
      <c r="EL11" s="76">
        <v>8</v>
      </c>
      <c r="EM11" s="76">
        <v>10</v>
      </c>
      <c r="EN11" s="76">
        <v>3</v>
      </c>
      <c r="EO11" s="76">
        <v>1</v>
      </c>
      <c r="EP11" s="76">
        <v>13</v>
      </c>
      <c r="EQ11" s="76">
        <v>5</v>
      </c>
      <c r="ER11" s="76">
        <v>12</v>
      </c>
      <c r="ES11" s="76">
        <v>5</v>
      </c>
      <c r="ET11" s="76">
        <v>13</v>
      </c>
      <c r="EU11" s="76">
        <v>8</v>
      </c>
      <c r="EV11" s="76">
        <v>8</v>
      </c>
      <c r="EW11" s="76">
        <v>8</v>
      </c>
      <c r="EX11" s="76">
        <v>9</v>
      </c>
      <c r="EY11" s="76">
        <v>1</v>
      </c>
      <c r="EZ11" s="76">
        <v>8</v>
      </c>
      <c r="FA11" s="76">
        <v>14</v>
      </c>
      <c r="FB11" s="76">
        <v>24</v>
      </c>
      <c r="FC11" s="76">
        <v>10</v>
      </c>
      <c r="FD11" s="76">
        <v>7</v>
      </c>
      <c r="FE11" s="76">
        <v>3</v>
      </c>
      <c r="FF11" s="76">
        <v>10</v>
      </c>
      <c r="FG11" s="76">
        <v>3</v>
      </c>
      <c r="FH11" s="76">
        <v>6</v>
      </c>
      <c r="FI11" s="76">
        <v>22</v>
      </c>
      <c r="FJ11" s="76">
        <v>6</v>
      </c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9</v>
      </c>
      <c r="CT12" s="62">
        <v>6</v>
      </c>
      <c r="CU12" s="62">
        <v>17</v>
      </c>
      <c r="CV12" s="62">
        <v>12</v>
      </c>
      <c r="CW12" s="62">
        <v>8</v>
      </c>
      <c r="CX12" s="62">
        <v>12</v>
      </c>
      <c r="CY12" s="62">
        <v>11</v>
      </c>
      <c r="CZ12" s="62">
        <v>3</v>
      </c>
      <c r="DA12" s="62">
        <v>14</v>
      </c>
      <c r="DB12" s="62">
        <v>20</v>
      </c>
      <c r="DC12" s="62">
        <v>33</v>
      </c>
      <c r="DD12" s="62">
        <v>22</v>
      </c>
      <c r="DE12" s="62">
        <v>7</v>
      </c>
      <c r="DF12" s="62">
        <v>9</v>
      </c>
      <c r="DG12" s="62">
        <v>18</v>
      </c>
      <c r="DH12" s="62">
        <v>5</v>
      </c>
      <c r="DI12" s="62">
        <v>6</v>
      </c>
      <c r="DJ12" s="62">
        <v>18</v>
      </c>
      <c r="DK12" s="62">
        <v>10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102</v>
      </c>
      <c r="DY12" s="76">
        <v>2</v>
      </c>
      <c r="DZ12" s="76">
        <v>3</v>
      </c>
      <c r="EA12" s="76">
        <v>7</v>
      </c>
      <c r="EB12" s="76">
        <v>6</v>
      </c>
      <c r="EC12" s="76">
        <v>3</v>
      </c>
      <c r="ED12" s="76">
        <v>6</v>
      </c>
      <c r="EE12" s="76">
        <v>4</v>
      </c>
      <c r="EF12" s="76">
        <v>2</v>
      </c>
      <c r="EG12" s="76">
        <v>8</v>
      </c>
      <c r="EH12" s="76">
        <v>10</v>
      </c>
      <c r="EI12" s="76">
        <v>17</v>
      </c>
      <c r="EJ12" s="76">
        <v>13</v>
      </c>
      <c r="EK12" s="76">
        <v>2</v>
      </c>
      <c r="EL12" s="76">
        <v>6</v>
      </c>
      <c r="EM12" s="76">
        <v>9</v>
      </c>
      <c r="EN12" s="76">
        <v>3</v>
      </c>
      <c r="EO12" s="76">
        <v>1</v>
      </c>
      <c r="EP12" s="76">
        <v>9</v>
      </c>
      <c r="EQ12" s="76">
        <v>5</v>
      </c>
      <c r="ER12" s="76">
        <v>7</v>
      </c>
      <c r="ES12" s="76">
        <v>3</v>
      </c>
      <c r="ET12" s="76">
        <v>10</v>
      </c>
      <c r="EU12" s="76">
        <v>6</v>
      </c>
      <c r="EV12" s="76">
        <v>5</v>
      </c>
      <c r="EW12" s="76">
        <v>6</v>
      </c>
      <c r="EX12" s="76">
        <v>7</v>
      </c>
      <c r="EY12" s="76">
        <v>1</v>
      </c>
      <c r="EZ12" s="76">
        <v>6</v>
      </c>
      <c r="FA12" s="76">
        <v>10</v>
      </c>
      <c r="FB12" s="76">
        <v>16</v>
      </c>
      <c r="FC12" s="76">
        <v>9</v>
      </c>
      <c r="FD12" s="76">
        <v>5</v>
      </c>
      <c r="FE12" s="76">
        <v>3</v>
      </c>
      <c r="FF12" s="76">
        <v>9</v>
      </c>
      <c r="FG12" s="76">
        <v>2</v>
      </c>
      <c r="FH12" s="76">
        <v>5</v>
      </c>
      <c r="FI12" s="76">
        <v>9</v>
      </c>
      <c r="FJ12" s="76">
        <v>5</v>
      </c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6</v>
      </c>
      <c r="CT13" s="62">
        <v>2</v>
      </c>
      <c r="CU13" s="62">
        <v>2</v>
      </c>
      <c r="CV13" s="62">
        <v>3</v>
      </c>
      <c r="CW13" s="62">
        <v>3</v>
      </c>
      <c r="CX13" s="62">
        <v>2</v>
      </c>
      <c r="CY13" s="62">
        <v>2</v>
      </c>
      <c r="CZ13" s="62">
        <v>0</v>
      </c>
      <c r="DA13" s="62">
        <v>6</v>
      </c>
      <c r="DB13" s="62">
        <v>4</v>
      </c>
      <c r="DC13" s="62">
        <v>10</v>
      </c>
      <c r="DD13" s="62">
        <v>6</v>
      </c>
      <c r="DE13" s="62">
        <v>3</v>
      </c>
      <c r="DF13" s="62">
        <v>1</v>
      </c>
      <c r="DG13" s="62">
        <v>2</v>
      </c>
      <c r="DH13" s="62">
        <v>1</v>
      </c>
      <c r="DI13" s="62">
        <v>1</v>
      </c>
      <c r="DJ13" s="62">
        <v>16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103</v>
      </c>
      <c r="DY13" s="76">
        <v>1</v>
      </c>
      <c r="DZ13" s="76">
        <v>0</v>
      </c>
      <c r="EA13" s="76">
        <v>0</v>
      </c>
      <c r="EB13" s="76">
        <v>1</v>
      </c>
      <c r="EC13" s="76">
        <v>0</v>
      </c>
      <c r="ED13" s="76">
        <v>0</v>
      </c>
      <c r="EE13" s="76">
        <v>0</v>
      </c>
      <c r="EF13" s="76">
        <v>0</v>
      </c>
      <c r="EG13" s="76">
        <v>4</v>
      </c>
      <c r="EH13" s="76">
        <v>1</v>
      </c>
      <c r="EI13" s="76">
        <v>3</v>
      </c>
      <c r="EJ13" s="76">
        <v>5</v>
      </c>
      <c r="EK13" s="76">
        <v>1</v>
      </c>
      <c r="EL13" s="76">
        <v>1</v>
      </c>
      <c r="EM13" s="76">
        <v>1</v>
      </c>
      <c r="EN13" s="76">
        <v>0</v>
      </c>
      <c r="EO13" s="76">
        <v>0</v>
      </c>
      <c r="EP13" s="76">
        <v>4</v>
      </c>
      <c r="EQ13" s="76">
        <v>0</v>
      </c>
      <c r="ER13" s="76">
        <v>5</v>
      </c>
      <c r="ES13" s="76">
        <v>2</v>
      </c>
      <c r="ET13" s="76">
        <v>2</v>
      </c>
      <c r="EU13" s="76">
        <v>2</v>
      </c>
      <c r="EV13" s="76">
        <v>3</v>
      </c>
      <c r="EW13" s="76">
        <v>2</v>
      </c>
      <c r="EX13" s="76">
        <v>2</v>
      </c>
      <c r="EY13" s="76">
        <v>0</v>
      </c>
      <c r="EZ13" s="76">
        <v>2</v>
      </c>
      <c r="FA13" s="76">
        <v>3</v>
      </c>
      <c r="FB13" s="76">
        <v>7</v>
      </c>
      <c r="FC13" s="76">
        <v>1</v>
      </c>
      <c r="FD13" s="76">
        <v>2</v>
      </c>
      <c r="FE13" s="76">
        <v>0</v>
      </c>
      <c r="FF13" s="76">
        <v>1</v>
      </c>
      <c r="FG13" s="76">
        <v>1</v>
      </c>
      <c r="FH13" s="76">
        <v>1</v>
      </c>
      <c r="FI13" s="76">
        <v>12</v>
      </c>
      <c r="FJ13" s="76">
        <v>0</v>
      </c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  <c r="DC14" s="62">
        <v>2</v>
      </c>
      <c r="DD14" s="62">
        <v>0</v>
      </c>
      <c r="DE14" s="62">
        <v>0</v>
      </c>
      <c r="DF14" s="62">
        <v>0</v>
      </c>
      <c r="DG14" s="62">
        <v>0</v>
      </c>
      <c r="DH14" s="62">
        <v>0</v>
      </c>
      <c r="DI14" s="62">
        <v>0</v>
      </c>
      <c r="DJ14" s="62">
        <v>5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927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1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1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1</v>
      </c>
      <c r="FC14" s="76">
        <v>0</v>
      </c>
      <c r="FD14" s="76">
        <v>0</v>
      </c>
      <c r="FE14" s="76">
        <v>0</v>
      </c>
      <c r="FF14" s="76">
        <v>0</v>
      </c>
      <c r="FG14" s="76">
        <v>0</v>
      </c>
      <c r="FH14" s="76">
        <v>0</v>
      </c>
      <c r="FI14" s="76">
        <v>4</v>
      </c>
      <c r="FJ14" s="76">
        <v>0</v>
      </c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0</v>
      </c>
      <c r="DB15" s="62">
        <v>0</v>
      </c>
      <c r="DC15" s="62">
        <v>2</v>
      </c>
      <c r="DD15" s="62">
        <v>0</v>
      </c>
      <c r="DE15" s="62">
        <v>1</v>
      </c>
      <c r="DF15" s="62">
        <v>0</v>
      </c>
      <c r="DG15" s="62">
        <v>0</v>
      </c>
      <c r="DH15" s="62">
        <v>0</v>
      </c>
      <c r="DI15" s="62">
        <v>0</v>
      </c>
      <c r="DJ15" s="62">
        <v>2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770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1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2</v>
      </c>
      <c r="FC15" s="76">
        <v>0</v>
      </c>
      <c r="FD15" s="76">
        <v>1</v>
      </c>
      <c r="FE15" s="76">
        <v>0</v>
      </c>
      <c r="FF15" s="76">
        <v>0</v>
      </c>
      <c r="FG15" s="76">
        <v>0</v>
      </c>
      <c r="FH15" s="76">
        <v>0</v>
      </c>
      <c r="FI15" s="76">
        <v>1</v>
      </c>
      <c r="FJ15" s="76">
        <v>0</v>
      </c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1</v>
      </c>
      <c r="CT16" s="62">
        <v>0</v>
      </c>
      <c r="CU16" s="62">
        <v>1</v>
      </c>
      <c r="CV16" s="62">
        <v>1</v>
      </c>
      <c r="CW16" s="62">
        <v>0</v>
      </c>
      <c r="CX16" s="62">
        <v>0</v>
      </c>
      <c r="CY16" s="62">
        <v>0</v>
      </c>
      <c r="CZ16" s="62">
        <v>0</v>
      </c>
      <c r="DA16" s="62">
        <v>0</v>
      </c>
      <c r="DB16" s="62">
        <v>1</v>
      </c>
      <c r="DC16" s="62">
        <v>2</v>
      </c>
      <c r="DD16" s="62">
        <v>0</v>
      </c>
      <c r="DE16" s="62">
        <v>0</v>
      </c>
      <c r="DF16" s="62">
        <v>1</v>
      </c>
      <c r="DG16" s="62">
        <v>0</v>
      </c>
      <c r="DH16" s="62">
        <v>0</v>
      </c>
      <c r="DI16" s="62">
        <v>0</v>
      </c>
      <c r="DJ16" s="62">
        <v>1</v>
      </c>
      <c r="DK16" s="62">
        <v>1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104</v>
      </c>
      <c r="DY16" s="76">
        <v>1</v>
      </c>
      <c r="DZ16" s="76">
        <v>0</v>
      </c>
      <c r="EA16" s="76">
        <v>0</v>
      </c>
      <c r="EB16" s="76">
        <v>1</v>
      </c>
      <c r="EC16" s="76">
        <v>0</v>
      </c>
      <c r="ED16" s="76">
        <v>0</v>
      </c>
      <c r="EE16" s="76">
        <v>0</v>
      </c>
      <c r="EF16" s="76">
        <v>0</v>
      </c>
      <c r="EG16" s="76">
        <v>0</v>
      </c>
      <c r="EH16" s="76">
        <v>0</v>
      </c>
      <c r="EI16" s="76">
        <v>1</v>
      </c>
      <c r="EJ16" s="76">
        <v>0</v>
      </c>
      <c r="EK16" s="76">
        <v>0</v>
      </c>
      <c r="EL16" s="76">
        <v>1</v>
      </c>
      <c r="EM16" s="76">
        <v>0</v>
      </c>
      <c r="EN16" s="76">
        <v>0</v>
      </c>
      <c r="EO16" s="76">
        <v>0</v>
      </c>
      <c r="EP16" s="76">
        <v>0</v>
      </c>
      <c r="EQ16" s="76">
        <v>0</v>
      </c>
      <c r="ER16" s="76">
        <v>0</v>
      </c>
      <c r="ES16" s="76">
        <v>0</v>
      </c>
      <c r="ET16" s="76">
        <v>1</v>
      </c>
      <c r="EU16" s="76">
        <v>0</v>
      </c>
      <c r="EV16" s="76">
        <v>0</v>
      </c>
      <c r="EW16" s="76">
        <v>0</v>
      </c>
      <c r="EX16" s="76">
        <v>0</v>
      </c>
      <c r="EY16" s="76">
        <v>0</v>
      </c>
      <c r="EZ16" s="76">
        <v>0</v>
      </c>
      <c r="FA16" s="76">
        <v>1</v>
      </c>
      <c r="FB16" s="76">
        <v>1</v>
      </c>
      <c r="FC16" s="76">
        <v>0</v>
      </c>
      <c r="FD16" s="76">
        <v>0</v>
      </c>
      <c r="FE16" s="76">
        <v>0</v>
      </c>
      <c r="FF16" s="76">
        <v>0</v>
      </c>
      <c r="FG16" s="76">
        <v>0</v>
      </c>
      <c r="FH16" s="76">
        <v>0</v>
      </c>
      <c r="FI16" s="76">
        <v>1</v>
      </c>
      <c r="FJ16" s="76">
        <v>1</v>
      </c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928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929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59</v>
      </c>
      <c r="CT19" s="62">
        <v>76</v>
      </c>
      <c r="CU19" s="62">
        <v>61</v>
      </c>
      <c r="CV19" s="62">
        <v>69</v>
      </c>
      <c r="CW19" s="62">
        <v>61</v>
      </c>
      <c r="CX19" s="62">
        <v>57</v>
      </c>
      <c r="CY19" s="62">
        <v>72</v>
      </c>
      <c r="CZ19" s="62">
        <v>80</v>
      </c>
      <c r="DA19" s="62">
        <v>65</v>
      </c>
      <c r="DB19" s="62">
        <v>61</v>
      </c>
      <c r="DC19" s="62">
        <v>38</v>
      </c>
      <c r="DD19" s="62">
        <v>67</v>
      </c>
      <c r="DE19" s="62">
        <v>68</v>
      </c>
      <c r="DF19" s="62">
        <v>72</v>
      </c>
      <c r="DG19" s="62">
        <v>59</v>
      </c>
      <c r="DH19" s="62">
        <v>77</v>
      </c>
      <c r="DI19" s="62">
        <v>71</v>
      </c>
      <c r="DJ19" s="62">
        <v>12</v>
      </c>
      <c r="DK19" s="62">
        <v>57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89</v>
      </c>
      <c r="DY19" s="76">
        <v>37</v>
      </c>
      <c r="DZ19" s="76">
        <v>38</v>
      </c>
      <c r="EA19" s="76">
        <v>36</v>
      </c>
      <c r="EB19" s="76">
        <v>30</v>
      </c>
      <c r="EC19" s="76">
        <v>27</v>
      </c>
      <c r="ED19" s="76">
        <v>35</v>
      </c>
      <c r="EE19" s="76">
        <v>41</v>
      </c>
      <c r="EF19" s="76">
        <v>38</v>
      </c>
      <c r="EG19" s="76">
        <v>30</v>
      </c>
      <c r="EH19" s="76">
        <v>33</v>
      </c>
      <c r="EI19" s="76">
        <v>21</v>
      </c>
      <c r="EJ19" s="76">
        <v>30</v>
      </c>
      <c r="EK19" s="76">
        <v>34</v>
      </c>
      <c r="EL19" s="76">
        <v>41</v>
      </c>
      <c r="EM19" s="76">
        <v>29</v>
      </c>
      <c r="EN19" s="76">
        <v>37</v>
      </c>
      <c r="EO19" s="76">
        <v>35</v>
      </c>
      <c r="EP19" s="76">
        <v>5</v>
      </c>
      <c r="EQ19" s="76">
        <v>36</v>
      </c>
      <c r="ER19" s="76">
        <v>22</v>
      </c>
      <c r="ES19" s="76">
        <v>38</v>
      </c>
      <c r="ET19" s="76">
        <v>25</v>
      </c>
      <c r="EU19" s="76">
        <v>39</v>
      </c>
      <c r="EV19" s="76">
        <v>34</v>
      </c>
      <c r="EW19" s="76">
        <v>22</v>
      </c>
      <c r="EX19" s="76">
        <v>31</v>
      </c>
      <c r="EY19" s="76">
        <v>42</v>
      </c>
      <c r="EZ19" s="76">
        <v>35</v>
      </c>
      <c r="FA19" s="76">
        <v>28</v>
      </c>
      <c r="FB19" s="76">
        <v>17</v>
      </c>
      <c r="FC19" s="76">
        <v>37</v>
      </c>
      <c r="FD19" s="76">
        <v>34</v>
      </c>
      <c r="FE19" s="76">
        <v>31</v>
      </c>
      <c r="FF19" s="76">
        <v>30</v>
      </c>
      <c r="FG19" s="76">
        <v>40</v>
      </c>
      <c r="FH19" s="76">
        <v>36</v>
      </c>
      <c r="FI19" s="76">
        <v>7</v>
      </c>
      <c r="FJ19" s="76">
        <v>21</v>
      </c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26</v>
      </c>
      <c r="CT20" s="62">
        <v>17</v>
      </c>
      <c r="CU20" s="62">
        <v>12</v>
      </c>
      <c r="CV20" s="62">
        <v>10</v>
      </c>
      <c r="CW20" s="62">
        <v>27</v>
      </c>
      <c r="CX20" s="62">
        <v>12</v>
      </c>
      <c r="CY20" s="62">
        <v>8</v>
      </c>
      <c r="CZ20" s="62">
        <v>21</v>
      </c>
      <c r="DA20" s="62">
        <v>8</v>
      </c>
      <c r="DB20" s="62">
        <v>8</v>
      </c>
      <c r="DC20" s="62">
        <v>3</v>
      </c>
      <c r="DD20" s="62">
        <v>9</v>
      </c>
      <c r="DE20" s="62">
        <v>23</v>
      </c>
      <c r="DF20" s="62">
        <v>14</v>
      </c>
      <c r="DG20" s="62">
        <v>15</v>
      </c>
      <c r="DH20" s="62">
        <v>32</v>
      </c>
      <c r="DI20" s="62">
        <v>10</v>
      </c>
      <c r="DJ20" s="62">
        <v>48</v>
      </c>
      <c r="DK20" s="62">
        <v>2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90</v>
      </c>
      <c r="DY20" s="76">
        <v>16</v>
      </c>
      <c r="DZ20" s="76">
        <v>10</v>
      </c>
      <c r="EA20" s="76">
        <v>6</v>
      </c>
      <c r="EB20" s="76">
        <v>5</v>
      </c>
      <c r="EC20" s="76">
        <v>19</v>
      </c>
      <c r="ED20" s="76">
        <v>5</v>
      </c>
      <c r="EE20" s="76">
        <v>4</v>
      </c>
      <c r="EF20" s="76">
        <v>12</v>
      </c>
      <c r="EG20" s="76">
        <v>3</v>
      </c>
      <c r="EH20" s="76">
        <v>6</v>
      </c>
      <c r="EI20" s="76">
        <v>1</v>
      </c>
      <c r="EJ20" s="76">
        <v>5</v>
      </c>
      <c r="EK20" s="76">
        <v>14</v>
      </c>
      <c r="EL20" s="76">
        <v>7</v>
      </c>
      <c r="EM20" s="76">
        <v>8</v>
      </c>
      <c r="EN20" s="76">
        <v>20</v>
      </c>
      <c r="EO20" s="76">
        <v>6</v>
      </c>
      <c r="EP20" s="76">
        <v>29</v>
      </c>
      <c r="EQ20" s="76">
        <v>2</v>
      </c>
      <c r="ER20" s="76">
        <v>10</v>
      </c>
      <c r="ES20" s="76">
        <v>7</v>
      </c>
      <c r="ET20" s="76">
        <v>6</v>
      </c>
      <c r="EU20" s="76">
        <v>5</v>
      </c>
      <c r="EV20" s="76">
        <v>8</v>
      </c>
      <c r="EW20" s="76">
        <v>7</v>
      </c>
      <c r="EX20" s="76">
        <v>4</v>
      </c>
      <c r="EY20" s="76">
        <v>9</v>
      </c>
      <c r="EZ20" s="76">
        <v>5</v>
      </c>
      <c r="FA20" s="76">
        <v>2</v>
      </c>
      <c r="FB20" s="76">
        <v>2</v>
      </c>
      <c r="FC20" s="76">
        <v>4</v>
      </c>
      <c r="FD20" s="76">
        <v>9</v>
      </c>
      <c r="FE20" s="76">
        <v>7</v>
      </c>
      <c r="FF20" s="76">
        <v>7</v>
      </c>
      <c r="FG20" s="76">
        <v>12</v>
      </c>
      <c r="FH20" s="76">
        <v>4</v>
      </c>
      <c r="FI20" s="76">
        <v>19</v>
      </c>
      <c r="FJ20" s="76">
        <v>0</v>
      </c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91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26</v>
      </c>
      <c r="CT22" s="62">
        <v>24</v>
      </c>
      <c r="CU22" s="62">
        <v>37</v>
      </c>
      <c r="CV22" s="62">
        <v>33</v>
      </c>
      <c r="CW22" s="62">
        <v>30</v>
      </c>
      <c r="CX22" s="62">
        <v>44</v>
      </c>
      <c r="CY22" s="62">
        <v>35</v>
      </c>
      <c r="CZ22" s="62">
        <v>20</v>
      </c>
      <c r="DA22" s="62">
        <v>38</v>
      </c>
      <c r="DB22" s="62">
        <v>35</v>
      </c>
      <c r="DC22" s="62">
        <v>49</v>
      </c>
      <c r="DD22" s="62">
        <v>25</v>
      </c>
      <c r="DE22" s="62">
        <v>24</v>
      </c>
      <c r="DF22" s="62">
        <v>31</v>
      </c>
      <c r="DG22" s="62">
        <v>33</v>
      </c>
      <c r="DH22" s="62">
        <v>8</v>
      </c>
      <c r="DI22" s="62">
        <v>37</v>
      </c>
      <c r="DJ22" s="62">
        <v>32</v>
      </c>
      <c r="DK22" s="62">
        <v>56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92</v>
      </c>
      <c r="DY22" s="76">
        <v>6</v>
      </c>
      <c r="DZ22" s="76">
        <v>12</v>
      </c>
      <c r="EA22" s="76">
        <v>17</v>
      </c>
      <c r="EB22" s="76">
        <v>21</v>
      </c>
      <c r="EC22" s="76">
        <v>15</v>
      </c>
      <c r="ED22" s="76">
        <v>18</v>
      </c>
      <c r="EE22" s="76">
        <v>14</v>
      </c>
      <c r="EF22" s="76">
        <v>10</v>
      </c>
      <c r="EG22" s="76">
        <v>20</v>
      </c>
      <c r="EH22" s="76">
        <v>14</v>
      </c>
      <c r="EI22" s="76">
        <v>25</v>
      </c>
      <c r="EJ22" s="76">
        <v>12</v>
      </c>
      <c r="EK22" s="76">
        <v>11</v>
      </c>
      <c r="EL22" s="76">
        <v>9</v>
      </c>
      <c r="EM22" s="76">
        <v>17</v>
      </c>
      <c r="EN22" s="76">
        <v>2</v>
      </c>
      <c r="EO22" s="76">
        <v>20</v>
      </c>
      <c r="EP22" s="76">
        <v>17</v>
      </c>
      <c r="EQ22" s="76">
        <v>20</v>
      </c>
      <c r="ER22" s="76">
        <v>20</v>
      </c>
      <c r="ES22" s="76">
        <v>12</v>
      </c>
      <c r="ET22" s="76">
        <v>20</v>
      </c>
      <c r="EU22" s="76">
        <v>12</v>
      </c>
      <c r="EV22" s="76">
        <v>15</v>
      </c>
      <c r="EW22" s="76">
        <v>26</v>
      </c>
      <c r="EX22" s="76">
        <v>21</v>
      </c>
      <c r="EY22" s="76">
        <v>10</v>
      </c>
      <c r="EZ22" s="76">
        <v>18</v>
      </c>
      <c r="FA22" s="76">
        <v>21</v>
      </c>
      <c r="FB22" s="76">
        <v>24</v>
      </c>
      <c r="FC22" s="76">
        <v>13</v>
      </c>
      <c r="FD22" s="76">
        <v>13</v>
      </c>
      <c r="FE22" s="76">
        <v>22</v>
      </c>
      <c r="FF22" s="76">
        <v>16</v>
      </c>
      <c r="FG22" s="76">
        <v>6</v>
      </c>
      <c r="FH22" s="76">
        <v>17</v>
      </c>
      <c r="FI22" s="76">
        <v>15</v>
      </c>
      <c r="FJ22" s="76">
        <v>36</v>
      </c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7</v>
      </c>
      <c r="CT23" s="62">
        <v>5</v>
      </c>
      <c r="CU23" s="62">
        <v>12</v>
      </c>
      <c r="CV23" s="62">
        <v>10</v>
      </c>
      <c r="CW23" s="62">
        <v>5</v>
      </c>
      <c r="CX23" s="62">
        <v>8</v>
      </c>
      <c r="CY23" s="62">
        <v>8</v>
      </c>
      <c r="CZ23" s="62">
        <v>2</v>
      </c>
      <c r="DA23" s="62">
        <v>9</v>
      </c>
      <c r="DB23" s="62">
        <v>16</v>
      </c>
      <c r="DC23" s="62">
        <v>27</v>
      </c>
      <c r="DD23" s="62">
        <v>19</v>
      </c>
      <c r="DE23" s="62">
        <v>6</v>
      </c>
      <c r="DF23" s="62">
        <v>4</v>
      </c>
      <c r="DG23" s="62">
        <v>14</v>
      </c>
      <c r="DH23" s="62">
        <v>5</v>
      </c>
      <c r="DI23" s="62">
        <v>5</v>
      </c>
      <c r="DJ23" s="62">
        <v>17</v>
      </c>
      <c r="DK23" s="62">
        <v>7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106</v>
      </c>
      <c r="DY23" s="76">
        <v>2</v>
      </c>
      <c r="DZ23" s="76">
        <v>2</v>
      </c>
      <c r="EA23" s="76">
        <v>3</v>
      </c>
      <c r="EB23" s="76">
        <v>5</v>
      </c>
      <c r="EC23" s="76">
        <v>1</v>
      </c>
      <c r="ED23" s="76">
        <v>4</v>
      </c>
      <c r="EE23" s="76">
        <v>3</v>
      </c>
      <c r="EF23" s="76">
        <v>2</v>
      </c>
      <c r="EG23" s="76">
        <v>6</v>
      </c>
      <c r="EH23" s="76">
        <v>8</v>
      </c>
      <c r="EI23" s="76">
        <v>13</v>
      </c>
      <c r="EJ23" s="76">
        <v>12</v>
      </c>
      <c r="EK23" s="76">
        <v>2</v>
      </c>
      <c r="EL23" s="76">
        <v>3</v>
      </c>
      <c r="EM23" s="76">
        <v>7</v>
      </c>
      <c r="EN23" s="76">
        <v>3</v>
      </c>
      <c r="EO23" s="76">
        <v>1</v>
      </c>
      <c r="EP23" s="76">
        <v>8</v>
      </c>
      <c r="EQ23" s="76">
        <v>4</v>
      </c>
      <c r="ER23" s="76">
        <v>5</v>
      </c>
      <c r="ES23" s="76">
        <v>3</v>
      </c>
      <c r="ET23" s="76">
        <v>9</v>
      </c>
      <c r="EU23" s="76">
        <v>5</v>
      </c>
      <c r="EV23" s="76">
        <v>4</v>
      </c>
      <c r="EW23" s="76">
        <v>4</v>
      </c>
      <c r="EX23" s="76">
        <v>5</v>
      </c>
      <c r="EY23" s="76">
        <v>0</v>
      </c>
      <c r="EZ23" s="76">
        <v>3</v>
      </c>
      <c r="FA23" s="76">
        <v>8</v>
      </c>
      <c r="FB23" s="76">
        <v>14</v>
      </c>
      <c r="FC23" s="76">
        <v>7</v>
      </c>
      <c r="FD23" s="76">
        <v>4</v>
      </c>
      <c r="FE23" s="76">
        <v>1</v>
      </c>
      <c r="FF23" s="76">
        <v>7</v>
      </c>
      <c r="FG23" s="76">
        <v>2</v>
      </c>
      <c r="FH23" s="76">
        <v>4</v>
      </c>
      <c r="FI23" s="76">
        <v>9</v>
      </c>
      <c r="FJ23" s="76">
        <v>3</v>
      </c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12</v>
      </c>
      <c r="CT24" s="62">
        <v>6</v>
      </c>
      <c r="CU24" s="62">
        <v>13</v>
      </c>
      <c r="CV24" s="62">
        <v>11</v>
      </c>
      <c r="CW24" s="62">
        <v>5</v>
      </c>
      <c r="CX24" s="62">
        <v>10</v>
      </c>
      <c r="CY24" s="62">
        <v>8</v>
      </c>
      <c r="CZ24" s="62">
        <v>2</v>
      </c>
      <c r="DA24" s="62">
        <v>12</v>
      </c>
      <c r="DB24" s="62">
        <v>19</v>
      </c>
      <c r="DC24" s="62">
        <v>33</v>
      </c>
      <c r="DD24" s="62">
        <v>22</v>
      </c>
      <c r="DE24" s="62">
        <v>8</v>
      </c>
      <c r="DF24" s="62">
        <v>6</v>
      </c>
      <c r="DG24" s="62">
        <v>16</v>
      </c>
      <c r="DH24" s="62">
        <v>6</v>
      </c>
      <c r="DI24" s="62">
        <v>5</v>
      </c>
      <c r="DJ24" s="62">
        <v>31</v>
      </c>
      <c r="DK24" s="62">
        <v>8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93</v>
      </c>
      <c r="DY24" s="76">
        <v>3</v>
      </c>
      <c r="DZ24" s="76">
        <v>2</v>
      </c>
      <c r="EA24" s="76">
        <v>3</v>
      </c>
      <c r="EB24" s="76">
        <v>6</v>
      </c>
      <c r="EC24" s="76">
        <v>1</v>
      </c>
      <c r="ED24" s="76">
        <v>4</v>
      </c>
      <c r="EE24" s="76">
        <v>3</v>
      </c>
      <c r="EF24" s="76">
        <v>2</v>
      </c>
      <c r="EG24" s="76">
        <v>9</v>
      </c>
      <c r="EH24" s="76">
        <v>9</v>
      </c>
      <c r="EI24" s="76">
        <v>15</v>
      </c>
      <c r="EJ24" s="76">
        <v>15</v>
      </c>
      <c r="EK24" s="76">
        <v>3</v>
      </c>
      <c r="EL24" s="76">
        <v>5</v>
      </c>
      <c r="EM24" s="76">
        <v>8</v>
      </c>
      <c r="EN24" s="76">
        <v>3</v>
      </c>
      <c r="EO24" s="76">
        <v>1</v>
      </c>
      <c r="EP24" s="76">
        <v>11</v>
      </c>
      <c r="EQ24" s="76">
        <v>4</v>
      </c>
      <c r="ER24" s="76">
        <v>9</v>
      </c>
      <c r="ES24" s="76">
        <v>4</v>
      </c>
      <c r="ET24" s="76">
        <v>10</v>
      </c>
      <c r="EU24" s="76">
        <v>5</v>
      </c>
      <c r="EV24" s="76">
        <v>4</v>
      </c>
      <c r="EW24" s="76">
        <v>6</v>
      </c>
      <c r="EX24" s="76">
        <v>5</v>
      </c>
      <c r="EY24" s="76">
        <v>0</v>
      </c>
      <c r="EZ24" s="76">
        <v>3</v>
      </c>
      <c r="FA24" s="76">
        <v>10</v>
      </c>
      <c r="FB24" s="76">
        <v>18</v>
      </c>
      <c r="FC24" s="76">
        <v>7</v>
      </c>
      <c r="FD24" s="76">
        <v>5</v>
      </c>
      <c r="FE24" s="76">
        <v>1</v>
      </c>
      <c r="FF24" s="76">
        <v>8</v>
      </c>
      <c r="FG24" s="76">
        <v>3</v>
      </c>
      <c r="FH24" s="76">
        <v>4</v>
      </c>
      <c r="FI24" s="76">
        <v>20</v>
      </c>
      <c r="FJ24" s="76">
        <v>4</v>
      </c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4</v>
      </c>
      <c r="CT25" s="62">
        <v>1</v>
      </c>
      <c r="CU25" s="62">
        <v>1</v>
      </c>
      <c r="CV25" s="62">
        <v>1</v>
      </c>
      <c r="CW25" s="62">
        <v>0</v>
      </c>
      <c r="CX25" s="62">
        <v>2</v>
      </c>
      <c r="CY25" s="62">
        <v>0</v>
      </c>
      <c r="CZ25" s="62">
        <v>0</v>
      </c>
      <c r="DA25" s="62">
        <v>3</v>
      </c>
      <c r="DB25" s="62">
        <v>3</v>
      </c>
      <c r="DC25" s="62">
        <v>5</v>
      </c>
      <c r="DD25" s="62">
        <v>3</v>
      </c>
      <c r="DE25" s="62">
        <v>2</v>
      </c>
      <c r="DF25" s="62">
        <v>1</v>
      </c>
      <c r="DG25" s="62">
        <v>2</v>
      </c>
      <c r="DH25" s="62">
        <v>1</v>
      </c>
      <c r="DI25" s="62">
        <v>0</v>
      </c>
      <c r="DJ25" s="62">
        <v>13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105</v>
      </c>
      <c r="DY25" s="76">
        <v>0</v>
      </c>
      <c r="DZ25" s="76">
        <v>0</v>
      </c>
      <c r="EA25" s="76">
        <v>0</v>
      </c>
      <c r="EB25" s="76">
        <v>1</v>
      </c>
      <c r="EC25" s="76">
        <v>0</v>
      </c>
      <c r="ED25" s="76">
        <v>0</v>
      </c>
      <c r="EE25" s="76">
        <v>0</v>
      </c>
      <c r="EF25" s="76">
        <v>0</v>
      </c>
      <c r="EG25" s="76">
        <v>3</v>
      </c>
      <c r="EH25" s="76">
        <v>1</v>
      </c>
      <c r="EI25" s="76">
        <v>1</v>
      </c>
      <c r="EJ25" s="76">
        <v>3</v>
      </c>
      <c r="EK25" s="76">
        <v>1</v>
      </c>
      <c r="EL25" s="76">
        <v>1</v>
      </c>
      <c r="EM25" s="76">
        <v>1</v>
      </c>
      <c r="EN25" s="76">
        <v>0</v>
      </c>
      <c r="EO25" s="76">
        <v>0</v>
      </c>
      <c r="EP25" s="76">
        <v>3</v>
      </c>
      <c r="EQ25" s="76">
        <v>0</v>
      </c>
      <c r="ER25" s="76">
        <v>4</v>
      </c>
      <c r="ES25" s="76">
        <v>1</v>
      </c>
      <c r="ET25" s="76">
        <v>1</v>
      </c>
      <c r="EU25" s="76">
        <v>0</v>
      </c>
      <c r="EV25" s="76">
        <v>0</v>
      </c>
      <c r="EW25" s="76">
        <v>2</v>
      </c>
      <c r="EX25" s="76">
        <v>0</v>
      </c>
      <c r="EY25" s="76">
        <v>0</v>
      </c>
      <c r="EZ25" s="76">
        <v>0</v>
      </c>
      <c r="FA25" s="76">
        <v>2</v>
      </c>
      <c r="FB25" s="76">
        <v>4</v>
      </c>
      <c r="FC25" s="76">
        <v>0</v>
      </c>
      <c r="FD25" s="76">
        <v>1</v>
      </c>
      <c r="FE25" s="76">
        <v>0</v>
      </c>
      <c r="FF25" s="76">
        <v>1</v>
      </c>
      <c r="FG25" s="76">
        <v>1</v>
      </c>
      <c r="FH25" s="76">
        <v>0</v>
      </c>
      <c r="FI25" s="76">
        <v>10</v>
      </c>
      <c r="FJ25" s="76">
        <v>0</v>
      </c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1</v>
      </c>
      <c r="CT26" s="62">
        <v>0</v>
      </c>
      <c r="CU26" s="62">
        <v>0</v>
      </c>
      <c r="CV26" s="62">
        <v>0</v>
      </c>
      <c r="CW26" s="62">
        <v>0</v>
      </c>
      <c r="CX26" s="62">
        <v>0</v>
      </c>
      <c r="CY26" s="62">
        <v>0</v>
      </c>
      <c r="CZ26" s="62">
        <v>0</v>
      </c>
      <c r="DA26" s="62">
        <v>0</v>
      </c>
      <c r="DB26" s="62">
        <v>0</v>
      </c>
      <c r="DC26" s="62">
        <v>1</v>
      </c>
      <c r="DD26" s="62">
        <v>0</v>
      </c>
      <c r="DE26" s="62">
        <v>0</v>
      </c>
      <c r="DF26" s="62">
        <v>1</v>
      </c>
      <c r="DG26" s="62">
        <v>0</v>
      </c>
      <c r="DH26" s="62">
        <v>0</v>
      </c>
      <c r="DI26" s="62">
        <v>0</v>
      </c>
      <c r="DJ26" s="62">
        <v>1</v>
      </c>
      <c r="DK26" s="62">
        <v>1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107</v>
      </c>
      <c r="DY26" s="76">
        <v>1</v>
      </c>
      <c r="DZ26" s="76">
        <v>0</v>
      </c>
      <c r="EA26" s="76">
        <v>0</v>
      </c>
      <c r="EB26" s="76">
        <v>0</v>
      </c>
      <c r="EC26" s="76">
        <v>0</v>
      </c>
      <c r="ED26" s="76">
        <v>0</v>
      </c>
      <c r="EE26" s="76">
        <v>0</v>
      </c>
      <c r="EF26" s="76">
        <v>0</v>
      </c>
      <c r="EG26" s="76">
        <v>0</v>
      </c>
      <c r="EH26" s="76">
        <v>0</v>
      </c>
      <c r="EI26" s="76">
        <v>1</v>
      </c>
      <c r="EJ26" s="76">
        <v>0</v>
      </c>
      <c r="EK26" s="76">
        <v>0</v>
      </c>
      <c r="EL26" s="76">
        <v>1</v>
      </c>
      <c r="EM26" s="76">
        <v>0</v>
      </c>
      <c r="EN26" s="76">
        <v>0</v>
      </c>
      <c r="EO26" s="76">
        <v>0</v>
      </c>
      <c r="EP26" s="76">
        <v>0</v>
      </c>
      <c r="EQ26" s="76">
        <v>0</v>
      </c>
      <c r="ER26" s="76">
        <v>0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0</v>
      </c>
      <c r="EY26" s="76">
        <v>0</v>
      </c>
      <c r="EZ26" s="76">
        <v>0</v>
      </c>
      <c r="FA26" s="76">
        <v>0</v>
      </c>
      <c r="FB26" s="76">
        <v>0</v>
      </c>
      <c r="FC26" s="76">
        <v>0</v>
      </c>
      <c r="FD26" s="76">
        <v>0</v>
      </c>
      <c r="FE26" s="76">
        <v>0</v>
      </c>
      <c r="FF26" s="76">
        <v>0</v>
      </c>
      <c r="FG26" s="76">
        <v>0</v>
      </c>
      <c r="FH26" s="76">
        <v>0</v>
      </c>
      <c r="FI26" s="76">
        <v>1</v>
      </c>
      <c r="FJ26" s="76">
        <v>1</v>
      </c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7</v>
      </c>
      <c r="CT27" s="62">
        <v>10</v>
      </c>
      <c r="CU27" s="62">
        <v>2</v>
      </c>
      <c r="CV27" s="62">
        <v>6</v>
      </c>
      <c r="CW27" s="62">
        <v>6</v>
      </c>
      <c r="CX27" s="62">
        <v>5</v>
      </c>
      <c r="CY27" s="62">
        <v>6</v>
      </c>
      <c r="CZ27" s="62">
        <v>6</v>
      </c>
      <c r="DA27" s="62">
        <v>7</v>
      </c>
      <c r="DB27" s="62">
        <v>4</v>
      </c>
      <c r="DC27" s="62">
        <v>3</v>
      </c>
      <c r="DD27" s="62">
        <v>7</v>
      </c>
      <c r="DE27" s="62">
        <v>6</v>
      </c>
      <c r="DF27" s="62">
        <v>7</v>
      </c>
      <c r="DG27" s="62">
        <v>6</v>
      </c>
      <c r="DH27" s="62">
        <v>11</v>
      </c>
      <c r="DI27" s="62">
        <v>6</v>
      </c>
      <c r="DJ27" s="62">
        <v>1</v>
      </c>
      <c r="DK27" s="62">
        <v>5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94</v>
      </c>
      <c r="DY27" s="76">
        <v>3</v>
      </c>
      <c r="DZ27" s="76">
        <v>4</v>
      </c>
      <c r="EA27" s="76">
        <v>2</v>
      </c>
      <c r="EB27" s="76">
        <v>2</v>
      </c>
      <c r="EC27" s="76">
        <v>3</v>
      </c>
      <c r="ED27" s="76">
        <v>3</v>
      </c>
      <c r="EE27" s="76">
        <v>4</v>
      </c>
      <c r="EF27" s="76">
        <v>3</v>
      </c>
      <c r="EG27" s="76">
        <v>5</v>
      </c>
      <c r="EH27" s="76">
        <v>2</v>
      </c>
      <c r="EI27" s="76">
        <v>2</v>
      </c>
      <c r="EJ27" s="76">
        <v>3</v>
      </c>
      <c r="EK27" s="76">
        <v>3</v>
      </c>
      <c r="EL27" s="76">
        <v>2</v>
      </c>
      <c r="EM27" s="76">
        <v>4</v>
      </c>
      <c r="EN27" s="76">
        <v>5</v>
      </c>
      <c r="EO27" s="76">
        <v>3</v>
      </c>
      <c r="EP27" s="76">
        <v>0</v>
      </c>
      <c r="EQ27" s="76">
        <v>3</v>
      </c>
      <c r="ER27" s="76">
        <v>4</v>
      </c>
      <c r="ES27" s="76">
        <v>6</v>
      </c>
      <c r="ET27" s="76">
        <v>0</v>
      </c>
      <c r="EU27" s="76">
        <v>4</v>
      </c>
      <c r="EV27" s="76">
        <v>3</v>
      </c>
      <c r="EW27" s="76">
        <v>2</v>
      </c>
      <c r="EX27" s="76">
        <v>2</v>
      </c>
      <c r="EY27" s="76">
        <v>3</v>
      </c>
      <c r="EZ27" s="76">
        <v>2</v>
      </c>
      <c r="FA27" s="76">
        <v>2</v>
      </c>
      <c r="FB27" s="76">
        <v>1</v>
      </c>
      <c r="FC27" s="76">
        <v>4</v>
      </c>
      <c r="FD27" s="76">
        <v>3</v>
      </c>
      <c r="FE27" s="76">
        <v>5</v>
      </c>
      <c r="FF27" s="76">
        <v>2</v>
      </c>
      <c r="FG27" s="76">
        <v>6</v>
      </c>
      <c r="FH27" s="76">
        <v>3</v>
      </c>
      <c r="FI27" s="76">
        <v>1</v>
      </c>
      <c r="FJ27" s="76">
        <v>2</v>
      </c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3</v>
      </c>
      <c r="CT28" s="62">
        <v>0</v>
      </c>
      <c r="CU28" s="62">
        <v>1</v>
      </c>
      <c r="CV28" s="62">
        <v>1</v>
      </c>
      <c r="CW28" s="62">
        <v>0</v>
      </c>
      <c r="CX28" s="62">
        <v>0</v>
      </c>
      <c r="CY28" s="62">
        <v>1</v>
      </c>
      <c r="CZ28" s="62">
        <v>2</v>
      </c>
      <c r="DA28" s="62">
        <v>0</v>
      </c>
      <c r="DB28" s="62">
        <v>0</v>
      </c>
      <c r="DC28" s="62">
        <v>0</v>
      </c>
      <c r="DD28" s="62">
        <v>0</v>
      </c>
      <c r="DE28" s="62">
        <v>2</v>
      </c>
      <c r="DF28" s="62">
        <v>0</v>
      </c>
      <c r="DG28" s="62">
        <v>0</v>
      </c>
      <c r="DH28" s="62">
        <v>1</v>
      </c>
      <c r="DI28" s="62">
        <v>0</v>
      </c>
      <c r="DJ28" s="62">
        <v>7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95</v>
      </c>
      <c r="DY28" s="76">
        <v>2</v>
      </c>
      <c r="DZ28" s="76">
        <v>0</v>
      </c>
      <c r="EA28" s="76">
        <v>0</v>
      </c>
      <c r="EB28" s="76">
        <v>1</v>
      </c>
      <c r="EC28" s="76">
        <v>0</v>
      </c>
      <c r="ED28" s="76">
        <v>0</v>
      </c>
      <c r="EE28" s="76">
        <v>1</v>
      </c>
      <c r="EF28" s="76">
        <v>1</v>
      </c>
      <c r="EG28" s="76">
        <v>0</v>
      </c>
      <c r="EH28" s="76">
        <v>0</v>
      </c>
      <c r="EI28" s="76">
        <v>0</v>
      </c>
      <c r="EJ28" s="76">
        <v>0</v>
      </c>
      <c r="EK28" s="76">
        <v>2</v>
      </c>
      <c r="EL28" s="76">
        <v>0</v>
      </c>
      <c r="EM28" s="76">
        <v>0</v>
      </c>
      <c r="EN28" s="76">
        <v>1</v>
      </c>
      <c r="EO28" s="76">
        <v>0</v>
      </c>
      <c r="EP28" s="76">
        <v>6</v>
      </c>
      <c r="EQ28" s="76">
        <v>0</v>
      </c>
      <c r="ER28" s="76">
        <v>1</v>
      </c>
      <c r="ES28" s="76">
        <v>0</v>
      </c>
      <c r="ET28" s="76">
        <v>1</v>
      </c>
      <c r="EU28" s="76">
        <v>0</v>
      </c>
      <c r="EV28" s="76">
        <v>0</v>
      </c>
      <c r="EW28" s="76">
        <v>0</v>
      </c>
      <c r="EX28" s="76">
        <v>0</v>
      </c>
      <c r="EY28" s="76">
        <v>1</v>
      </c>
      <c r="EZ28" s="76">
        <v>0</v>
      </c>
      <c r="FA28" s="76">
        <v>0</v>
      </c>
      <c r="FB28" s="76">
        <v>0</v>
      </c>
      <c r="FC28" s="76">
        <v>0</v>
      </c>
      <c r="FD28" s="76">
        <v>0</v>
      </c>
      <c r="FE28" s="76">
        <v>0</v>
      </c>
      <c r="FF28" s="76">
        <v>0</v>
      </c>
      <c r="FG28" s="76">
        <v>0</v>
      </c>
      <c r="FH28" s="76">
        <v>0</v>
      </c>
      <c r="FI28" s="76">
        <v>1</v>
      </c>
      <c r="FJ28" s="76">
        <v>0</v>
      </c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96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4</v>
      </c>
      <c r="CT30" s="62">
        <v>6</v>
      </c>
      <c r="CU30" s="62">
        <v>8</v>
      </c>
      <c r="CV30" s="62">
        <v>6</v>
      </c>
      <c r="CW30" s="62">
        <v>6</v>
      </c>
      <c r="CX30" s="62">
        <v>8</v>
      </c>
      <c r="CY30" s="62">
        <v>5</v>
      </c>
      <c r="CZ30" s="62">
        <v>8</v>
      </c>
      <c r="DA30" s="62">
        <v>2</v>
      </c>
      <c r="DB30" s="62">
        <v>7</v>
      </c>
      <c r="DC30" s="62">
        <v>2</v>
      </c>
      <c r="DD30" s="62">
        <v>4</v>
      </c>
      <c r="DE30" s="62">
        <v>7</v>
      </c>
      <c r="DF30" s="62">
        <v>5</v>
      </c>
      <c r="DG30" s="62">
        <v>7</v>
      </c>
      <c r="DH30" s="62">
        <v>5</v>
      </c>
      <c r="DI30" s="62">
        <v>9</v>
      </c>
      <c r="DJ30" s="62">
        <v>6</v>
      </c>
      <c r="DK30" s="62">
        <v>10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97</v>
      </c>
      <c r="DY30" s="76">
        <v>3</v>
      </c>
      <c r="DZ30" s="76">
        <v>4</v>
      </c>
      <c r="EA30" s="76">
        <v>3</v>
      </c>
      <c r="EB30" s="76">
        <v>4</v>
      </c>
      <c r="EC30" s="76">
        <v>4</v>
      </c>
      <c r="ED30" s="76">
        <v>4</v>
      </c>
      <c r="EE30" s="76">
        <v>3</v>
      </c>
      <c r="EF30" s="76">
        <v>5</v>
      </c>
      <c r="EG30" s="76">
        <v>1</v>
      </c>
      <c r="EH30" s="76">
        <v>5</v>
      </c>
      <c r="EI30" s="76">
        <v>1</v>
      </c>
      <c r="EJ30" s="76">
        <v>3</v>
      </c>
      <c r="EK30" s="76">
        <v>4</v>
      </c>
      <c r="EL30" s="76">
        <v>4</v>
      </c>
      <c r="EM30" s="76">
        <v>3</v>
      </c>
      <c r="EN30" s="76">
        <v>3</v>
      </c>
      <c r="EO30" s="76">
        <v>6</v>
      </c>
      <c r="EP30" s="76">
        <v>1</v>
      </c>
      <c r="EQ30" s="76">
        <v>5</v>
      </c>
      <c r="ER30" s="76">
        <v>1</v>
      </c>
      <c r="ES30" s="76">
        <v>2</v>
      </c>
      <c r="ET30" s="76">
        <v>5</v>
      </c>
      <c r="EU30" s="76">
        <v>2</v>
      </c>
      <c r="EV30" s="76">
        <v>2</v>
      </c>
      <c r="EW30" s="76">
        <v>4</v>
      </c>
      <c r="EX30" s="76">
        <v>2</v>
      </c>
      <c r="EY30" s="76">
        <v>3</v>
      </c>
      <c r="EZ30" s="76">
        <v>1</v>
      </c>
      <c r="FA30" s="76">
        <v>2</v>
      </c>
      <c r="FB30" s="76">
        <v>1</v>
      </c>
      <c r="FC30" s="76">
        <v>1</v>
      </c>
      <c r="FD30" s="76">
        <v>3</v>
      </c>
      <c r="FE30" s="76">
        <v>1</v>
      </c>
      <c r="FF30" s="76">
        <v>4</v>
      </c>
      <c r="FG30" s="76">
        <v>2</v>
      </c>
      <c r="FH30" s="76">
        <v>3</v>
      </c>
      <c r="FI30" s="76">
        <v>5</v>
      </c>
      <c r="FJ30" s="76">
        <v>5</v>
      </c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2</v>
      </c>
      <c r="CT31" s="62">
        <v>1</v>
      </c>
      <c r="CU31" s="62">
        <v>5</v>
      </c>
      <c r="CV31" s="62">
        <v>2</v>
      </c>
      <c r="CW31" s="62">
        <v>3</v>
      </c>
      <c r="CX31" s="62">
        <v>4</v>
      </c>
      <c r="CY31" s="62">
        <v>3</v>
      </c>
      <c r="CZ31" s="62">
        <v>1</v>
      </c>
      <c r="DA31" s="62">
        <v>5</v>
      </c>
      <c r="DB31" s="62">
        <v>4</v>
      </c>
      <c r="DC31" s="62">
        <v>6</v>
      </c>
      <c r="DD31" s="62">
        <v>3</v>
      </c>
      <c r="DE31" s="62">
        <v>1</v>
      </c>
      <c r="DF31" s="62">
        <v>5</v>
      </c>
      <c r="DG31" s="62">
        <v>4</v>
      </c>
      <c r="DH31" s="62">
        <v>0</v>
      </c>
      <c r="DI31" s="62">
        <v>1</v>
      </c>
      <c r="DJ31" s="62">
        <v>1</v>
      </c>
      <c r="DK31" s="62">
        <v>3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108</v>
      </c>
      <c r="DY31" s="76">
        <v>0</v>
      </c>
      <c r="DZ31" s="76">
        <v>1</v>
      </c>
      <c r="EA31" s="76">
        <v>4</v>
      </c>
      <c r="EB31" s="76">
        <v>1</v>
      </c>
      <c r="EC31" s="76">
        <v>2</v>
      </c>
      <c r="ED31" s="76">
        <v>2</v>
      </c>
      <c r="EE31" s="76">
        <v>1</v>
      </c>
      <c r="EF31" s="76">
        <v>0</v>
      </c>
      <c r="EG31" s="76">
        <v>2</v>
      </c>
      <c r="EH31" s="76">
        <v>2</v>
      </c>
      <c r="EI31" s="76">
        <v>4</v>
      </c>
      <c r="EJ31" s="76">
        <v>1</v>
      </c>
      <c r="EK31" s="76">
        <v>0</v>
      </c>
      <c r="EL31" s="76">
        <v>3</v>
      </c>
      <c r="EM31" s="76">
        <v>2</v>
      </c>
      <c r="EN31" s="76">
        <v>0</v>
      </c>
      <c r="EO31" s="76">
        <v>0</v>
      </c>
      <c r="EP31" s="76">
        <v>1</v>
      </c>
      <c r="EQ31" s="76">
        <v>1</v>
      </c>
      <c r="ER31" s="76">
        <v>2</v>
      </c>
      <c r="ES31" s="76">
        <v>0</v>
      </c>
      <c r="ET31" s="76">
        <v>1</v>
      </c>
      <c r="EU31" s="76">
        <v>1</v>
      </c>
      <c r="EV31" s="76">
        <v>1</v>
      </c>
      <c r="EW31" s="76">
        <v>2</v>
      </c>
      <c r="EX31" s="76">
        <v>2</v>
      </c>
      <c r="EY31" s="76">
        <v>1</v>
      </c>
      <c r="EZ31" s="76">
        <v>3</v>
      </c>
      <c r="FA31" s="76">
        <v>2</v>
      </c>
      <c r="FB31" s="76">
        <v>2</v>
      </c>
      <c r="FC31" s="76">
        <v>2</v>
      </c>
      <c r="FD31" s="76">
        <v>1</v>
      </c>
      <c r="FE31" s="76">
        <v>2</v>
      </c>
      <c r="FF31" s="76">
        <v>2</v>
      </c>
      <c r="FG31" s="76">
        <v>0</v>
      </c>
      <c r="FH31" s="76">
        <v>1</v>
      </c>
      <c r="FI31" s="76">
        <v>0</v>
      </c>
      <c r="FJ31" s="76">
        <v>2</v>
      </c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4</v>
      </c>
      <c r="CT32" s="62">
        <v>2</v>
      </c>
      <c r="CU32" s="62">
        <v>7</v>
      </c>
      <c r="CV32" s="62">
        <v>5</v>
      </c>
      <c r="CW32" s="62">
        <v>6</v>
      </c>
      <c r="CX32" s="62">
        <v>4</v>
      </c>
      <c r="CY32" s="62">
        <v>5</v>
      </c>
      <c r="CZ32" s="62">
        <v>1</v>
      </c>
      <c r="DA32" s="62">
        <v>8</v>
      </c>
      <c r="DB32" s="62">
        <v>6</v>
      </c>
      <c r="DC32" s="62">
        <v>12</v>
      </c>
      <c r="DD32" s="62">
        <v>6</v>
      </c>
      <c r="DE32" s="62">
        <v>2</v>
      </c>
      <c r="DF32" s="62">
        <v>5</v>
      </c>
      <c r="DG32" s="62">
        <v>4</v>
      </c>
      <c r="DH32" s="62">
        <v>0</v>
      </c>
      <c r="DI32" s="62">
        <v>2</v>
      </c>
      <c r="DJ32" s="62">
        <v>4</v>
      </c>
      <c r="DK32" s="62">
        <v>3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98</v>
      </c>
      <c r="DY32" s="76">
        <v>1</v>
      </c>
      <c r="DZ32" s="76">
        <v>1</v>
      </c>
      <c r="EA32" s="76">
        <v>4</v>
      </c>
      <c r="EB32" s="76">
        <v>2</v>
      </c>
      <c r="EC32" s="76">
        <v>2</v>
      </c>
      <c r="ED32" s="76">
        <v>2</v>
      </c>
      <c r="EE32" s="76">
        <v>1</v>
      </c>
      <c r="EF32" s="76">
        <v>0</v>
      </c>
      <c r="EG32" s="76">
        <v>3</v>
      </c>
      <c r="EH32" s="76">
        <v>2</v>
      </c>
      <c r="EI32" s="76">
        <v>6</v>
      </c>
      <c r="EJ32" s="76">
        <v>3</v>
      </c>
      <c r="EK32" s="76">
        <v>0</v>
      </c>
      <c r="EL32" s="76">
        <v>3</v>
      </c>
      <c r="EM32" s="76">
        <v>2</v>
      </c>
      <c r="EN32" s="76">
        <v>0</v>
      </c>
      <c r="EO32" s="76">
        <v>0</v>
      </c>
      <c r="EP32" s="76">
        <v>2</v>
      </c>
      <c r="EQ32" s="76">
        <v>1</v>
      </c>
      <c r="ER32" s="76">
        <v>3</v>
      </c>
      <c r="ES32" s="76">
        <v>1</v>
      </c>
      <c r="ET32" s="76">
        <v>3</v>
      </c>
      <c r="EU32" s="76">
        <v>3</v>
      </c>
      <c r="EV32" s="76">
        <v>4</v>
      </c>
      <c r="EW32" s="76">
        <v>2</v>
      </c>
      <c r="EX32" s="76">
        <v>4</v>
      </c>
      <c r="EY32" s="76">
        <v>1</v>
      </c>
      <c r="EZ32" s="76">
        <v>5</v>
      </c>
      <c r="FA32" s="76">
        <v>4</v>
      </c>
      <c r="FB32" s="76">
        <v>6</v>
      </c>
      <c r="FC32" s="76">
        <v>3</v>
      </c>
      <c r="FD32" s="76">
        <v>2</v>
      </c>
      <c r="FE32" s="76">
        <v>2</v>
      </c>
      <c r="FF32" s="76">
        <v>2</v>
      </c>
      <c r="FG32" s="76">
        <v>0</v>
      </c>
      <c r="FH32" s="76">
        <v>2</v>
      </c>
      <c r="FI32" s="76">
        <v>2</v>
      </c>
      <c r="FJ32" s="76">
        <v>2</v>
      </c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2</v>
      </c>
      <c r="CT33" s="62">
        <v>1</v>
      </c>
      <c r="CU33" s="62">
        <v>1</v>
      </c>
      <c r="CV33" s="62">
        <v>2</v>
      </c>
      <c r="CW33" s="62">
        <v>3</v>
      </c>
      <c r="CX33" s="62">
        <v>0</v>
      </c>
      <c r="CY33" s="62">
        <v>2</v>
      </c>
      <c r="CZ33" s="62">
        <v>0</v>
      </c>
      <c r="DA33" s="62">
        <v>3</v>
      </c>
      <c r="DB33" s="62">
        <v>1</v>
      </c>
      <c r="DC33" s="62">
        <v>5</v>
      </c>
      <c r="DD33" s="62">
        <v>3</v>
      </c>
      <c r="DE33" s="62">
        <v>1</v>
      </c>
      <c r="DF33" s="62">
        <v>0</v>
      </c>
      <c r="DG33" s="62">
        <v>0</v>
      </c>
      <c r="DH33" s="62">
        <v>0</v>
      </c>
      <c r="DI33" s="62">
        <v>1</v>
      </c>
      <c r="DJ33" s="62">
        <v>3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110</v>
      </c>
      <c r="DY33" s="76">
        <v>1</v>
      </c>
      <c r="DZ33" s="76">
        <v>0</v>
      </c>
      <c r="EA33" s="76">
        <v>0</v>
      </c>
      <c r="EB33" s="76">
        <v>0</v>
      </c>
      <c r="EC33" s="76">
        <v>0</v>
      </c>
      <c r="ED33" s="76">
        <v>0</v>
      </c>
      <c r="EE33" s="76">
        <v>0</v>
      </c>
      <c r="EF33" s="76">
        <v>0</v>
      </c>
      <c r="EG33" s="76">
        <v>1</v>
      </c>
      <c r="EH33" s="76">
        <v>0</v>
      </c>
      <c r="EI33" s="76">
        <v>2</v>
      </c>
      <c r="EJ33" s="76">
        <v>2</v>
      </c>
      <c r="EK33" s="76">
        <v>0</v>
      </c>
      <c r="EL33" s="76">
        <v>0</v>
      </c>
      <c r="EM33" s="76">
        <v>0</v>
      </c>
      <c r="EN33" s="76">
        <v>0</v>
      </c>
      <c r="EO33" s="76">
        <v>0</v>
      </c>
      <c r="EP33" s="76">
        <v>1</v>
      </c>
      <c r="EQ33" s="76">
        <v>0</v>
      </c>
      <c r="ER33" s="76">
        <v>1</v>
      </c>
      <c r="ES33" s="76">
        <v>1</v>
      </c>
      <c r="ET33" s="76">
        <v>1</v>
      </c>
      <c r="EU33" s="76">
        <v>2</v>
      </c>
      <c r="EV33" s="76">
        <v>3</v>
      </c>
      <c r="EW33" s="76">
        <v>0</v>
      </c>
      <c r="EX33" s="76">
        <v>2</v>
      </c>
      <c r="EY33" s="76">
        <v>0</v>
      </c>
      <c r="EZ33" s="76">
        <v>2</v>
      </c>
      <c r="FA33" s="76">
        <v>1</v>
      </c>
      <c r="FB33" s="76">
        <v>3</v>
      </c>
      <c r="FC33" s="76">
        <v>1</v>
      </c>
      <c r="FD33" s="76">
        <v>1</v>
      </c>
      <c r="FE33" s="76">
        <v>0</v>
      </c>
      <c r="FF33" s="76">
        <v>0</v>
      </c>
      <c r="FG33" s="76">
        <v>0</v>
      </c>
      <c r="FH33" s="76">
        <v>1</v>
      </c>
      <c r="FI33" s="76">
        <v>2</v>
      </c>
      <c r="FJ33" s="76">
        <v>0</v>
      </c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1</v>
      </c>
      <c r="CV34" s="62">
        <v>1</v>
      </c>
      <c r="CW34" s="62">
        <v>0</v>
      </c>
      <c r="CX34" s="62">
        <v>0</v>
      </c>
      <c r="CY34" s="62">
        <v>0</v>
      </c>
      <c r="CZ34" s="62">
        <v>0</v>
      </c>
      <c r="DA34" s="62">
        <v>0</v>
      </c>
      <c r="DB34" s="62">
        <v>1</v>
      </c>
      <c r="DC34" s="62">
        <v>1</v>
      </c>
      <c r="DD34" s="62">
        <v>0</v>
      </c>
      <c r="DE34" s="62">
        <v>0</v>
      </c>
      <c r="DF34" s="62">
        <v>0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109</v>
      </c>
      <c r="DY34" s="76">
        <v>0</v>
      </c>
      <c r="DZ34" s="76">
        <v>0</v>
      </c>
      <c r="EA34" s="76">
        <v>0</v>
      </c>
      <c r="EB34" s="76">
        <v>1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1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1</v>
      </c>
      <c r="FB34" s="76">
        <v>1</v>
      </c>
      <c r="FC34" s="76">
        <v>0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>
        <v>0</v>
      </c>
      <c r="FJ34" s="76">
        <v>0</v>
      </c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465</v>
      </c>
      <c r="CT35" s="62">
        <v>227</v>
      </c>
      <c r="CU35" s="62">
        <v>249.5</v>
      </c>
      <c r="CV35" s="62">
        <v>488</v>
      </c>
      <c r="CW35" s="62">
        <v>598</v>
      </c>
      <c r="CX35" s="62">
        <v>490</v>
      </c>
      <c r="CY35" s="62">
        <v>479</v>
      </c>
      <c r="CZ35" s="62">
        <v>431</v>
      </c>
      <c r="DA35" s="62">
        <v>638</v>
      </c>
      <c r="DB35" s="62">
        <v>650</v>
      </c>
      <c r="DC35" s="62">
        <v>714</v>
      </c>
      <c r="DD35" s="62">
        <v>502</v>
      </c>
      <c r="DE35" s="62">
        <v>449</v>
      </c>
      <c r="DF35" s="62">
        <v>468</v>
      </c>
      <c r="DG35" s="62">
        <v>487</v>
      </c>
      <c r="DH35" s="62">
        <v>413</v>
      </c>
      <c r="DI35" s="62">
        <v>471</v>
      </c>
      <c r="DJ35" s="62">
        <v>494</v>
      </c>
      <c r="DK35" s="62">
        <v>511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64</v>
      </c>
      <c r="DY35" s="76">
        <v>216</v>
      </c>
      <c r="DZ35" s="76">
        <v>225</v>
      </c>
      <c r="EA35" s="76">
        <v>241</v>
      </c>
      <c r="EB35" s="76">
        <v>251</v>
      </c>
      <c r="EC35" s="76">
        <v>290</v>
      </c>
      <c r="ED35" s="76">
        <v>242</v>
      </c>
      <c r="EE35" s="76">
        <v>233</v>
      </c>
      <c r="EF35" s="76">
        <v>219</v>
      </c>
      <c r="EG35" s="76">
        <v>330</v>
      </c>
      <c r="EH35" s="76">
        <v>320</v>
      </c>
      <c r="EI35" s="76">
        <v>356</v>
      </c>
      <c r="EJ35" s="76">
        <v>264</v>
      </c>
      <c r="EK35" s="76">
        <v>219</v>
      </c>
      <c r="EL35" s="76">
        <v>239</v>
      </c>
      <c r="EM35" s="76">
        <v>246</v>
      </c>
      <c r="EN35" s="76">
        <v>203</v>
      </c>
      <c r="EO35" s="76">
        <v>235</v>
      </c>
      <c r="EP35" s="76">
        <v>226</v>
      </c>
      <c r="EQ35" s="76">
        <v>246</v>
      </c>
      <c r="ER35" s="76">
        <v>249</v>
      </c>
      <c r="ES35" s="76">
        <v>229</v>
      </c>
      <c r="ET35" s="76">
        <v>258</v>
      </c>
      <c r="EU35" s="76">
        <v>237</v>
      </c>
      <c r="EV35" s="76">
        <v>308</v>
      </c>
      <c r="EW35" s="76">
        <v>248</v>
      </c>
      <c r="EX35" s="76">
        <v>246</v>
      </c>
      <c r="EY35" s="76">
        <v>212</v>
      </c>
      <c r="EZ35" s="76">
        <v>308</v>
      </c>
      <c r="FA35" s="76">
        <v>330</v>
      </c>
      <c r="FB35" s="76">
        <v>358</v>
      </c>
      <c r="FC35" s="76">
        <v>238</v>
      </c>
      <c r="FD35" s="76">
        <v>230</v>
      </c>
      <c r="FE35" s="76">
        <v>229</v>
      </c>
      <c r="FF35" s="76">
        <v>241</v>
      </c>
      <c r="FG35" s="76">
        <v>210</v>
      </c>
      <c r="FH35" s="76">
        <v>236</v>
      </c>
      <c r="FI35" s="76">
        <v>268</v>
      </c>
      <c r="FJ35" s="76">
        <v>265</v>
      </c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141</v>
      </c>
      <c r="CT36" s="62">
        <v>70.5</v>
      </c>
      <c r="CU36" s="62">
        <v>70.5</v>
      </c>
      <c r="CV36" s="62">
        <v>141</v>
      </c>
      <c r="CW36" s="62">
        <v>141</v>
      </c>
      <c r="CX36" s="62">
        <v>140</v>
      </c>
      <c r="CY36" s="62">
        <v>140</v>
      </c>
      <c r="CZ36" s="62">
        <v>140</v>
      </c>
      <c r="DA36" s="62">
        <v>140</v>
      </c>
      <c r="DB36" s="62">
        <v>140</v>
      </c>
      <c r="DC36" s="62">
        <v>140</v>
      </c>
      <c r="DD36" s="62">
        <v>140</v>
      </c>
      <c r="DE36" s="62">
        <v>140</v>
      </c>
      <c r="DF36" s="62">
        <v>140</v>
      </c>
      <c r="DG36" s="62">
        <v>140</v>
      </c>
      <c r="DH36" s="62">
        <v>140</v>
      </c>
      <c r="DI36" s="62">
        <v>140</v>
      </c>
      <c r="DJ36" s="62">
        <v>141</v>
      </c>
      <c r="DK36" s="62">
        <v>141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65</v>
      </c>
      <c r="DY36" s="76">
        <v>71</v>
      </c>
      <c r="DZ36" s="76">
        <v>71</v>
      </c>
      <c r="EA36" s="76">
        <v>71</v>
      </c>
      <c r="EB36" s="76">
        <v>71</v>
      </c>
      <c r="EC36" s="76">
        <v>71</v>
      </c>
      <c r="ED36" s="76">
        <v>71</v>
      </c>
      <c r="EE36" s="76">
        <v>71</v>
      </c>
      <c r="EF36" s="76">
        <v>71</v>
      </c>
      <c r="EG36" s="76">
        <v>71</v>
      </c>
      <c r="EH36" s="76">
        <v>71</v>
      </c>
      <c r="EI36" s="76">
        <v>71</v>
      </c>
      <c r="EJ36" s="76">
        <v>71</v>
      </c>
      <c r="EK36" s="76">
        <v>71</v>
      </c>
      <c r="EL36" s="76">
        <v>71</v>
      </c>
      <c r="EM36" s="76">
        <v>71</v>
      </c>
      <c r="EN36" s="76">
        <v>71</v>
      </c>
      <c r="EO36" s="76">
        <v>71</v>
      </c>
      <c r="EP36" s="76">
        <v>71</v>
      </c>
      <c r="EQ36" s="76">
        <v>71</v>
      </c>
      <c r="ER36" s="76">
        <v>70</v>
      </c>
      <c r="ES36" s="76">
        <v>70</v>
      </c>
      <c r="ET36" s="76">
        <v>70</v>
      </c>
      <c r="EU36" s="76">
        <v>70</v>
      </c>
      <c r="EV36" s="76">
        <v>70</v>
      </c>
      <c r="EW36" s="76">
        <v>69</v>
      </c>
      <c r="EX36" s="76">
        <v>69</v>
      </c>
      <c r="EY36" s="76">
        <v>69</v>
      </c>
      <c r="EZ36" s="76">
        <v>69</v>
      </c>
      <c r="FA36" s="76">
        <v>69</v>
      </c>
      <c r="FB36" s="76">
        <v>69</v>
      </c>
      <c r="FC36" s="76">
        <v>69</v>
      </c>
      <c r="FD36" s="76">
        <v>69</v>
      </c>
      <c r="FE36" s="76">
        <v>69</v>
      </c>
      <c r="FF36" s="76">
        <v>69</v>
      </c>
      <c r="FG36" s="76">
        <v>69</v>
      </c>
      <c r="FH36" s="76">
        <v>69</v>
      </c>
      <c r="FI36" s="76">
        <v>70</v>
      </c>
      <c r="FJ36" s="76">
        <v>70</v>
      </c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3.2978723404255321</v>
      </c>
      <c r="CT37" s="62">
        <v>3.2198581560283688</v>
      </c>
      <c r="CU37" s="62">
        <v>3.5390070921985815</v>
      </c>
      <c r="CV37" s="62">
        <v>3.4609929078014185</v>
      </c>
      <c r="CW37" s="62">
        <v>4.2411347517730498</v>
      </c>
      <c r="CX37" s="62">
        <v>3.5</v>
      </c>
      <c r="CY37" s="62">
        <v>3.4214285714285713</v>
      </c>
      <c r="CZ37" s="62">
        <v>3.0785714285714287</v>
      </c>
      <c r="DA37" s="62">
        <v>4.5571428571428569</v>
      </c>
      <c r="DB37" s="62">
        <v>4.6428571428571432</v>
      </c>
      <c r="DC37" s="62">
        <v>5.0999999999999996</v>
      </c>
      <c r="DD37" s="62">
        <v>3.5857142857142859</v>
      </c>
      <c r="DE37" s="62">
        <v>3.2071428571428573</v>
      </c>
      <c r="DF37" s="62">
        <v>3.342857142857143</v>
      </c>
      <c r="DG37" s="62">
        <v>3.4785714285714286</v>
      </c>
      <c r="DH37" s="62">
        <v>2.95</v>
      </c>
      <c r="DI37" s="62">
        <v>3.3642857142857143</v>
      </c>
      <c r="DJ37" s="62">
        <v>3.5035460992907801</v>
      </c>
      <c r="DK37" s="62">
        <v>3.624113475177305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24</v>
      </c>
      <c r="DY37" s="76">
        <v>3.0422535211267605</v>
      </c>
      <c r="DZ37" s="76">
        <v>3.1690140845070425</v>
      </c>
      <c r="EA37" s="76">
        <v>3.3943661971830985</v>
      </c>
      <c r="EB37" s="76">
        <v>3.535211267605634</v>
      </c>
      <c r="EC37" s="76">
        <v>4.084507042253521</v>
      </c>
      <c r="ED37" s="76">
        <v>3.408450704225352</v>
      </c>
      <c r="EE37" s="76">
        <v>3.2816901408450705</v>
      </c>
      <c r="EF37" s="76">
        <v>3.084507042253521</v>
      </c>
      <c r="EG37" s="76">
        <v>4.647887323943662</v>
      </c>
      <c r="EH37" s="76">
        <v>4.507042253521127</v>
      </c>
      <c r="EI37" s="76">
        <v>5.0140845070422539</v>
      </c>
      <c r="EJ37" s="76">
        <v>3.7183098591549295</v>
      </c>
      <c r="EK37" s="76">
        <v>3.084507042253521</v>
      </c>
      <c r="EL37" s="76">
        <v>3.3661971830985915</v>
      </c>
      <c r="EM37" s="76">
        <v>3.464788732394366</v>
      </c>
      <c r="EN37" s="76">
        <v>2.859154929577465</v>
      </c>
      <c r="EO37" s="76">
        <v>3.3098591549295775</v>
      </c>
      <c r="EP37" s="76">
        <v>3.183098591549296</v>
      </c>
      <c r="EQ37" s="76">
        <v>3.464788732394366</v>
      </c>
      <c r="ER37" s="76">
        <v>3.5571428571428569</v>
      </c>
      <c r="ES37" s="76">
        <v>3.2714285714285714</v>
      </c>
      <c r="ET37" s="76">
        <v>3.6857142857142855</v>
      </c>
      <c r="EU37" s="76">
        <v>3.3857142857142857</v>
      </c>
      <c r="EV37" s="76">
        <v>4.4000000000000004</v>
      </c>
      <c r="EW37" s="76">
        <v>3.5942028985507246</v>
      </c>
      <c r="EX37" s="76">
        <v>3.5652173913043477</v>
      </c>
      <c r="EY37" s="76">
        <v>3.0724637681159419</v>
      </c>
      <c r="EZ37" s="76">
        <v>4.4637681159420293</v>
      </c>
      <c r="FA37" s="76">
        <v>4.7826086956521738</v>
      </c>
      <c r="FB37" s="76">
        <v>5.1884057971014492</v>
      </c>
      <c r="FC37" s="76">
        <v>3.4492753623188408</v>
      </c>
      <c r="FD37" s="76">
        <v>3.3333333333333335</v>
      </c>
      <c r="FE37" s="76">
        <v>3.318840579710145</v>
      </c>
      <c r="FF37" s="76">
        <v>3.4927536231884058</v>
      </c>
      <c r="FG37" s="76">
        <v>3.0434782608695654</v>
      </c>
      <c r="FH37" s="76">
        <v>3.4202898550724639</v>
      </c>
      <c r="FI37" s="76">
        <v>3.8285714285714287</v>
      </c>
      <c r="FJ37" s="76">
        <v>3.7857142857142856</v>
      </c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12</v>
      </c>
      <c r="CT38" s="62">
        <v>12</v>
      </c>
      <c r="CU38" s="62">
        <v>13</v>
      </c>
      <c r="CV38" s="62">
        <v>13</v>
      </c>
      <c r="CW38" s="62">
        <v>14</v>
      </c>
      <c r="CX38" s="62">
        <v>12</v>
      </c>
      <c r="CY38" s="62">
        <v>12</v>
      </c>
      <c r="CZ38" s="62">
        <v>11</v>
      </c>
      <c r="DA38" s="62">
        <v>17</v>
      </c>
      <c r="DB38" s="62">
        <v>15</v>
      </c>
      <c r="DC38" s="62">
        <v>19</v>
      </c>
      <c r="DD38" s="62">
        <v>11</v>
      </c>
      <c r="DE38" s="62">
        <v>11</v>
      </c>
      <c r="DF38" s="62">
        <v>13</v>
      </c>
      <c r="DG38" s="62">
        <v>14</v>
      </c>
      <c r="DH38" s="62">
        <v>11</v>
      </c>
      <c r="DI38" s="62">
        <v>10</v>
      </c>
      <c r="DJ38" s="62">
        <v>11</v>
      </c>
      <c r="DK38" s="62">
        <v>12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66</v>
      </c>
      <c r="DY38" s="76">
        <v>7</v>
      </c>
      <c r="DZ38" s="76">
        <v>5</v>
      </c>
      <c r="EA38" s="76">
        <v>6</v>
      </c>
      <c r="EB38" s="76">
        <v>7</v>
      </c>
      <c r="EC38" s="76">
        <v>7</v>
      </c>
      <c r="ED38" s="76">
        <v>6</v>
      </c>
      <c r="EE38" s="76">
        <v>7</v>
      </c>
      <c r="EF38" s="76">
        <v>5</v>
      </c>
      <c r="EG38" s="76">
        <v>8</v>
      </c>
      <c r="EH38" s="76">
        <v>7</v>
      </c>
      <c r="EI38" s="76">
        <v>10</v>
      </c>
      <c r="EJ38" s="76">
        <v>5</v>
      </c>
      <c r="EK38" s="76">
        <v>5</v>
      </c>
      <c r="EL38" s="76">
        <v>7</v>
      </c>
      <c r="EM38" s="76">
        <v>6</v>
      </c>
      <c r="EN38" s="76">
        <v>5</v>
      </c>
      <c r="EO38" s="76">
        <v>5</v>
      </c>
      <c r="EP38" s="76">
        <v>4</v>
      </c>
      <c r="EQ38" s="76">
        <v>6</v>
      </c>
      <c r="ER38" s="76">
        <v>5</v>
      </c>
      <c r="ES38" s="76">
        <v>7</v>
      </c>
      <c r="ET38" s="76">
        <v>7</v>
      </c>
      <c r="EU38" s="76">
        <v>6</v>
      </c>
      <c r="EV38" s="76">
        <v>7</v>
      </c>
      <c r="EW38" s="76">
        <v>6</v>
      </c>
      <c r="EX38" s="76">
        <v>5</v>
      </c>
      <c r="EY38" s="76">
        <v>6</v>
      </c>
      <c r="EZ38" s="76">
        <v>9</v>
      </c>
      <c r="FA38" s="76">
        <v>8</v>
      </c>
      <c r="FB38" s="76">
        <v>9</v>
      </c>
      <c r="FC38" s="76">
        <v>6</v>
      </c>
      <c r="FD38" s="76">
        <v>6</v>
      </c>
      <c r="FE38" s="76">
        <v>6</v>
      </c>
      <c r="FF38" s="76">
        <v>8</v>
      </c>
      <c r="FG38" s="76">
        <v>6</v>
      </c>
      <c r="FH38" s="76">
        <v>5</v>
      </c>
      <c r="FI38" s="76">
        <v>7</v>
      </c>
      <c r="FJ38" s="76">
        <v>6</v>
      </c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4</v>
      </c>
      <c r="CT39" s="62">
        <v>4</v>
      </c>
      <c r="CU39" s="62">
        <v>4</v>
      </c>
      <c r="CV39" s="62">
        <v>4</v>
      </c>
      <c r="CW39" s="62">
        <v>4</v>
      </c>
      <c r="CX39" s="62">
        <v>4</v>
      </c>
      <c r="CY39" s="62">
        <v>4</v>
      </c>
      <c r="CZ39" s="62">
        <v>4</v>
      </c>
      <c r="DA39" s="62">
        <v>4</v>
      </c>
      <c r="DB39" s="62">
        <v>4</v>
      </c>
      <c r="DC39" s="62">
        <v>4</v>
      </c>
      <c r="DD39" s="62">
        <v>4</v>
      </c>
      <c r="DE39" s="62">
        <v>4</v>
      </c>
      <c r="DF39" s="62">
        <v>4</v>
      </c>
      <c r="DG39" s="62">
        <v>4</v>
      </c>
      <c r="DH39" s="62">
        <v>4</v>
      </c>
      <c r="DI39" s="62">
        <v>4</v>
      </c>
      <c r="DJ39" s="62">
        <v>4</v>
      </c>
      <c r="DK39" s="62">
        <v>4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67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3</v>
      </c>
      <c r="CT40" s="62">
        <v>3</v>
      </c>
      <c r="CU40" s="62">
        <v>3.25</v>
      </c>
      <c r="CV40" s="62">
        <v>3.25</v>
      </c>
      <c r="CW40" s="62">
        <v>3.5</v>
      </c>
      <c r="CX40" s="62">
        <v>3</v>
      </c>
      <c r="CY40" s="62">
        <v>3</v>
      </c>
      <c r="CZ40" s="62">
        <v>2.75</v>
      </c>
      <c r="DA40" s="62">
        <v>4.25</v>
      </c>
      <c r="DB40" s="62">
        <v>3.75</v>
      </c>
      <c r="DC40" s="62">
        <v>4.75</v>
      </c>
      <c r="DD40" s="62">
        <v>2.75</v>
      </c>
      <c r="DE40" s="62">
        <v>2.75</v>
      </c>
      <c r="DF40" s="62">
        <v>3.25</v>
      </c>
      <c r="DG40" s="62">
        <v>3.5</v>
      </c>
      <c r="DH40" s="62">
        <v>2.75</v>
      </c>
      <c r="DI40" s="62">
        <v>2.5</v>
      </c>
      <c r="DJ40" s="62">
        <v>2.75</v>
      </c>
      <c r="DK40" s="62">
        <v>3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26</v>
      </c>
      <c r="DY40" s="76">
        <v>3.5</v>
      </c>
      <c r="DZ40" s="76">
        <v>2.5</v>
      </c>
      <c r="EA40" s="76">
        <v>3</v>
      </c>
      <c r="EB40" s="76">
        <v>3.5</v>
      </c>
      <c r="EC40" s="76">
        <v>3.5</v>
      </c>
      <c r="ED40" s="76">
        <v>3</v>
      </c>
      <c r="EE40" s="76">
        <v>3.5</v>
      </c>
      <c r="EF40" s="76">
        <v>2.5</v>
      </c>
      <c r="EG40" s="76">
        <v>4</v>
      </c>
      <c r="EH40" s="76">
        <v>3.5</v>
      </c>
      <c r="EI40" s="76">
        <v>5</v>
      </c>
      <c r="EJ40" s="76">
        <v>2.5</v>
      </c>
      <c r="EK40" s="76">
        <v>2.5</v>
      </c>
      <c r="EL40" s="76">
        <v>3.5</v>
      </c>
      <c r="EM40" s="76">
        <v>3</v>
      </c>
      <c r="EN40" s="76">
        <v>2.5</v>
      </c>
      <c r="EO40" s="76">
        <v>2.5</v>
      </c>
      <c r="EP40" s="76">
        <v>2</v>
      </c>
      <c r="EQ40" s="76">
        <v>3</v>
      </c>
      <c r="ER40" s="76">
        <v>2.5</v>
      </c>
      <c r="ES40" s="76">
        <v>3.5</v>
      </c>
      <c r="ET40" s="76">
        <v>3.5</v>
      </c>
      <c r="EU40" s="76">
        <v>3</v>
      </c>
      <c r="EV40" s="76">
        <v>3.5</v>
      </c>
      <c r="EW40" s="76">
        <v>3</v>
      </c>
      <c r="EX40" s="76">
        <v>2.5</v>
      </c>
      <c r="EY40" s="76">
        <v>3</v>
      </c>
      <c r="EZ40" s="76">
        <v>4.5</v>
      </c>
      <c r="FA40" s="76">
        <v>4</v>
      </c>
      <c r="FB40" s="76">
        <v>4.5</v>
      </c>
      <c r="FC40" s="76">
        <v>3</v>
      </c>
      <c r="FD40" s="76">
        <v>3</v>
      </c>
      <c r="FE40" s="76">
        <v>3</v>
      </c>
      <c r="FF40" s="76">
        <v>4</v>
      </c>
      <c r="FG40" s="76">
        <v>3</v>
      </c>
      <c r="FH40" s="76">
        <v>2.5</v>
      </c>
      <c r="FI40" s="76">
        <v>3.5</v>
      </c>
      <c r="FJ40" s="76">
        <v>3</v>
      </c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66</v>
      </c>
      <c r="CT41" s="62">
        <v>66</v>
      </c>
      <c r="CU41" s="62">
        <v>71</v>
      </c>
      <c r="CV41" s="62">
        <v>72</v>
      </c>
      <c r="CW41" s="62">
        <v>87</v>
      </c>
      <c r="CX41" s="62">
        <v>70</v>
      </c>
      <c r="CY41" s="62">
        <v>69</v>
      </c>
      <c r="CZ41" s="62">
        <v>65</v>
      </c>
      <c r="DA41" s="62">
        <v>94</v>
      </c>
      <c r="DB41" s="62">
        <v>99</v>
      </c>
      <c r="DC41" s="62">
        <v>109</v>
      </c>
      <c r="DD41" s="62">
        <v>72</v>
      </c>
      <c r="DE41" s="62">
        <v>67</v>
      </c>
      <c r="DF41" s="62">
        <v>70</v>
      </c>
      <c r="DG41" s="62">
        <v>71</v>
      </c>
      <c r="DH41" s="62">
        <v>62</v>
      </c>
      <c r="DI41" s="62">
        <v>68</v>
      </c>
      <c r="DJ41" s="62">
        <v>64</v>
      </c>
      <c r="DK41" s="62">
        <v>73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68</v>
      </c>
      <c r="DY41" s="76">
        <v>31</v>
      </c>
      <c r="DZ41" s="76">
        <v>31</v>
      </c>
      <c r="EA41" s="76">
        <v>36</v>
      </c>
      <c r="EB41" s="76">
        <v>37</v>
      </c>
      <c r="EC41" s="76">
        <v>44</v>
      </c>
      <c r="ED41" s="76">
        <v>35</v>
      </c>
      <c r="EE41" s="76">
        <v>32</v>
      </c>
      <c r="EF41" s="76">
        <v>33</v>
      </c>
      <c r="EG41" s="76">
        <v>47</v>
      </c>
      <c r="EH41" s="76">
        <v>47</v>
      </c>
      <c r="EI41" s="76">
        <v>55</v>
      </c>
      <c r="EJ41" s="76">
        <v>38</v>
      </c>
      <c r="EK41" s="76">
        <v>32</v>
      </c>
      <c r="EL41" s="76">
        <v>36</v>
      </c>
      <c r="EM41" s="76">
        <v>34</v>
      </c>
      <c r="EN41" s="76">
        <v>30</v>
      </c>
      <c r="EO41" s="76">
        <v>33</v>
      </c>
      <c r="EP41" s="76">
        <v>26</v>
      </c>
      <c r="EQ41" s="76">
        <v>35</v>
      </c>
      <c r="ER41" s="76">
        <v>35</v>
      </c>
      <c r="ES41" s="76">
        <v>35</v>
      </c>
      <c r="ET41" s="76">
        <v>35</v>
      </c>
      <c r="EU41" s="76">
        <v>35</v>
      </c>
      <c r="EV41" s="76">
        <v>43</v>
      </c>
      <c r="EW41" s="76">
        <v>35</v>
      </c>
      <c r="EX41" s="76">
        <v>37</v>
      </c>
      <c r="EY41" s="76">
        <v>32</v>
      </c>
      <c r="EZ41" s="76">
        <v>47</v>
      </c>
      <c r="FA41" s="76">
        <v>52</v>
      </c>
      <c r="FB41" s="76">
        <v>54</v>
      </c>
      <c r="FC41" s="76">
        <v>34</v>
      </c>
      <c r="FD41" s="76">
        <v>35</v>
      </c>
      <c r="FE41" s="76">
        <v>34</v>
      </c>
      <c r="FF41" s="76">
        <v>37</v>
      </c>
      <c r="FG41" s="76">
        <v>32</v>
      </c>
      <c r="FH41" s="76">
        <v>35</v>
      </c>
      <c r="FI41" s="76">
        <v>38</v>
      </c>
      <c r="FJ41" s="76">
        <v>38</v>
      </c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22</v>
      </c>
      <c r="CT42" s="62">
        <v>22</v>
      </c>
      <c r="CU42" s="62">
        <v>22</v>
      </c>
      <c r="CV42" s="62">
        <v>22</v>
      </c>
      <c r="CW42" s="62">
        <v>22</v>
      </c>
      <c r="CX42" s="62">
        <v>22</v>
      </c>
      <c r="CY42" s="62">
        <v>22</v>
      </c>
      <c r="CZ42" s="62">
        <v>22</v>
      </c>
      <c r="DA42" s="62">
        <v>22</v>
      </c>
      <c r="DB42" s="62">
        <v>22</v>
      </c>
      <c r="DC42" s="62">
        <v>22</v>
      </c>
      <c r="DD42" s="62">
        <v>22</v>
      </c>
      <c r="DE42" s="62">
        <v>22</v>
      </c>
      <c r="DF42" s="62">
        <v>22</v>
      </c>
      <c r="DG42" s="62">
        <v>22</v>
      </c>
      <c r="DH42" s="62">
        <v>22</v>
      </c>
      <c r="DI42" s="62">
        <v>22</v>
      </c>
      <c r="DJ42" s="62">
        <v>22</v>
      </c>
      <c r="DK42" s="62">
        <v>22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69</v>
      </c>
      <c r="DY42" s="76">
        <v>11</v>
      </c>
      <c r="DZ42" s="76">
        <v>11</v>
      </c>
      <c r="EA42" s="76">
        <v>11</v>
      </c>
      <c r="EB42" s="76">
        <v>11</v>
      </c>
      <c r="EC42" s="76">
        <v>11</v>
      </c>
      <c r="ED42" s="76">
        <v>11</v>
      </c>
      <c r="EE42" s="76">
        <v>11</v>
      </c>
      <c r="EF42" s="76">
        <v>11</v>
      </c>
      <c r="EG42" s="76">
        <v>11</v>
      </c>
      <c r="EH42" s="76">
        <v>11</v>
      </c>
      <c r="EI42" s="76">
        <v>11</v>
      </c>
      <c r="EJ42" s="76">
        <v>11</v>
      </c>
      <c r="EK42" s="76">
        <v>11</v>
      </c>
      <c r="EL42" s="76">
        <v>11</v>
      </c>
      <c r="EM42" s="76">
        <v>11</v>
      </c>
      <c r="EN42" s="76">
        <v>11</v>
      </c>
      <c r="EO42" s="76">
        <v>11</v>
      </c>
      <c r="EP42" s="76">
        <v>11</v>
      </c>
      <c r="EQ42" s="76">
        <v>11</v>
      </c>
      <c r="ER42" s="76">
        <v>11</v>
      </c>
      <c r="ES42" s="76">
        <v>11</v>
      </c>
      <c r="ET42" s="76">
        <v>11</v>
      </c>
      <c r="EU42" s="76">
        <v>11</v>
      </c>
      <c r="EV42" s="76">
        <v>11</v>
      </c>
      <c r="EW42" s="76">
        <v>11</v>
      </c>
      <c r="EX42" s="76">
        <v>11</v>
      </c>
      <c r="EY42" s="76">
        <v>11</v>
      </c>
      <c r="EZ42" s="76">
        <v>11</v>
      </c>
      <c r="FA42" s="76">
        <v>11</v>
      </c>
      <c r="FB42" s="76">
        <v>11</v>
      </c>
      <c r="FC42" s="76">
        <v>11</v>
      </c>
      <c r="FD42" s="76">
        <v>11</v>
      </c>
      <c r="FE42" s="76">
        <v>11</v>
      </c>
      <c r="FF42" s="76">
        <v>11</v>
      </c>
      <c r="FG42" s="76">
        <v>11</v>
      </c>
      <c r="FH42" s="76">
        <v>11</v>
      </c>
      <c r="FI42" s="76">
        <v>11</v>
      </c>
      <c r="FJ42" s="76">
        <v>11</v>
      </c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</v>
      </c>
      <c r="CT43" s="62">
        <v>3</v>
      </c>
      <c r="CU43" s="62">
        <v>3.2272727272727271</v>
      </c>
      <c r="CV43" s="62">
        <v>3.2727272727272729</v>
      </c>
      <c r="CW43" s="62">
        <v>3.9545454545454546</v>
      </c>
      <c r="CX43" s="62">
        <v>3.1818181818181817</v>
      </c>
      <c r="CY43" s="62">
        <v>3.1363636363636362</v>
      </c>
      <c r="CZ43" s="62">
        <v>2.9545454545454546</v>
      </c>
      <c r="DA43" s="62">
        <v>4.2727272727272725</v>
      </c>
      <c r="DB43" s="62">
        <v>4.5</v>
      </c>
      <c r="DC43" s="62">
        <v>4.9545454545454541</v>
      </c>
      <c r="DD43" s="62">
        <v>3.2727272727272729</v>
      </c>
      <c r="DE43" s="62">
        <v>3.0454545454545454</v>
      </c>
      <c r="DF43" s="62">
        <v>3.1818181818181817</v>
      </c>
      <c r="DG43" s="62">
        <v>3.2272727272727271</v>
      </c>
      <c r="DH43" s="62">
        <v>2.8181818181818183</v>
      </c>
      <c r="DI43" s="62">
        <v>3.0909090909090908</v>
      </c>
      <c r="DJ43" s="62">
        <v>2.9090909090909092</v>
      </c>
      <c r="DK43" s="62">
        <v>3.3181818181818183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25</v>
      </c>
      <c r="DY43" s="76">
        <v>2.8181818181818183</v>
      </c>
      <c r="DZ43" s="76">
        <v>2.8181818181818183</v>
      </c>
      <c r="EA43" s="76">
        <v>3.2727272727272729</v>
      </c>
      <c r="EB43" s="76">
        <v>3.3636363636363638</v>
      </c>
      <c r="EC43" s="76">
        <v>4</v>
      </c>
      <c r="ED43" s="76">
        <v>3.1818181818181817</v>
      </c>
      <c r="EE43" s="76">
        <v>2.9090909090909092</v>
      </c>
      <c r="EF43" s="76">
        <v>3</v>
      </c>
      <c r="EG43" s="76">
        <v>4.2727272727272725</v>
      </c>
      <c r="EH43" s="76">
        <v>4.2727272727272725</v>
      </c>
      <c r="EI43" s="76">
        <v>5</v>
      </c>
      <c r="EJ43" s="76">
        <v>3.4545454545454546</v>
      </c>
      <c r="EK43" s="76">
        <v>2.9090909090909092</v>
      </c>
      <c r="EL43" s="76">
        <v>3.2727272727272729</v>
      </c>
      <c r="EM43" s="76">
        <v>3.0909090909090908</v>
      </c>
      <c r="EN43" s="76">
        <v>2.7272727272727271</v>
      </c>
      <c r="EO43" s="76">
        <v>3</v>
      </c>
      <c r="EP43" s="76">
        <v>2.3636363636363638</v>
      </c>
      <c r="EQ43" s="76">
        <v>3.1818181818181817</v>
      </c>
      <c r="ER43" s="76">
        <v>3.1818181818181817</v>
      </c>
      <c r="ES43" s="76">
        <v>3.1818181818181817</v>
      </c>
      <c r="ET43" s="76">
        <v>3.1818181818181817</v>
      </c>
      <c r="EU43" s="76">
        <v>3.1818181818181817</v>
      </c>
      <c r="EV43" s="76">
        <v>3.9090909090909092</v>
      </c>
      <c r="EW43" s="76">
        <v>3.1818181818181817</v>
      </c>
      <c r="EX43" s="76">
        <v>3.3636363636363638</v>
      </c>
      <c r="EY43" s="76">
        <v>2.9090909090909092</v>
      </c>
      <c r="EZ43" s="76">
        <v>4.2727272727272725</v>
      </c>
      <c r="FA43" s="76">
        <v>4.7272727272727275</v>
      </c>
      <c r="FB43" s="76">
        <v>4.9090909090909092</v>
      </c>
      <c r="FC43" s="76">
        <v>3.0909090909090908</v>
      </c>
      <c r="FD43" s="76">
        <v>3.1818181818181817</v>
      </c>
      <c r="FE43" s="76">
        <v>3.0909090909090908</v>
      </c>
      <c r="FF43" s="76">
        <v>3.3636363636363638</v>
      </c>
      <c r="FG43" s="76">
        <v>2.9090909090909092</v>
      </c>
      <c r="FH43" s="76">
        <v>3.1818181818181817</v>
      </c>
      <c r="FI43" s="76">
        <v>3.4545454545454546</v>
      </c>
      <c r="FJ43" s="76">
        <v>3.4545454545454546</v>
      </c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121</v>
      </c>
      <c r="CT44" s="62">
        <v>125</v>
      </c>
      <c r="CU44" s="62">
        <v>141</v>
      </c>
      <c r="CV44" s="62">
        <v>139</v>
      </c>
      <c r="CW44" s="62">
        <v>165</v>
      </c>
      <c r="CX44" s="62">
        <v>131</v>
      </c>
      <c r="CY44" s="62">
        <v>137</v>
      </c>
      <c r="CZ44" s="62">
        <v>120</v>
      </c>
      <c r="DA44" s="62">
        <v>181</v>
      </c>
      <c r="DB44" s="62">
        <v>188</v>
      </c>
      <c r="DC44" s="62">
        <v>209</v>
      </c>
      <c r="DD44" s="62">
        <v>140</v>
      </c>
      <c r="DE44" s="62">
        <v>124</v>
      </c>
      <c r="DF44" s="62">
        <v>130</v>
      </c>
      <c r="DG44" s="62">
        <v>132</v>
      </c>
      <c r="DH44" s="62">
        <v>114</v>
      </c>
      <c r="DI44" s="62">
        <v>132</v>
      </c>
      <c r="DJ44" s="62">
        <v>127</v>
      </c>
      <c r="DK44" s="62">
        <v>136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128</v>
      </c>
      <c r="DY44" s="76">
        <v>59</v>
      </c>
      <c r="DZ44" s="76">
        <v>62</v>
      </c>
      <c r="EA44" s="76">
        <v>69</v>
      </c>
      <c r="EB44" s="76">
        <v>73</v>
      </c>
      <c r="EC44" s="76">
        <v>80</v>
      </c>
      <c r="ED44" s="76">
        <v>67</v>
      </c>
      <c r="EE44" s="76">
        <v>64</v>
      </c>
      <c r="EF44" s="76">
        <v>60</v>
      </c>
      <c r="EG44" s="76">
        <v>89</v>
      </c>
      <c r="EH44" s="76">
        <v>88</v>
      </c>
      <c r="EI44" s="76">
        <v>104</v>
      </c>
      <c r="EJ44" s="76">
        <v>72</v>
      </c>
      <c r="EK44" s="76">
        <v>58</v>
      </c>
      <c r="EL44" s="76">
        <v>67</v>
      </c>
      <c r="EM44" s="76">
        <v>64</v>
      </c>
      <c r="EN44" s="76">
        <v>55</v>
      </c>
      <c r="EO44" s="76">
        <v>64</v>
      </c>
      <c r="EP44" s="76">
        <v>56</v>
      </c>
      <c r="EQ44" s="76">
        <v>66</v>
      </c>
      <c r="ER44" s="76">
        <v>62</v>
      </c>
      <c r="ES44" s="76">
        <v>63</v>
      </c>
      <c r="ET44" s="76">
        <v>72</v>
      </c>
      <c r="EU44" s="76">
        <v>66</v>
      </c>
      <c r="EV44" s="76">
        <v>85</v>
      </c>
      <c r="EW44" s="76">
        <v>64</v>
      </c>
      <c r="EX44" s="76">
        <v>73</v>
      </c>
      <c r="EY44" s="76">
        <v>60</v>
      </c>
      <c r="EZ44" s="76">
        <v>92</v>
      </c>
      <c r="FA44" s="76">
        <v>100</v>
      </c>
      <c r="FB44" s="76">
        <v>105</v>
      </c>
      <c r="FC44" s="76">
        <v>68</v>
      </c>
      <c r="FD44" s="76">
        <v>66</v>
      </c>
      <c r="FE44" s="76">
        <v>63</v>
      </c>
      <c r="FF44" s="76">
        <v>68</v>
      </c>
      <c r="FG44" s="76">
        <v>59</v>
      </c>
      <c r="FH44" s="76">
        <v>68</v>
      </c>
      <c r="FI44" s="76">
        <v>71</v>
      </c>
      <c r="FJ44" s="76">
        <v>70</v>
      </c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40</v>
      </c>
      <c r="CT45" s="62">
        <v>40</v>
      </c>
      <c r="CU45" s="62">
        <v>40</v>
      </c>
      <c r="CV45" s="62">
        <v>40</v>
      </c>
      <c r="CW45" s="62">
        <v>40</v>
      </c>
      <c r="CX45" s="62">
        <v>40</v>
      </c>
      <c r="CY45" s="62">
        <v>40</v>
      </c>
      <c r="CZ45" s="62">
        <v>40</v>
      </c>
      <c r="DA45" s="62">
        <v>40</v>
      </c>
      <c r="DB45" s="62">
        <v>40</v>
      </c>
      <c r="DC45" s="62">
        <v>40</v>
      </c>
      <c r="DD45" s="62">
        <v>40</v>
      </c>
      <c r="DE45" s="62">
        <v>40</v>
      </c>
      <c r="DF45" s="62">
        <v>40</v>
      </c>
      <c r="DG45" s="62">
        <v>40</v>
      </c>
      <c r="DH45" s="62">
        <v>40</v>
      </c>
      <c r="DI45" s="62">
        <v>40</v>
      </c>
      <c r="DJ45" s="62">
        <v>40</v>
      </c>
      <c r="DK45" s="62">
        <v>40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129</v>
      </c>
      <c r="DY45" s="76">
        <v>20</v>
      </c>
      <c r="DZ45" s="76">
        <v>20</v>
      </c>
      <c r="EA45" s="76">
        <v>20</v>
      </c>
      <c r="EB45" s="76">
        <v>20</v>
      </c>
      <c r="EC45" s="76">
        <v>20</v>
      </c>
      <c r="ED45" s="76">
        <v>20</v>
      </c>
      <c r="EE45" s="76">
        <v>20</v>
      </c>
      <c r="EF45" s="76">
        <v>20</v>
      </c>
      <c r="EG45" s="76">
        <v>20</v>
      </c>
      <c r="EH45" s="76">
        <v>20</v>
      </c>
      <c r="EI45" s="76">
        <v>20</v>
      </c>
      <c r="EJ45" s="76">
        <v>20</v>
      </c>
      <c r="EK45" s="76">
        <v>20</v>
      </c>
      <c r="EL45" s="76">
        <v>20</v>
      </c>
      <c r="EM45" s="76">
        <v>20</v>
      </c>
      <c r="EN45" s="76">
        <v>20</v>
      </c>
      <c r="EO45" s="76">
        <v>20</v>
      </c>
      <c r="EP45" s="76">
        <v>20</v>
      </c>
      <c r="EQ45" s="76">
        <v>20</v>
      </c>
      <c r="ER45" s="76">
        <v>20</v>
      </c>
      <c r="ES45" s="76">
        <v>20</v>
      </c>
      <c r="ET45" s="76">
        <v>20</v>
      </c>
      <c r="EU45" s="76">
        <v>20</v>
      </c>
      <c r="EV45" s="76">
        <v>20</v>
      </c>
      <c r="EW45" s="76">
        <v>20</v>
      </c>
      <c r="EX45" s="76">
        <v>20</v>
      </c>
      <c r="EY45" s="76">
        <v>20</v>
      </c>
      <c r="EZ45" s="76">
        <v>20</v>
      </c>
      <c r="FA45" s="76">
        <v>20</v>
      </c>
      <c r="FB45" s="76">
        <v>20</v>
      </c>
      <c r="FC45" s="76">
        <v>20</v>
      </c>
      <c r="FD45" s="76">
        <v>20</v>
      </c>
      <c r="FE45" s="76">
        <v>20</v>
      </c>
      <c r="FF45" s="76">
        <v>20</v>
      </c>
      <c r="FG45" s="76">
        <v>20</v>
      </c>
      <c r="FH45" s="76">
        <v>20</v>
      </c>
      <c r="FI45" s="76">
        <v>20</v>
      </c>
      <c r="FJ45" s="76">
        <v>20</v>
      </c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3.0249999999999999</v>
      </c>
      <c r="CT46" s="62">
        <v>3.125</v>
      </c>
      <c r="CU46" s="62">
        <v>3.5249999999999999</v>
      </c>
      <c r="CV46" s="62">
        <v>3.4750000000000001</v>
      </c>
      <c r="CW46" s="62">
        <v>4.125</v>
      </c>
      <c r="CX46" s="62">
        <v>3.2749999999999999</v>
      </c>
      <c r="CY46" s="62">
        <v>3.4249999999999998</v>
      </c>
      <c r="CZ46" s="62">
        <v>3</v>
      </c>
      <c r="DA46" s="62">
        <v>4.5250000000000004</v>
      </c>
      <c r="DB46" s="62">
        <v>4.7</v>
      </c>
      <c r="DC46" s="62">
        <v>5.2249999999999996</v>
      </c>
      <c r="DD46" s="62">
        <v>3.5</v>
      </c>
      <c r="DE46" s="62">
        <v>3.1</v>
      </c>
      <c r="DF46" s="62">
        <v>3.25</v>
      </c>
      <c r="DG46" s="62">
        <v>3.3</v>
      </c>
      <c r="DH46" s="62">
        <v>2.85</v>
      </c>
      <c r="DI46" s="62">
        <v>3.3</v>
      </c>
      <c r="DJ46" s="62">
        <v>3.1749999999999998</v>
      </c>
      <c r="DK46" s="62">
        <v>3.4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130</v>
      </c>
      <c r="DY46" s="76">
        <v>2.95</v>
      </c>
      <c r="DZ46" s="76">
        <v>3.1</v>
      </c>
      <c r="EA46" s="76">
        <v>3.45</v>
      </c>
      <c r="EB46" s="76">
        <v>3.65</v>
      </c>
      <c r="EC46" s="76">
        <v>4</v>
      </c>
      <c r="ED46" s="76">
        <v>3.35</v>
      </c>
      <c r="EE46" s="76">
        <v>3.2</v>
      </c>
      <c r="EF46" s="76">
        <v>3</v>
      </c>
      <c r="EG46" s="76">
        <v>4.45</v>
      </c>
      <c r="EH46" s="76">
        <v>4.4000000000000004</v>
      </c>
      <c r="EI46" s="76">
        <v>5.2</v>
      </c>
      <c r="EJ46" s="76">
        <v>3.6</v>
      </c>
      <c r="EK46" s="76">
        <v>2.9</v>
      </c>
      <c r="EL46" s="76">
        <v>3.35</v>
      </c>
      <c r="EM46" s="76">
        <v>3.2</v>
      </c>
      <c r="EN46" s="76">
        <v>2.75</v>
      </c>
      <c r="EO46" s="76">
        <v>3.2</v>
      </c>
      <c r="EP46" s="76">
        <v>2.8</v>
      </c>
      <c r="EQ46" s="76">
        <v>3.3</v>
      </c>
      <c r="ER46" s="76">
        <v>3.1</v>
      </c>
      <c r="ES46" s="76">
        <v>3.15</v>
      </c>
      <c r="ET46" s="76">
        <v>3.6</v>
      </c>
      <c r="EU46" s="76">
        <v>3.3</v>
      </c>
      <c r="EV46" s="76">
        <v>4.25</v>
      </c>
      <c r="EW46" s="76">
        <v>3.2</v>
      </c>
      <c r="EX46" s="76">
        <v>3.65</v>
      </c>
      <c r="EY46" s="76">
        <v>3</v>
      </c>
      <c r="EZ46" s="76">
        <v>4.5999999999999996</v>
      </c>
      <c r="FA46" s="76">
        <v>5</v>
      </c>
      <c r="FB46" s="76">
        <v>5.25</v>
      </c>
      <c r="FC46" s="76">
        <v>3.4</v>
      </c>
      <c r="FD46" s="76">
        <v>3.3</v>
      </c>
      <c r="FE46" s="76">
        <v>3.15</v>
      </c>
      <c r="FF46" s="76">
        <v>3.4</v>
      </c>
      <c r="FG46" s="76">
        <v>2.95</v>
      </c>
      <c r="FH46" s="76">
        <v>3.4</v>
      </c>
      <c r="FI46" s="76">
        <v>3.55</v>
      </c>
      <c r="FJ46" s="76">
        <v>3.5</v>
      </c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187</v>
      </c>
      <c r="CT47" s="62">
        <v>191</v>
      </c>
      <c r="CU47" s="62">
        <v>210</v>
      </c>
      <c r="CV47" s="62">
        <v>206</v>
      </c>
      <c r="CW47" s="62">
        <v>251</v>
      </c>
      <c r="CX47" s="62">
        <v>197</v>
      </c>
      <c r="CY47" s="62">
        <v>209</v>
      </c>
      <c r="CZ47" s="62">
        <v>184</v>
      </c>
      <c r="DA47" s="62">
        <v>276</v>
      </c>
      <c r="DB47" s="62">
        <v>274</v>
      </c>
      <c r="DC47" s="62">
        <v>321</v>
      </c>
      <c r="DD47" s="62">
        <v>216</v>
      </c>
      <c r="DE47" s="62">
        <v>188</v>
      </c>
      <c r="DF47" s="62">
        <v>194</v>
      </c>
      <c r="DG47" s="62">
        <v>198</v>
      </c>
      <c r="DH47" s="62">
        <v>169</v>
      </c>
      <c r="DI47" s="62">
        <v>199</v>
      </c>
      <c r="DJ47" s="62">
        <v>199</v>
      </c>
      <c r="DK47" s="62">
        <v>214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131</v>
      </c>
      <c r="DY47" s="76">
        <v>90</v>
      </c>
      <c r="DZ47" s="76">
        <v>96</v>
      </c>
      <c r="EA47" s="76">
        <v>102</v>
      </c>
      <c r="EB47" s="76">
        <v>106</v>
      </c>
      <c r="EC47" s="76">
        <v>123</v>
      </c>
      <c r="ED47" s="76">
        <v>99</v>
      </c>
      <c r="EE47" s="76">
        <v>101</v>
      </c>
      <c r="EF47" s="76">
        <v>90</v>
      </c>
      <c r="EG47" s="76">
        <v>137</v>
      </c>
      <c r="EH47" s="76">
        <v>130</v>
      </c>
      <c r="EI47" s="76">
        <v>154</v>
      </c>
      <c r="EJ47" s="76">
        <v>111</v>
      </c>
      <c r="EK47" s="76">
        <v>89</v>
      </c>
      <c r="EL47" s="76">
        <v>99</v>
      </c>
      <c r="EM47" s="76">
        <v>96</v>
      </c>
      <c r="EN47" s="76">
        <v>82</v>
      </c>
      <c r="EO47" s="76">
        <v>95</v>
      </c>
      <c r="EP47" s="76">
        <v>93</v>
      </c>
      <c r="EQ47" s="76">
        <v>104</v>
      </c>
      <c r="ER47" s="76">
        <v>97</v>
      </c>
      <c r="ES47" s="76">
        <v>95</v>
      </c>
      <c r="ET47" s="76">
        <v>108</v>
      </c>
      <c r="EU47" s="76">
        <v>100</v>
      </c>
      <c r="EV47" s="76">
        <v>128</v>
      </c>
      <c r="EW47" s="76">
        <v>98</v>
      </c>
      <c r="EX47" s="76">
        <v>108</v>
      </c>
      <c r="EY47" s="76">
        <v>94</v>
      </c>
      <c r="EZ47" s="76">
        <v>139</v>
      </c>
      <c r="FA47" s="76">
        <v>144</v>
      </c>
      <c r="FB47" s="76">
        <v>167</v>
      </c>
      <c r="FC47" s="76">
        <v>105</v>
      </c>
      <c r="FD47" s="76">
        <v>99</v>
      </c>
      <c r="FE47" s="76">
        <v>95</v>
      </c>
      <c r="FF47" s="76">
        <v>102</v>
      </c>
      <c r="FG47" s="76">
        <v>87</v>
      </c>
      <c r="FH47" s="76">
        <v>104</v>
      </c>
      <c r="FI47" s="76">
        <v>106</v>
      </c>
      <c r="FJ47" s="76">
        <v>110</v>
      </c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62</v>
      </c>
      <c r="CT48" s="62">
        <v>62</v>
      </c>
      <c r="CU48" s="62">
        <v>62</v>
      </c>
      <c r="CV48" s="62">
        <v>62</v>
      </c>
      <c r="CW48" s="62">
        <v>62</v>
      </c>
      <c r="CX48" s="62">
        <v>62</v>
      </c>
      <c r="CY48" s="62">
        <v>62</v>
      </c>
      <c r="CZ48" s="62">
        <v>62</v>
      </c>
      <c r="DA48" s="62">
        <v>62</v>
      </c>
      <c r="DB48" s="62">
        <v>62</v>
      </c>
      <c r="DC48" s="62">
        <v>62</v>
      </c>
      <c r="DD48" s="62">
        <v>62</v>
      </c>
      <c r="DE48" s="62">
        <v>62</v>
      </c>
      <c r="DF48" s="62">
        <v>62</v>
      </c>
      <c r="DG48" s="62">
        <v>62</v>
      </c>
      <c r="DH48" s="62">
        <v>62</v>
      </c>
      <c r="DI48" s="62">
        <v>62</v>
      </c>
      <c r="DJ48" s="62">
        <v>62</v>
      </c>
      <c r="DK48" s="62">
        <v>62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132</v>
      </c>
      <c r="DY48" s="76">
        <v>31</v>
      </c>
      <c r="DZ48" s="76">
        <v>31</v>
      </c>
      <c r="EA48" s="76">
        <v>31</v>
      </c>
      <c r="EB48" s="76">
        <v>31</v>
      </c>
      <c r="EC48" s="76">
        <v>31</v>
      </c>
      <c r="ED48" s="76">
        <v>31</v>
      </c>
      <c r="EE48" s="76">
        <v>31</v>
      </c>
      <c r="EF48" s="76">
        <v>31</v>
      </c>
      <c r="EG48" s="76">
        <v>31</v>
      </c>
      <c r="EH48" s="76">
        <v>31</v>
      </c>
      <c r="EI48" s="76">
        <v>31</v>
      </c>
      <c r="EJ48" s="76">
        <v>31</v>
      </c>
      <c r="EK48" s="76">
        <v>31</v>
      </c>
      <c r="EL48" s="76">
        <v>31</v>
      </c>
      <c r="EM48" s="76">
        <v>31</v>
      </c>
      <c r="EN48" s="76">
        <v>31</v>
      </c>
      <c r="EO48" s="76">
        <v>31</v>
      </c>
      <c r="EP48" s="76">
        <v>31</v>
      </c>
      <c r="EQ48" s="76">
        <v>31</v>
      </c>
      <c r="ER48" s="76">
        <v>31</v>
      </c>
      <c r="ES48" s="76">
        <v>31</v>
      </c>
      <c r="ET48" s="76">
        <v>31</v>
      </c>
      <c r="EU48" s="76">
        <v>31</v>
      </c>
      <c r="EV48" s="76">
        <v>31</v>
      </c>
      <c r="EW48" s="76">
        <v>31</v>
      </c>
      <c r="EX48" s="76">
        <v>31</v>
      </c>
      <c r="EY48" s="76">
        <v>31</v>
      </c>
      <c r="EZ48" s="76">
        <v>31</v>
      </c>
      <c r="FA48" s="76">
        <v>31</v>
      </c>
      <c r="FB48" s="76">
        <v>31</v>
      </c>
      <c r="FC48" s="76">
        <v>31</v>
      </c>
      <c r="FD48" s="76">
        <v>31</v>
      </c>
      <c r="FE48" s="76">
        <v>31</v>
      </c>
      <c r="FF48" s="76">
        <v>31</v>
      </c>
      <c r="FG48" s="76">
        <v>31</v>
      </c>
      <c r="FH48" s="76">
        <v>31</v>
      </c>
      <c r="FI48" s="76">
        <v>31</v>
      </c>
      <c r="FJ48" s="76">
        <v>31</v>
      </c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3.0161290322580645</v>
      </c>
      <c r="CT49" s="62">
        <v>3.0806451612903225</v>
      </c>
      <c r="CU49" s="62">
        <v>3.3870967741935485</v>
      </c>
      <c r="CV49" s="62">
        <v>3.3225806451612905</v>
      </c>
      <c r="CW49" s="62">
        <v>4.0483870967741939</v>
      </c>
      <c r="CX49" s="62">
        <v>3.1774193548387095</v>
      </c>
      <c r="CY49" s="62">
        <v>3.370967741935484</v>
      </c>
      <c r="CZ49" s="62">
        <v>2.967741935483871</v>
      </c>
      <c r="DA49" s="62">
        <v>4.4516129032258061</v>
      </c>
      <c r="DB49" s="62">
        <v>4.419354838709677</v>
      </c>
      <c r="DC49" s="62">
        <v>5.17741935483871</v>
      </c>
      <c r="DD49" s="62">
        <v>3.4838709677419355</v>
      </c>
      <c r="DE49" s="62">
        <v>3.032258064516129</v>
      </c>
      <c r="DF49" s="62">
        <v>3.129032258064516</v>
      </c>
      <c r="DG49" s="62">
        <v>3.193548387096774</v>
      </c>
      <c r="DH49" s="62">
        <v>2.725806451612903</v>
      </c>
      <c r="DI49" s="62">
        <v>3.2096774193548385</v>
      </c>
      <c r="DJ49" s="62">
        <v>3.2096774193548385</v>
      </c>
      <c r="DK49" s="62">
        <v>3.4516129032258065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133</v>
      </c>
      <c r="DY49" s="76">
        <v>2.903225806451613</v>
      </c>
      <c r="DZ49" s="76">
        <v>3.096774193548387</v>
      </c>
      <c r="EA49" s="76">
        <v>3.2903225806451615</v>
      </c>
      <c r="EB49" s="76">
        <v>3.4193548387096775</v>
      </c>
      <c r="EC49" s="76">
        <v>3.967741935483871</v>
      </c>
      <c r="ED49" s="76">
        <v>3.193548387096774</v>
      </c>
      <c r="EE49" s="76">
        <v>3.2580645161290325</v>
      </c>
      <c r="EF49" s="76">
        <v>2.903225806451613</v>
      </c>
      <c r="EG49" s="76">
        <v>4.419354838709677</v>
      </c>
      <c r="EH49" s="76">
        <v>4.193548387096774</v>
      </c>
      <c r="EI49" s="76">
        <v>4.967741935483871</v>
      </c>
      <c r="EJ49" s="76">
        <v>3.5806451612903225</v>
      </c>
      <c r="EK49" s="76">
        <v>2.870967741935484</v>
      </c>
      <c r="EL49" s="76">
        <v>3.193548387096774</v>
      </c>
      <c r="EM49" s="76">
        <v>3.096774193548387</v>
      </c>
      <c r="EN49" s="76">
        <v>2.6451612903225805</v>
      </c>
      <c r="EO49" s="76">
        <v>3.064516129032258</v>
      </c>
      <c r="EP49" s="76">
        <v>3</v>
      </c>
      <c r="EQ49" s="76">
        <v>3.3548387096774195</v>
      </c>
      <c r="ER49" s="76">
        <v>3.129032258064516</v>
      </c>
      <c r="ES49" s="76">
        <v>3.064516129032258</v>
      </c>
      <c r="ET49" s="76">
        <v>3.4838709677419355</v>
      </c>
      <c r="EU49" s="76">
        <v>3.225806451612903</v>
      </c>
      <c r="EV49" s="76">
        <v>4.129032258064516</v>
      </c>
      <c r="EW49" s="76">
        <v>3.161290322580645</v>
      </c>
      <c r="EX49" s="76">
        <v>3.4838709677419355</v>
      </c>
      <c r="EY49" s="76">
        <v>3.032258064516129</v>
      </c>
      <c r="EZ49" s="76">
        <v>4.4838709677419351</v>
      </c>
      <c r="FA49" s="76">
        <v>4.645161290322581</v>
      </c>
      <c r="FB49" s="76">
        <v>5.387096774193548</v>
      </c>
      <c r="FC49" s="76">
        <v>3.3870967741935485</v>
      </c>
      <c r="FD49" s="76">
        <v>3.193548387096774</v>
      </c>
      <c r="FE49" s="76">
        <v>3.064516129032258</v>
      </c>
      <c r="FF49" s="76">
        <v>3.2903225806451615</v>
      </c>
      <c r="FG49" s="76">
        <v>2.806451612903226</v>
      </c>
      <c r="FH49" s="76">
        <v>3.3548387096774195</v>
      </c>
      <c r="FI49" s="76">
        <v>3.4193548387096775</v>
      </c>
      <c r="FJ49" s="76">
        <v>3.5483870967741935</v>
      </c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252</v>
      </c>
      <c r="CT50" s="62">
        <v>252</v>
      </c>
      <c r="CU50" s="62">
        <v>277</v>
      </c>
      <c r="CV50" s="62">
        <v>271</v>
      </c>
      <c r="CW50" s="62">
        <v>329</v>
      </c>
      <c r="CX50" s="62">
        <v>265</v>
      </c>
      <c r="CY50" s="62">
        <v>273</v>
      </c>
      <c r="CZ50" s="62">
        <v>238</v>
      </c>
      <c r="DA50" s="62">
        <v>362</v>
      </c>
      <c r="DB50" s="62">
        <v>364</v>
      </c>
      <c r="DC50" s="62">
        <v>414</v>
      </c>
      <c r="DD50" s="62">
        <v>285</v>
      </c>
      <c r="DE50" s="62">
        <v>250</v>
      </c>
      <c r="DF50" s="62">
        <v>258</v>
      </c>
      <c r="DG50" s="62">
        <v>270</v>
      </c>
      <c r="DH50" s="62">
        <v>225</v>
      </c>
      <c r="DI50" s="62">
        <v>257</v>
      </c>
      <c r="DJ50" s="62">
        <v>264</v>
      </c>
      <c r="DK50" s="62">
        <v>286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134</v>
      </c>
      <c r="DY50" s="76">
        <v>121</v>
      </c>
      <c r="DZ50" s="76">
        <v>127</v>
      </c>
      <c r="EA50" s="76">
        <v>133</v>
      </c>
      <c r="EB50" s="76">
        <v>141</v>
      </c>
      <c r="EC50" s="76">
        <v>159</v>
      </c>
      <c r="ED50" s="76">
        <v>134</v>
      </c>
      <c r="EE50" s="76">
        <v>130</v>
      </c>
      <c r="EF50" s="76">
        <v>117</v>
      </c>
      <c r="EG50" s="76">
        <v>179</v>
      </c>
      <c r="EH50" s="76">
        <v>173</v>
      </c>
      <c r="EI50" s="76">
        <v>203</v>
      </c>
      <c r="EJ50" s="76">
        <v>147</v>
      </c>
      <c r="EK50" s="76">
        <v>118</v>
      </c>
      <c r="EL50" s="76">
        <v>128</v>
      </c>
      <c r="EM50" s="76">
        <v>135</v>
      </c>
      <c r="EN50" s="76">
        <v>108</v>
      </c>
      <c r="EO50" s="76">
        <v>124</v>
      </c>
      <c r="EP50" s="76">
        <v>123</v>
      </c>
      <c r="EQ50" s="76">
        <v>137</v>
      </c>
      <c r="ER50" s="76">
        <v>131</v>
      </c>
      <c r="ES50" s="76">
        <v>125</v>
      </c>
      <c r="ET50" s="76">
        <v>144</v>
      </c>
      <c r="EU50" s="76">
        <v>130</v>
      </c>
      <c r="EV50" s="76">
        <v>170</v>
      </c>
      <c r="EW50" s="76">
        <v>131</v>
      </c>
      <c r="EX50" s="76">
        <v>143</v>
      </c>
      <c r="EY50" s="76">
        <v>121</v>
      </c>
      <c r="EZ50" s="76">
        <v>183</v>
      </c>
      <c r="FA50" s="76">
        <v>191</v>
      </c>
      <c r="FB50" s="76">
        <v>211</v>
      </c>
      <c r="FC50" s="76">
        <v>138</v>
      </c>
      <c r="FD50" s="76">
        <v>132</v>
      </c>
      <c r="FE50" s="76">
        <v>130</v>
      </c>
      <c r="FF50" s="76">
        <v>135</v>
      </c>
      <c r="FG50" s="76">
        <v>117</v>
      </c>
      <c r="FH50" s="76">
        <v>133</v>
      </c>
      <c r="FI50" s="76">
        <v>141</v>
      </c>
      <c r="FJ50" s="76">
        <v>149</v>
      </c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82</v>
      </c>
      <c r="CT51" s="62">
        <v>82</v>
      </c>
      <c r="CU51" s="62">
        <v>82</v>
      </c>
      <c r="CV51" s="62">
        <v>82</v>
      </c>
      <c r="CW51" s="62">
        <v>82</v>
      </c>
      <c r="CX51" s="62">
        <v>82</v>
      </c>
      <c r="CY51" s="62">
        <v>82</v>
      </c>
      <c r="CZ51" s="62">
        <v>82</v>
      </c>
      <c r="DA51" s="62">
        <v>82</v>
      </c>
      <c r="DB51" s="62">
        <v>82</v>
      </c>
      <c r="DC51" s="62">
        <v>82</v>
      </c>
      <c r="DD51" s="62">
        <v>82</v>
      </c>
      <c r="DE51" s="62">
        <v>82</v>
      </c>
      <c r="DF51" s="62">
        <v>82</v>
      </c>
      <c r="DG51" s="62">
        <v>82</v>
      </c>
      <c r="DH51" s="62">
        <v>82</v>
      </c>
      <c r="DI51" s="62">
        <v>82</v>
      </c>
      <c r="DJ51" s="62">
        <v>82</v>
      </c>
      <c r="DK51" s="62">
        <v>82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135</v>
      </c>
      <c r="DY51" s="76">
        <v>41</v>
      </c>
      <c r="DZ51" s="76">
        <v>41</v>
      </c>
      <c r="EA51" s="76">
        <v>41</v>
      </c>
      <c r="EB51" s="76">
        <v>41</v>
      </c>
      <c r="EC51" s="76">
        <v>41</v>
      </c>
      <c r="ED51" s="76">
        <v>41</v>
      </c>
      <c r="EE51" s="76">
        <v>41</v>
      </c>
      <c r="EF51" s="76">
        <v>41</v>
      </c>
      <c r="EG51" s="76">
        <v>41</v>
      </c>
      <c r="EH51" s="76">
        <v>41</v>
      </c>
      <c r="EI51" s="76">
        <v>41</v>
      </c>
      <c r="EJ51" s="76">
        <v>41</v>
      </c>
      <c r="EK51" s="76">
        <v>41</v>
      </c>
      <c r="EL51" s="76">
        <v>41</v>
      </c>
      <c r="EM51" s="76">
        <v>41</v>
      </c>
      <c r="EN51" s="76">
        <v>41</v>
      </c>
      <c r="EO51" s="76">
        <v>41</v>
      </c>
      <c r="EP51" s="76">
        <v>41</v>
      </c>
      <c r="EQ51" s="76">
        <v>41</v>
      </c>
      <c r="ER51" s="76">
        <v>41</v>
      </c>
      <c r="ES51" s="76">
        <v>41</v>
      </c>
      <c r="ET51" s="76">
        <v>41</v>
      </c>
      <c r="EU51" s="76">
        <v>41</v>
      </c>
      <c r="EV51" s="76">
        <v>41</v>
      </c>
      <c r="EW51" s="76">
        <v>41</v>
      </c>
      <c r="EX51" s="76">
        <v>41</v>
      </c>
      <c r="EY51" s="76">
        <v>41</v>
      </c>
      <c r="EZ51" s="76">
        <v>41</v>
      </c>
      <c r="FA51" s="76">
        <v>41</v>
      </c>
      <c r="FB51" s="76">
        <v>41</v>
      </c>
      <c r="FC51" s="76">
        <v>41</v>
      </c>
      <c r="FD51" s="76">
        <v>41</v>
      </c>
      <c r="FE51" s="76">
        <v>41</v>
      </c>
      <c r="FF51" s="76">
        <v>41</v>
      </c>
      <c r="FG51" s="76">
        <v>41</v>
      </c>
      <c r="FH51" s="76">
        <v>41</v>
      </c>
      <c r="FI51" s="76">
        <v>41</v>
      </c>
      <c r="FJ51" s="76">
        <v>41</v>
      </c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3.0731707317073171</v>
      </c>
      <c r="CT52" s="62">
        <v>3.0731707317073171</v>
      </c>
      <c r="CU52" s="62">
        <v>3.3780487804878048</v>
      </c>
      <c r="CV52" s="62">
        <v>3.3048780487804876</v>
      </c>
      <c r="CW52" s="62">
        <v>4.0121951219512191</v>
      </c>
      <c r="CX52" s="62">
        <v>3.2317073170731709</v>
      </c>
      <c r="CY52" s="62">
        <v>3.3292682926829267</v>
      </c>
      <c r="CZ52" s="62">
        <v>2.9024390243902438</v>
      </c>
      <c r="DA52" s="62">
        <v>4.4146341463414638</v>
      </c>
      <c r="DB52" s="62">
        <v>4.4390243902439028</v>
      </c>
      <c r="DC52" s="62">
        <v>5.0487804878048781</v>
      </c>
      <c r="DD52" s="62">
        <v>3.475609756097561</v>
      </c>
      <c r="DE52" s="62">
        <v>3.0487804878048781</v>
      </c>
      <c r="DF52" s="62">
        <v>3.1463414634146343</v>
      </c>
      <c r="DG52" s="62">
        <v>3.2926829268292681</v>
      </c>
      <c r="DH52" s="62">
        <v>2.7439024390243905</v>
      </c>
      <c r="DI52" s="62">
        <v>3.1341463414634148</v>
      </c>
      <c r="DJ52" s="62">
        <v>3.2195121951219514</v>
      </c>
      <c r="DK52" s="62">
        <v>3.4878048780487805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136</v>
      </c>
      <c r="DY52" s="76">
        <v>2.9512195121951219</v>
      </c>
      <c r="DZ52" s="76">
        <v>3.0975609756097562</v>
      </c>
      <c r="EA52" s="76">
        <v>3.2439024390243905</v>
      </c>
      <c r="EB52" s="76">
        <v>3.4390243902439024</v>
      </c>
      <c r="EC52" s="76">
        <v>3.8780487804878048</v>
      </c>
      <c r="ED52" s="76">
        <v>3.2682926829268291</v>
      </c>
      <c r="EE52" s="76">
        <v>3.1707317073170733</v>
      </c>
      <c r="EF52" s="76">
        <v>2.8536585365853657</v>
      </c>
      <c r="EG52" s="76">
        <v>4.3658536585365857</v>
      </c>
      <c r="EH52" s="76">
        <v>4.2195121951219514</v>
      </c>
      <c r="EI52" s="76">
        <v>4.9512195121951219</v>
      </c>
      <c r="EJ52" s="76">
        <v>3.5853658536585367</v>
      </c>
      <c r="EK52" s="76">
        <v>2.8780487804878048</v>
      </c>
      <c r="EL52" s="76">
        <v>3.1219512195121952</v>
      </c>
      <c r="EM52" s="76">
        <v>3.2926829268292681</v>
      </c>
      <c r="EN52" s="76">
        <v>2.6341463414634148</v>
      </c>
      <c r="EO52" s="76">
        <v>3.024390243902439</v>
      </c>
      <c r="EP52" s="76">
        <v>3</v>
      </c>
      <c r="EQ52" s="76">
        <v>3.3414634146341462</v>
      </c>
      <c r="ER52" s="76">
        <v>3.1951219512195124</v>
      </c>
      <c r="ES52" s="76">
        <v>3.0487804878048781</v>
      </c>
      <c r="ET52" s="76">
        <v>3.5121951219512195</v>
      </c>
      <c r="EU52" s="76">
        <v>3.1707317073170733</v>
      </c>
      <c r="EV52" s="76">
        <v>4.1463414634146343</v>
      </c>
      <c r="EW52" s="76">
        <v>3.1951219512195124</v>
      </c>
      <c r="EX52" s="76">
        <v>3.4878048780487805</v>
      </c>
      <c r="EY52" s="76">
        <v>2.9512195121951219</v>
      </c>
      <c r="EZ52" s="76">
        <v>4.4634146341463419</v>
      </c>
      <c r="FA52" s="76">
        <v>4.6585365853658534</v>
      </c>
      <c r="FB52" s="76">
        <v>5.1463414634146343</v>
      </c>
      <c r="FC52" s="76">
        <v>3.3658536585365852</v>
      </c>
      <c r="FD52" s="76">
        <v>3.2195121951219514</v>
      </c>
      <c r="FE52" s="76">
        <v>3.1707317073170733</v>
      </c>
      <c r="FF52" s="76">
        <v>3.2926829268292681</v>
      </c>
      <c r="FG52" s="76">
        <v>2.8536585365853657</v>
      </c>
      <c r="FH52" s="76">
        <v>3.2439024390243905</v>
      </c>
      <c r="FI52" s="76">
        <v>3.4390243902439024</v>
      </c>
      <c r="FJ52" s="76">
        <v>3.6341463414634148</v>
      </c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400</v>
      </c>
      <c r="CT53" s="62">
        <v>389</v>
      </c>
      <c r="CU53" s="62">
        <v>421</v>
      </c>
      <c r="CV53" s="62">
        <v>415</v>
      </c>
      <c r="CW53" s="62">
        <v>505</v>
      </c>
      <c r="CX53" s="62">
        <v>423</v>
      </c>
      <c r="CY53" s="62">
        <v>412</v>
      </c>
      <c r="CZ53" s="62">
        <v>372</v>
      </c>
      <c r="DA53" s="62">
        <v>549</v>
      </c>
      <c r="DB53" s="62">
        <v>560</v>
      </c>
      <c r="DC53" s="62">
        <v>611</v>
      </c>
      <c r="DD53" s="62">
        <v>432</v>
      </c>
      <c r="DE53" s="62">
        <v>388</v>
      </c>
      <c r="DF53" s="62">
        <v>402</v>
      </c>
      <c r="DG53" s="62">
        <v>421</v>
      </c>
      <c r="DH53" s="62">
        <v>358</v>
      </c>
      <c r="DI53" s="62">
        <v>406</v>
      </c>
      <c r="DJ53" s="62">
        <v>430</v>
      </c>
      <c r="DK53" s="62">
        <v>441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81</v>
      </c>
      <c r="DY53" s="76">
        <v>185</v>
      </c>
      <c r="DZ53" s="76">
        <v>192</v>
      </c>
      <c r="EA53" s="76">
        <v>203</v>
      </c>
      <c r="EB53" s="76">
        <v>215</v>
      </c>
      <c r="EC53" s="76">
        <v>246</v>
      </c>
      <c r="ED53" s="76">
        <v>207</v>
      </c>
      <c r="EE53" s="76">
        <v>202</v>
      </c>
      <c r="EF53" s="76">
        <v>188</v>
      </c>
      <c r="EG53" s="76">
        <v>286</v>
      </c>
      <c r="EH53" s="76">
        <v>275</v>
      </c>
      <c r="EI53" s="76">
        <v>305</v>
      </c>
      <c r="EJ53" s="76">
        <v>226</v>
      </c>
      <c r="EK53" s="76">
        <v>190</v>
      </c>
      <c r="EL53" s="76">
        <v>202</v>
      </c>
      <c r="EM53" s="76">
        <v>212</v>
      </c>
      <c r="EN53" s="76">
        <v>174</v>
      </c>
      <c r="EO53" s="76">
        <v>202</v>
      </c>
      <c r="EP53" s="76">
        <v>199</v>
      </c>
      <c r="EQ53" s="76">
        <v>212</v>
      </c>
      <c r="ER53" s="76">
        <v>215</v>
      </c>
      <c r="ES53" s="76">
        <v>197</v>
      </c>
      <c r="ET53" s="76">
        <v>218</v>
      </c>
      <c r="EU53" s="76">
        <v>200</v>
      </c>
      <c r="EV53" s="76">
        <v>259</v>
      </c>
      <c r="EW53" s="76">
        <v>216</v>
      </c>
      <c r="EX53" s="76">
        <v>210</v>
      </c>
      <c r="EY53" s="76">
        <v>184</v>
      </c>
      <c r="EZ53" s="76">
        <v>263</v>
      </c>
      <c r="FA53" s="76">
        <v>285</v>
      </c>
      <c r="FB53" s="76">
        <v>306</v>
      </c>
      <c r="FC53" s="76">
        <v>206</v>
      </c>
      <c r="FD53" s="76">
        <v>198</v>
      </c>
      <c r="FE53" s="76">
        <v>200</v>
      </c>
      <c r="FF53" s="76">
        <v>209</v>
      </c>
      <c r="FG53" s="76">
        <v>184</v>
      </c>
      <c r="FH53" s="76">
        <v>204</v>
      </c>
      <c r="FI53" s="76">
        <v>231</v>
      </c>
      <c r="FJ53" s="76">
        <v>229</v>
      </c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123</v>
      </c>
      <c r="CT54" s="62">
        <v>123</v>
      </c>
      <c r="CU54" s="62">
        <v>123</v>
      </c>
      <c r="CV54" s="62">
        <v>123</v>
      </c>
      <c r="CW54" s="62">
        <v>123</v>
      </c>
      <c r="CX54" s="62">
        <v>123</v>
      </c>
      <c r="CY54" s="62">
        <v>123</v>
      </c>
      <c r="CZ54" s="62">
        <v>123</v>
      </c>
      <c r="DA54" s="62">
        <v>123</v>
      </c>
      <c r="DB54" s="62">
        <v>123</v>
      </c>
      <c r="DC54" s="62">
        <v>123</v>
      </c>
      <c r="DD54" s="62">
        <v>123</v>
      </c>
      <c r="DE54" s="62">
        <v>123</v>
      </c>
      <c r="DF54" s="62">
        <v>123</v>
      </c>
      <c r="DG54" s="62">
        <v>123</v>
      </c>
      <c r="DH54" s="62">
        <v>123</v>
      </c>
      <c r="DI54" s="62">
        <v>123</v>
      </c>
      <c r="DJ54" s="62">
        <v>123</v>
      </c>
      <c r="DK54" s="62">
        <v>123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82</v>
      </c>
      <c r="DY54" s="76">
        <v>62</v>
      </c>
      <c r="DZ54" s="76">
        <v>62</v>
      </c>
      <c r="EA54" s="76">
        <v>62</v>
      </c>
      <c r="EB54" s="76">
        <v>62</v>
      </c>
      <c r="EC54" s="76">
        <v>62</v>
      </c>
      <c r="ED54" s="76">
        <v>62</v>
      </c>
      <c r="EE54" s="76">
        <v>62</v>
      </c>
      <c r="EF54" s="76">
        <v>62</v>
      </c>
      <c r="EG54" s="76">
        <v>62</v>
      </c>
      <c r="EH54" s="76">
        <v>62</v>
      </c>
      <c r="EI54" s="76">
        <v>62</v>
      </c>
      <c r="EJ54" s="76">
        <v>62</v>
      </c>
      <c r="EK54" s="76">
        <v>62</v>
      </c>
      <c r="EL54" s="76">
        <v>62</v>
      </c>
      <c r="EM54" s="76">
        <v>62</v>
      </c>
      <c r="EN54" s="76">
        <v>62</v>
      </c>
      <c r="EO54" s="76">
        <v>62</v>
      </c>
      <c r="EP54" s="76">
        <v>62</v>
      </c>
      <c r="EQ54" s="76">
        <v>62</v>
      </c>
      <c r="ER54" s="76">
        <v>61</v>
      </c>
      <c r="ES54" s="76">
        <v>61</v>
      </c>
      <c r="ET54" s="76">
        <v>61</v>
      </c>
      <c r="EU54" s="76">
        <v>61</v>
      </c>
      <c r="EV54" s="76">
        <v>61</v>
      </c>
      <c r="EW54" s="76">
        <v>61</v>
      </c>
      <c r="EX54" s="76">
        <v>61</v>
      </c>
      <c r="EY54" s="76">
        <v>61</v>
      </c>
      <c r="EZ54" s="76">
        <v>61</v>
      </c>
      <c r="FA54" s="76">
        <v>61</v>
      </c>
      <c r="FB54" s="76">
        <v>61</v>
      </c>
      <c r="FC54" s="76">
        <v>61</v>
      </c>
      <c r="FD54" s="76">
        <v>61</v>
      </c>
      <c r="FE54" s="76">
        <v>61</v>
      </c>
      <c r="FF54" s="76">
        <v>61</v>
      </c>
      <c r="FG54" s="76">
        <v>61</v>
      </c>
      <c r="FH54" s="76">
        <v>61</v>
      </c>
      <c r="FI54" s="76">
        <v>61</v>
      </c>
      <c r="FJ54" s="76">
        <v>61</v>
      </c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3.2520325203252032</v>
      </c>
      <c r="CT55" s="62">
        <v>3.1626016260162602</v>
      </c>
      <c r="CU55" s="62">
        <v>3.4227642276422765</v>
      </c>
      <c r="CV55" s="62">
        <v>3.3739837398373984</v>
      </c>
      <c r="CW55" s="62">
        <v>4.1056910569105689</v>
      </c>
      <c r="CX55" s="62">
        <v>3.4390243902439024</v>
      </c>
      <c r="CY55" s="62">
        <v>3.3495934959349594</v>
      </c>
      <c r="CZ55" s="62">
        <v>3.024390243902439</v>
      </c>
      <c r="DA55" s="62">
        <v>4.4634146341463419</v>
      </c>
      <c r="DB55" s="62">
        <v>4.5528455284552845</v>
      </c>
      <c r="DC55" s="62">
        <v>4.9674796747967482</v>
      </c>
      <c r="DD55" s="62">
        <v>3.5121951219512195</v>
      </c>
      <c r="DE55" s="62">
        <v>3.154471544715447</v>
      </c>
      <c r="DF55" s="62">
        <v>3.2682926829268291</v>
      </c>
      <c r="DG55" s="62">
        <v>3.4227642276422765</v>
      </c>
      <c r="DH55" s="62">
        <v>2.910569105691057</v>
      </c>
      <c r="DI55" s="62">
        <v>3.3008130081300813</v>
      </c>
      <c r="DJ55" s="62">
        <v>3.4959349593495936</v>
      </c>
      <c r="DK55" s="62">
        <v>3.5853658536585367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83</v>
      </c>
      <c r="DY55" s="76">
        <v>2.9838709677419355</v>
      </c>
      <c r="DZ55" s="76">
        <v>3.096774193548387</v>
      </c>
      <c r="EA55" s="76">
        <v>3.274193548387097</v>
      </c>
      <c r="EB55" s="76">
        <v>3.467741935483871</v>
      </c>
      <c r="EC55" s="76">
        <v>3.967741935483871</v>
      </c>
      <c r="ED55" s="76">
        <v>3.338709677419355</v>
      </c>
      <c r="EE55" s="76">
        <v>3.2580645161290325</v>
      </c>
      <c r="EF55" s="76">
        <v>3.032258064516129</v>
      </c>
      <c r="EG55" s="76">
        <v>4.612903225806452</v>
      </c>
      <c r="EH55" s="76">
        <v>4.435483870967742</v>
      </c>
      <c r="EI55" s="76">
        <v>4.919354838709677</v>
      </c>
      <c r="EJ55" s="76">
        <v>3.6451612903225805</v>
      </c>
      <c r="EK55" s="76">
        <v>3.064516129032258</v>
      </c>
      <c r="EL55" s="76">
        <v>3.2580645161290325</v>
      </c>
      <c r="EM55" s="76">
        <v>3.4193548387096775</v>
      </c>
      <c r="EN55" s="76">
        <v>2.806451612903226</v>
      </c>
      <c r="EO55" s="76">
        <v>3.2580645161290325</v>
      </c>
      <c r="EP55" s="76">
        <v>3.2096774193548385</v>
      </c>
      <c r="EQ55" s="76">
        <v>3.4193548387096775</v>
      </c>
      <c r="ER55" s="76">
        <v>3.5245901639344264</v>
      </c>
      <c r="ES55" s="76">
        <v>3.2295081967213113</v>
      </c>
      <c r="ET55" s="76">
        <v>3.5737704918032787</v>
      </c>
      <c r="EU55" s="76">
        <v>3.278688524590164</v>
      </c>
      <c r="EV55" s="76">
        <v>4.2459016393442619</v>
      </c>
      <c r="EW55" s="76">
        <v>3.540983606557377</v>
      </c>
      <c r="EX55" s="76">
        <v>3.442622950819672</v>
      </c>
      <c r="EY55" s="76">
        <v>3.0163934426229506</v>
      </c>
      <c r="EZ55" s="76">
        <v>4.3114754098360653</v>
      </c>
      <c r="FA55" s="76">
        <v>4.6721311475409832</v>
      </c>
      <c r="FB55" s="76">
        <v>5.0163934426229506</v>
      </c>
      <c r="FC55" s="76">
        <v>3.377049180327869</v>
      </c>
      <c r="FD55" s="76">
        <v>3.2459016393442623</v>
      </c>
      <c r="FE55" s="76">
        <v>3.278688524590164</v>
      </c>
      <c r="FF55" s="76">
        <v>3.4262295081967213</v>
      </c>
      <c r="FG55" s="76">
        <v>3.0163934426229506</v>
      </c>
      <c r="FH55" s="76">
        <v>3.3442622950819674</v>
      </c>
      <c r="FI55" s="76">
        <v>3.7868852459016393</v>
      </c>
      <c r="FJ55" s="76">
        <v>3.7540983606557377</v>
      </c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65</v>
      </c>
      <c r="CT56" s="62">
        <v>65</v>
      </c>
      <c r="CU56" s="62">
        <v>78</v>
      </c>
      <c r="CV56" s="62">
        <v>73</v>
      </c>
      <c r="CW56" s="62">
        <v>93</v>
      </c>
      <c r="CX56" s="62">
        <v>67</v>
      </c>
      <c r="CY56" s="62">
        <v>67</v>
      </c>
      <c r="CZ56" s="62">
        <v>59</v>
      </c>
      <c r="DA56" s="62">
        <v>89</v>
      </c>
      <c r="DB56" s="62">
        <v>90</v>
      </c>
      <c r="DC56" s="62">
        <v>103</v>
      </c>
      <c r="DD56" s="62">
        <v>70</v>
      </c>
      <c r="DE56" s="62">
        <v>61</v>
      </c>
      <c r="DF56" s="62">
        <v>66</v>
      </c>
      <c r="DG56" s="62">
        <v>66</v>
      </c>
      <c r="DH56" s="62">
        <v>55</v>
      </c>
      <c r="DI56" s="62">
        <v>65</v>
      </c>
      <c r="DJ56" s="62">
        <v>64</v>
      </c>
      <c r="DK56" s="62">
        <v>70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84</v>
      </c>
      <c r="DY56" s="76">
        <v>31</v>
      </c>
      <c r="DZ56" s="76">
        <v>33</v>
      </c>
      <c r="EA56" s="76">
        <v>38</v>
      </c>
      <c r="EB56" s="76">
        <v>36</v>
      </c>
      <c r="EC56" s="76">
        <v>44</v>
      </c>
      <c r="ED56" s="76">
        <v>35</v>
      </c>
      <c r="EE56" s="76">
        <v>31</v>
      </c>
      <c r="EF56" s="76">
        <v>31</v>
      </c>
      <c r="EG56" s="76">
        <v>44</v>
      </c>
      <c r="EH56" s="76">
        <v>45</v>
      </c>
      <c r="EI56" s="76">
        <v>51</v>
      </c>
      <c r="EJ56" s="76">
        <v>38</v>
      </c>
      <c r="EK56" s="76">
        <v>29</v>
      </c>
      <c r="EL56" s="76">
        <v>37</v>
      </c>
      <c r="EM56" s="76">
        <v>34</v>
      </c>
      <c r="EN56" s="76">
        <v>29</v>
      </c>
      <c r="EO56" s="76">
        <v>33</v>
      </c>
      <c r="EP56" s="76">
        <v>27</v>
      </c>
      <c r="EQ56" s="76">
        <v>34</v>
      </c>
      <c r="ER56" s="76">
        <v>34</v>
      </c>
      <c r="ES56" s="76">
        <v>32</v>
      </c>
      <c r="ET56" s="76">
        <v>40</v>
      </c>
      <c r="EU56" s="76">
        <v>37</v>
      </c>
      <c r="EV56" s="76">
        <v>49</v>
      </c>
      <c r="EW56" s="76">
        <v>32</v>
      </c>
      <c r="EX56" s="76">
        <v>36</v>
      </c>
      <c r="EY56" s="76">
        <v>28</v>
      </c>
      <c r="EZ56" s="76">
        <v>45</v>
      </c>
      <c r="FA56" s="76">
        <v>45</v>
      </c>
      <c r="FB56" s="76">
        <v>52</v>
      </c>
      <c r="FC56" s="76">
        <v>32</v>
      </c>
      <c r="FD56" s="76">
        <v>32</v>
      </c>
      <c r="FE56" s="76">
        <v>29</v>
      </c>
      <c r="FF56" s="76">
        <v>32</v>
      </c>
      <c r="FG56" s="76">
        <v>26</v>
      </c>
      <c r="FH56" s="76">
        <v>32</v>
      </c>
      <c r="FI56" s="76">
        <v>37</v>
      </c>
      <c r="FJ56" s="76">
        <v>36</v>
      </c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18</v>
      </c>
      <c r="CT57" s="62">
        <v>18</v>
      </c>
      <c r="CU57" s="62">
        <v>18</v>
      </c>
      <c r="CV57" s="62">
        <v>18</v>
      </c>
      <c r="CW57" s="62">
        <v>18</v>
      </c>
      <c r="CX57" s="62">
        <v>17</v>
      </c>
      <c r="CY57" s="62">
        <v>17</v>
      </c>
      <c r="CZ57" s="62">
        <v>17</v>
      </c>
      <c r="DA57" s="62">
        <v>17</v>
      </c>
      <c r="DB57" s="62">
        <v>17</v>
      </c>
      <c r="DC57" s="62">
        <v>17</v>
      </c>
      <c r="DD57" s="62">
        <v>17</v>
      </c>
      <c r="DE57" s="62">
        <v>17</v>
      </c>
      <c r="DF57" s="62">
        <v>17</v>
      </c>
      <c r="DG57" s="62">
        <v>17</v>
      </c>
      <c r="DH57" s="62">
        <v>17</v>
      </c>
      <c r="DI57" s="62">
        <v>17</v>
      </c>
      <c r="DJ57" s="62">
        <v>18</v>
      </c>
      <c r="DK57" s="62">
        <v>18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85</v>
      </c>
      <c r="DY57" s="76">
        <v>9</v>
      </c>
      <c r="DZ57" s="76">
        <v>9</v>
      </c>
      <c r="EA57" s="76">
        <v>9</v>
      </c>
      <c r="EB57" s="76">
        <v>9</v>
      </c>
      <c r="EC57" s="76">
        <v>9</v>
      </c>
      <c r="ED57" s="76">
        <v>9</v>
      </c>
      <c r="EE57" s="76">
        <v>9</v>
      </c>
      <c r="EF57" s="76">
        <v>9</v>
      </c>
      <c r="EG57" s="76">
        <v>9</v>
      </c>
      <c r="EH57" s="76">
        <v>9</v>
      </c>
      <c r="EI57" s="76">
        <v>9</v>
      </c>
      <c r="EJ57" s="76">
        <v>9</v>
      </c>
      <c r="EK57" s="76">
        <v>9</v>
      </c>
      <c r="EL57" s="76">
        <v>9</v>
      </c>
      <c r="EM57" s="76">
        <v>9</v>
      </c>
      <c r="EN57" s="76">
        <v>9</v>
      </c>
      <c r="EO57" s="76">
        <v>9</v>
      </c>
      <c r="EP57" s="76">
        <v>9</v>
      </c>
      <c r="EQ57" s="76">
        <v>9</v>
      </c>
      <c r="ER57" s="76">
        <v>9</v>
      </c>
      <c r="ES57" s="76">
        <v>9</v>
      </c>
      <c r="ET57" s="76">
        <v>9</v>
      </c>
      <c r="EU57" s="76">
        <v>9</v>
      </c>
      <c r="EV57" s="76">
        <v>9</v>
      </c>
      <c r="EW57" s="76">
        <v>8</v>
      </c>
      <c r="EX57" s="76">
        <v>8</v>
      </c>
      <c r="EY57" s="76">
        <v>8</v>
      </c>
      <c r="EZ57" s="76">
        <v>8</v>
      </c>
      <c r="FA57" s="76">
        <v>8</v>
      </c>
      <c r="FB57" s="76">
        <v>8</v>
      </c>
      <c r="FC57" s="76">
        <v>8</v>
      </c>
      <c r="FD57" s="76">
        <v>8</v>
      </c>
      <c r="FE57" s="76">
        <v>8</v>
      </c>
      <c r="FF57" s="76">
        <v>8</v>
      </c>
      <c r="FG57" s="76">
        <v>8</v>
      </c>
      <c r="FH57" s="76">
        <v>8</v>
      </c>
      <c r="FI57" s="76">
        <v>9</v>
      </c>
      <c r="FJ57" s="76">
        <v>9</v>
      </c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3.6111111111111112</v>
      </c>
      <c r="CT58" s="62">
        <v>3.6111111111111112</v>
      </c>
      <c r="CU58" s="62">
        <v>4.333333333333333</v>
      </c>
      <c r="CV58" s="62">
        <v>4.0555555555555554</v>
      </c>
      <c r="CW58" s="62">
        <v>5.166666666666667</v>
      </c>
      <c r="CX58" s="62">
        <v>3.9411764705882355</v>
      </c>
      <c r="CY58" s="62">
        <v>3.9411764705882355</v>
      </c>
      <c r="CZ58" s="62">
        <v>3.4705882352941178</v>
      </c>
      <c r="DA58" s="62">
        <v>5.2352941176470589</v>
      </c>
      <c r="DB58" s="62">
        <v>5.2941176470588234</v>
      </c>
      <c r="DC58" s="62">
        <v>6.0588235294117645</v>
      </c>
      <c r="DD58" s="62">
        <v>4.117647058823529</v>
      </c>
      <c r="DE58" s="62">
        <v>3.5882352941176472</v>
      </c>
      <c r="DF58" s="62">
        <v>3.8823529411764706</v>
      </c>
      <c r="DG58" s="62">
        <v>3.8823529411764706</v>
      </c>
      <c r="DH58" s="62">
        <v>3.2352941176470589</v>
      </c>
      <c r="DI58" s="62">
        <v>3.8235294117647061</v>
      </c>
      <c r="DJ58" s="62">
        <v>3.5555555555555554</v>
      </c>
      <c r="DK58" s="62">
        <v>3.8888888888888888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86</v>
      </c>
      <c r="DY58" s="76">
        <v>3.4444444444444446</v>
      </c>
      <c r="DZ58" s="76">
        <v>3.6666666666666665</v>
      </c>
      <c r="EA58" s="76">
        <v>4.2222222222222223</v>
      </c>
      <c r="EB58" s="76">
        <v>4</v>
      </c>
      <c r="EC58" s="76">
        <v>4.8888888888888893</v>
      </c>
      <c r="ED58" s="76">
        <v>3.8888888888888888</v>
      </c>
      <c r="EE58" s="76">
        <v>3.4444444444444446</v>
      </c>
      <c r="EF58" s="76">
        <v>3.4444444444444446</v>
      </c>
      <c r="EG58" s="76">
        <v>4.8888888888888893</v>
      </c>
      <c r="EH58" s="76">
        <v>5</v>
      </c>
      <c r="EI58" s="76">
        <v>5.666666666666667</v>
      </c>
      <c r="EJ58" s="76">
        <v>4.2222222222222223</v>
      </c>
      <c r="EK58" s="76">
        <v>3.2222222222222223</v>
      </c>
      <c r="EL58" s="76">
        <v>4.1111111111111107</v>
      </c>
      <c r="EM58" s="76">
        <v>3.7777777777777777</v>
      </c>
      <c r="EN58" s="76">
        <v>3.2222222222222223</v>
      </c>
      <c r="EO58" s="76">
        <v>3.6666666666666665</v>
      </c>
      <c r="EP58" s="76">
        <v>3</v>
      </c>
      <c r="EQ58" s="76">
        <v>3.7777777777777777</v>
      </c>
      <c r="ER58" s="76">
        <v>3.7777777777777777</v>
      </c>
      <c r="ES58" s="76">
        <v>3.5555555555555554</v>
      </c>
      <c r="ET58" s="76">
        <v>4.4444444444444446</v>
      </c>
      <c r="EU58" s="76">
        <v>4.1111111111111107</v>
      </c>
      <c r="EV58" s="76">
        <v>5.4444444444444446</v>
      </c>
      <c r="EW58" s="76">
        <v>4</v>
      </c>
      <c r="EX58" s="76">
        <v>4.5</v>
      </c>
      <c r="EY58" s="76">
        <v>3.5</v>
      </c>
      <c r="EZ58" s="76">
        <v>5.625</v>
      </c>
      <c r="FA58" s="76">
        <v>5.625</v>
      </c>
      <c r="FB58" s="76">
        <v>6.5</v>
      </c>
      <c r="FC58" s="76">
        <v>4</v>
      </c>
      <c r="FD58" s="76">
        <v>4</v>
      </c>
      <c r="FE58" s="76">
        <v>3.625</v>
      </c>
      <c r="FF58" s="76">
        <v>4</v>
      </c>
      <c r="FG58" s="76">
        <v>3.25</v>
      </c>
      <c r="FH58" s="76">
        <v>4</v>
      </c>
      <c r="FI58" s="76">
        <v>4.1111111111111107</v>
      </c>
      <c r="FJ58" s="76">
        <v>4</v>
      </c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5</v>
      </c>
      <c r="CT59" s="62">
        <v>6</v>
      </c>
      <c r="CU59" s="62">
        <v>5</v>
      </c>
      <c r="CV59" s="62">
        <v>6</v>
      </c>
      <c r="CW59" s="62">
        <v>6</v>
      </c>
      <c r="CX59" s="62">
        <v>5</v>
      </c>
      <c r="CY59" s="62">
        <v>6</v>
      </c>
      <c r="CZ59" s="62">
        <v>5</v>
      </c>
      <c r="DA59" s="62">
        <v>8</v>
      </c>
      <c r="DB59" s="62">
        <v>7</v>
      </c>
      <c r="DC59" s="62">
        <v>9</v>
      </c>
      <c r="DD59" s="62">
        <v>5</v>
      </c>
      <c r="DE59" s="62">
        <v>5</v>
      </c>
      <c r="DF59" s="62">
        <v>6</v>
      </c>
      <c r="DG59" s="62">
        <v>7</v>
      </c>
      <c r="DH59" s="62">
        <v>6</v>
      </c>
      <c r="DI59" s="62">
        <v>4</v>
      </c>
      <c r="DJ59" s="62">
        <v>5</v>
      </c>
      <c r="DK59" s="62">
        <v>6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157</v>
      </c>
      <c r="DY59" s="76">
        <v>3</v>
      </c>
      <c r="DZ59" s="76">
        <v>2</v>
      </c>
      <c r="EA59" s="76">
        <v>2</v>
      </c>
      <c r="EB59" s="76">
        <v>3</v>
      </c>
      <c r="EC59" s="76">
        <v>3</v>
      </c>
      <c r="ED59" s="76">
        <v>3</v>
      </c>
      <c r="EE59" s="76">
        <v>4</v>
      </c>
      <c r="EF59" s="76">
        <v>2</v>
      </c>
      <c r="EG59" s="76">
        <v>4</v>
      </c>
      <c r="EH59" s="76">
        <v>3</v>
      </c>
      <c r="EI59" s="76">
        <v>6</v>
      </c>
      <c r="EJ59" s="76">
        <v>2</v>
      </c>
      <c r="EK59" s="76">
        <v>2</v>
      </c>
      <c r="EL59" s="76">
        <v>3</v>
      </c>
      <c r="EM59" s="76">
        <v>3</v>
      </c>
      <c r="EN59" s="76">
        <v>3</v>
      </c>
      <c r="EO59" s="76">
        <v>2</v>
      </c>
      <c r="EP59" s="76">
        <v>2</v>
      </c>
      <c r="EQ59" s="76">
        <v>3</v>
      </c>
      <c r="ER59" s="76">
        <v>2</v>
      </c>
      <c r="ES59" s="76">
        <v>4</v>
      </c>
      <c r="ET59" s="76">
        <v>3</v>
      </c>
      <c r="EU59" s="76">
        <v>3</v>
      </c>
      <c r="EV59" s="76">
        <v>3</v>
      </c>
      <c r="EW59" s="76">
        <v>2</v>
      </c>
      <c r="EX59" s="76">
        <v>2</v>
      </c>
      <c r="EY59" s="76">
        <v>3</v>
      </c>
      <c r="EZ59" s="76">
        <v>4</v>
      </c>
      <c r="FA59" s="76">
        <v>4</v>
      </c>
      <c r="FB59" s="76">
        <v>3</v>
      </c>
      <c r="FC59" s="76">
        <v>3</v>
      </c>
      <c r="FD59" s="76">
        <v>3</v>
      </c>
      <c r="FE59" s="76">
        <v>3</v>
      </c>
      <c r="FF59" s="76">
        <v>4</v>
      </c>
      <c r="FG59" s="76">
        <v>3</v>
      </c>
      <c r="FH59" s="76">
        <v>2</v>
      </c>
      <c r="FI59" s="76">
        <v>3</v>
      </c>
      <c r="FJ59" s="76">
        <v>3</v>
      </c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2</v>
      </c>
      <c r="CT60" s="62">
        <v>2</v>
      </c>
      <c r="CU60" s="62">
        <v>2</v>
      </c>
      <c r="CV60" s="62">
        <v>2</v>
      </c>
      <c r="CW60" s="62">
        <v>2</v>
      </c>
      <c r="CX60" s="62">
        <v>2</v>
      </c>
      <c r="CY60" s="62">
        <v>2</v>
      </c>
      <c r="CZ60" s="62">
        <v>2</v>
      </c>
      <c r="DA60" s="62">
        <v>2</v>
      </c>
      <c r="DB60" s="62">
        <v>2</v>
      </c>
      <c r="DC60" s="62">
        <v>2</v>
      </c>
      <c r="DD60" s="62">
        <v>2</v>
      </c>
      <c r="DE60" s="62">
        <v>2</v>
      </c>
      <c r="DF60" s="62">
        <v>2</v>
      </c>
      <c r="DG60" s="62">
        <v>2</v>
      </c>
      <c r="DH60" s="62">
        <v>2</v>
      </c>
      <c r="DI60" s="62">
        <v>2</v>
      </c>
      <c r="DJ60" s="62">
        <v>2</v>
      </c>
      <c r="DK60" s="62">
        <v>2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158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2.5</v>
      </c>
      <c r="CT61" s="62">
        <v>3</v>
      </c>
      <c r="CU61" s="62">
        <v>2.5</v>
      </c>
      <c r="CV61" s="62">
        <v>3</v>
      </c>
      <c r="CW61" s="62">
        <v>3</v>
      </c>
      <c r="CX61" s="62">
        <v>2.5</v>
      </c>
      <c r="CY61" s="62">
        <v>3</v>
      </c>
      <c r="CZ61" s="62">
        <v>2.5</v>
      </c>
      <c r="DA61" s="62">
        <v>4</v>
      </c>
      <c r="DB61" s="62">
        <v>3.5</v>
      </c>
      <c r="DC61" s="62">
        <v>4.5</v>
      </c>
      <c r="DD61" s="62">
        <v>2.5</v>
      </c>
      <c r="DE61" s="62">
        <v>2.5</v>
      </c>
      <c r="DF61" s="62">
        <v>3</v>
      </c>
      <c r="DG61" s="62">
        <v>3.5</v>
      </c>
      <c r="DH61" s="62">
        <v>3</v>
      </c>
      <c r="DI61" s="62">
        <v>2</v>
      </c>
      <c r="DJ61" s="62">
        <v>2.5</v>
      </c>
      <c r="DK61" s="62">
        <v>3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192</v>
      </c>
      <c r="DY61" s="76">
        <v>3</v>
      </c>
      <c r="DZ61" s="76">
        <v>2</v>
      </c>
      <c r="EA61" s="76">
        <v>2</v>
      </c>
      <c r="EB61" s="76">
        <v>3</v>
      </c>
      <c r="EC61" s="76">
        <v>3</v>
      </c>
      <c r="ED61" s="76">
        <v>3</v>
      </c>
      <c r="EE61" s="76">
        <v>4</v>
      </c>
      <c r="EF61" s="76">
        <v>2</v>
      </c>
      <c r="EG61" s="76">
        <v>4</v>
      </c>
      <c r="EH61" s="76">
        <v>3</v>
      </c>
      <c r="EI61" s="76">
        <v>6</v>
      </c>
      <c r="EJ61" s="76">
        <v>2</v>
      </c>
      <c r="EK61" s="76">
        <v>2</v>
      </c>
      <c r="EL61" s="76">
        <v>3</v>
      </c>
      <c r="EM61" s="76">
        <v>3</v>
      </c>
      <c r="EN61" s="76">
        <v>3</v>
      </c>
      <c r="EO61" s="76">
        <v>2</v>
      </c>
      <c r="EP61" s="76">
        <v>2</v>
      </c>
      <c r="EQ61" s="76">
        <v>3</v>
      </c>
      <c r="ER61" s="76">
        <v>2</v>
      </c>
      <c r="ES61" s="76">
        <v>4</v>
      </c>
      <c r="ET61" s="76">
        <v>3</v>
      </c>
      <c r="EU61" s="76">
        <v>3</v>
      </c>
      <c r="EV61" s="76">
        <v>3</v>
      </c>
      <c r="EW61" s="76">
        <v>2</v>
      </c>
      <c r="EX61" s="76">
        <v>2</v>
      </c>
      <c r="EY61" s="76">
        <v>3</v>
      </c>
      <c r="EZ61" s="76">
        <v>4</v>
      </c>
      <c r="FA61" s="76">
        <v>4</v>
      </c>
      <c r="FB61" s="76">
        <v>3</v>
      </c>
      <c r="FC61" s="76">
        <v>3</v>
      </c>
      <c r="FD61" s="76">
        <v>3</v>
      </c>
      <c r="FE61" s="76">
        <v>3</v>
      </c>
      <c r="FF61" s="76">
        <v>4</v>
      </c>
      <c r="FG61" s="76">
        <v>3</v>
      </c>
      <c r="FH61" s="76">
        <v>2</v>
      </c>
      <c r="FI61" s="76">
        <v>3</v>
      </c>
      <c r="FJ61" s="76">
        <v>3</v>
      </c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33</v>
      </c>
      <c r="CT62" s="62">
        <v>35</v>
      </c>
      <c r="CU62" s="62">
        <v>32</v>
      </c>
      <c r="CV62" s="62">
        <v>37</v>
      </c>
      <c r="CW62" s="62">
        <v>40</v>
      </c>
      <c r="CX62" s="62">
        <v>34</v>
      </c>
      <c r="CY62" s="62">
        <v>34</v>
      </c>
      <c r="CZ62" s="62">
        <v>32</v>
      </c>
      <c r="DA62" s="62">
        <v>47</v>
      </c>
      <c r="DB62" s="62">
        <v>52</v>
      </c>
      <c r="DC62" s="62">
        <v>55</v>
      </c>
      <c r="DD62" s="62">
        <v>38</v>
      </c>
      <c r="DE62" s="62">
        <v>33</v>
      </c>
      <c r="DF62" s="62">
        <v>35</v>
      </c>
      <c r="DG62" s="62">
        <v>35</v>
      </c>
      <c r="DH62" s="62">
        <v>32</v>
      </c>
      <c r="DI62" s="62">
        <v>34</v>
      </c>
      <c r="DJ62" s="62">
        <v>30</v>
      </c>
      <c r="DK62" s="62">
        <v>36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70</v>
      </c>
      <c r="DY62" s="76">
        <v>16</v>
      </c>
      <c r="DZ62" s="76">
        <v>15</v>
      </c>
      <c r="EA62" s="76">
        <v>16</v>
      </c>
      <c r="EB62" s="76">
        <v>19</v>
      </c>
      <c r="EC62" s="76">
        <v>20</v>
      </c>
      <c r="ED62" s="76">
        <v>17</v>
      </c>
      <c r="EE62" s="76">
        <v>17</v>
      </c>
      <c r="EF62" s="76">
        <v>15</v>
      </c>
      <c r="EG62" s="76">
        <v>25</v>
      </c>
      <c r="EH62" s="76">
        <v>24</v>
      </c>
      <c r="EI62" s="76">
        <v>30</v>
      </c>
      <c r="EJ62" s="76">
        <v>21</v>
      </c>
      <c r="EK62" s="76">
        <v>17</v>
      </c>
      <c r="EL62" s="76">
        <v>17</v>
      </c>
      <c r="EM62" s="76">
        <v>16</v>
      </c>
      <c r="EN62" s="76">
        <v>15</v>
      </c>
      <c r="EO62" s="76">
        <v>16</v>
      </c>
      <c r="EP62" s="76">
        <v>12</v>
      </c>
      <c r="EQ62" s="76">
        <v>17</v>
      </c>
      <c r="ER62" s="76">
        <v>17</v>
      </c>
      <c r="ES62" s="76">
        <v>20</v>
      </c>
      <c r="ET62" s="76">
        <v>16</v>
      </c>
      <c r="EU62" s="76">
        <v>18</v>
      </c>
      <c r="EV62" s="76">
        <v>20</v>
      </c>
      <c r="EW62" s="76">
        <v>17</v>
      </c>
      <c r="EX62" s="76">
        <v>17</v>
      </c>
      <c r="EY62" s="76">
        <v>17</v>
      </c>
      <c r="EZ62" s="76">
        <v>22</v>
      </c>
      <c r="FA62" s="76">
        <v>28</v>
      </c>
      <c r="FB62" s="76">
        <v>25</v>
      </c>
      <c r="FC62" s="76">
        <v>17</v>
      </c>
      <c r="FD62" s="76">
        <v>16</v>
      </c>
      <c r="FE62" s="76">
        <v>18</v>
      </c>
      <c r="FF62" s="76">
        <v>19</v>
      </c>
      <c r="FG62" s="76">
        <v>17</v>
      </c>
      <c r="FH62" s="76">
        <v>18</v>
      </c>
      <c r="FI62" s="76">
        <v>18</v>
      </c>
      <c r="FJ62" s="76">
        <v>19</v>
      </c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12</v>
      </c>
      <c r="CT63" s="62">
        <v>12</v>
      </c>
      <c r="CU63" s="62">
        <v>12</v>
      </c>
      <c r="CV63" s="62">
        <v>12</v>
      </c>
      <c r="CW63" s="62">
        <v>12</v>
      </c>
      <c r="CX63" s="62">
        <v>12</v>
      </c>
      <c r="CY63" s="62">
        <v>12</v>
      </c>
      <c r="CZ63" s="62">
        <v>12</v>
      </c>
      <c r="DA63" s="62">
        <v>12</v>
      </c>
      <c r="DB63" s="62">
        <v>12</v>
      </c>
      <c r="DC63" s="62">
        <v>12</v>
      </c>
      <c r="DD63" s="62">
        <v>12</v>
      </c>
      <c r="DE63" s="62">
        <v>12</v>
      </c>
      <c r="DF63" s="62">
        <v>12</v>
      </c>
      <c r="DG63" s="62">
        <v>12</v>
      </c>
      <c r="DH63" s="62">
        <v>12</v>
      </c>
      <c r="DI63" s="62">
        <v>12</v>
      </c>
      <c r="DJ63" s="62">
        <v>12</v>
      </c>
      <c r="DK63" s="62">
        <v>12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71</v>
      </c>
      <c r="DY63" s="76">
        <v>6</v>
      </c>
      <c r="DZ63" s="76">
        <v>6</v>
      </c>
      <c r="EA63" s="76">
        <v>6</v>
      </c>
      <c r="EB63" s="76">
        <v>6</v>
      </c>
      <c r="EC63" s="76">
        <v>6</v>
      </c>
      <c r="ED63" s="76">
        <v>6</v>
      </c>
      <c r="EE63" s="76">
        <v>6</v>
      </c>
      <c r="EF63" s="76">
        <v>6</v>
      </c>
      <c r="EG63" s="76">
        <v>6</v>
      </c>
      <c r="EH63" s="76">
        <v>6</v>
      </c>
      <c r="EI63" s="76">
        <v>6</v>
      </c>
      <c r="EJ63" s="76">
        <v>6</v>
      </c>
      <c r="EK63" s="76">
        <v>6</v>
      </c>
      <c r="EL63" s="76">
        <v>6</v>
      </c>
      <c r="EM63" s="76">
        <v>6</v>
      </c>
      <c r="EN63" s="76">
        <v>6</v>
      </c>
      <c r="EO63" s="76">
        <v>6</v>
      </c>
      <c r="EP63" s="76">
        <v>6</v>
      </c>
      <c r="EQ63" s="76">
        <v>6</v>
      </c>
      <c r="ER63" s="76">
        <v>6</v>
      </c>
      <c r="ES63" s="76">
        <v>6</v>
      </c>
      <c r="ET63" s="76">
        <v>6</v>
      </c>
      <c r="EU63" s="76">
        <v>6</v>
      </c>
      <c r="EV63" s="76">
        <v>6</v>
      </c>
      <c r="EW63" s="76">
        <v>6</v>
      </c>
      <c r="EX63" s="76">
        <v>6</v>
      </c>
      <c r="EY63" s="76">
        <v>6</v>
      </c>
      <c r="EZ63" s="76">
        <v>6</v>
      </c>
      <c r="FA63" s="76">
        <v>6</v>
      </c>
      <c r="FB63" s="76">
        <v>6</v>
      </c>
      <c r="FC63" s="76">
        <v>6</v>
      </c>
      <c r="FD63" s="76">
        <v>6</v>
      </c>
      <c r="FE63" s="76">
        <v>6</v>
      </c>
      <c r="FF63" s="76">
        <v>6</v>
      </c>
      <c r="FG63" s="76">
        <v>6</v>
      </c>
      <c r="FH63" s="76">
        <v>6</v>
      </c>
      <c r="FI63" s="76">
        <v>6</v>
      </c>
      <c r="FJ63" s="76">
        <v>6</v>
      </c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2.75</v>
      </c>
      <c r="CT64" s="62">
        <v>2.9166666666666665</v>
      </c>
      <c r="CU64" s="62">
        <v>2.6666666666666665</v>
      </c>
      <c r="CV64" s="62">
        <v>3.0833333333333335</v>
      </c>
      <c r="CW64" s="62">
        <v>3.3333333333333335</v>
      </c>
      <c r="CX64" s="62">
        <v>2.8333333333333335</v>
      </c>
      <c r="CY64" s="62">
        <v>2.8333333333333335</v>
      </c>
      <c r="CZ64" s="62">
        <v>2.6666666666666665</v>
      </c>
      <c r="DA64" s="62">
        <v>3.9166666666666665</v>
      </c>
      <c r="DB64" s="62">
        <v>4.333333333333333</v>
      </c>
      <c r="DC64" s="62">
        <v>4.583333333333333</v>
      </c>
      <c r="DD64" s="62">
        <v>3.1666666666666665</v>
      </c>
      <c r="DE64" s="62">
        <v>2.75</v>
      </c>
      <c r="DF64" s="62">
        <v>2.9166666666666665</v>
      </c>
      <c r="DG64" s="62">
        <v>2.9166666666666665</v>
      </c>
      <c r="DH64" s="62">
        <v>2.6666666666666665</v>
      </c>
      <c r="DI64" s="62">
        <v>2.8333333333333335</v>
      </c>
      <c r="DJ64" s="62">
        <v>2.5</v>
      </c>
      <c r="DK64" s="62">
        <v>3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72</v>
      </c>
      <c r="DY64" s="76">
        <v>2.6666666666666665</v>
      </c>
      <c r="DZ64" s="76">
        <v>2.5</v>
      </c>
      <c r="EA64" s="76">
        <v>2.6666666666666665</v>
      </c>
      <c r="EB64" s="76">
        <v>3.1666666666666665</v>
      </c>
      <c r="EC64" s="76">
        <v>3.3333333333333335</v>
      </c>
      <c r="ED64" s="76">
        <v>2.8333333333333335</v>
      </c>
      <c r="EE64" s="76">
        <v>2.8333333333333335</v>
      </c>
      <c r="EF64" s="76">
        <v>2.5</v>
      </c>
      <c r="EG64" s="76">
        <v>4.166666666666667</v>
      </c>
      <c r="EH64" s="76">
        <v>4</v>
      </c>
      <c r="EI64" s="76">
        <v>5</v>
      </c>
      <c r="EJ64" s="76">
        <v>3.5</v>
      </c>
      <c r="EK64" s="76">
        <v>2.8333333333333335</v>
      </c>
      <c r="EL64" s="76">
        <v>2.8333333333333335</v>
      </c>
      <c r="EM64" s="76">
        <v>2.6666666666666665</v>
      </c>
      <c r="EN64" s="76">
        <v>2.5</v>
      </c>
      <c r="EO64" s="76">
        <v>2.6666666666666665</v>
      </c>
      <c r="EP64" s="76">
        <v>2</v>
      </c>
      <c r="EQ64" s="76">
        <v>2.8333333333333335</v>
      </c>
      <c r="ER64" s="76">
        <v>2.8333333333333335</v>
      </c>
      <c r="ES64" s="76">
        <v>3.3333333333333335</v>
      </c>
      <c r="ET64" s="76">
        <v>2.6666666666666665</v>
      </c>
      <c r="EU64" s="76">
        <v>3</v>
      </c>
      <c r="EV64" s="76">
        <v>3.3333333333333335</v>
      </c>
      <c r="EW64" s="76">
        <v>2.8333333333333335</v>
      </c>
      <c r="EX64" s="76">
        <v>2.8333333333333335</v>
      </c>
      <c r="EY64" s="76">
        <v>2.8333333333333335</v>
      </c>
      <c r="EZ64" s="76">
        <v>3.6666666666666665</v>
      </c>
      <c r="FA64" s="76">
        <v>4.666666666666667</v>
      </c>
      <c r="FB64" s="76">
        <v>4.166666666666667</v>
      </c>
      <c r="FC64" s="76">
        <v>2.8333333333333335</v>
      </c>
      <c r="FD64" s="76">
        <v>2.6666666666666665</v>
      </c>
      <c r="FE64" s="76">
        <v>3</v>
      </c>
      <c r="FF64" s="76">
        <v>3.1666666666666665</v>
      </c>
      <c r="FG64" s="76">
        <v>2.8333333333333335</v>
      </c>
      <c r="FH64" s="76">
        <v>3</v>
      </c>
      <c r="FI64" s="76">
        <v>3</v>
      </c>
      <c r="FJ64" s="76">
        <v>3.1666666666666665</v>
      </c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66</v>
      </c>
      <c r="CT65" s="62">
        <v>68</v>
      </c>
      <c r="CU65" s="62">
        <v>70</v>
      </c>
      <c r="CV65" s="62">
        <v>75</v>
      </c>
      <c r="CW65" s="62">
        <v>84</v>
      </c>
      <c r="CX65" s="62">
        <v>67</v>
      </c>
      <c r="CY65" s="62">
        <v>74</v>
      </c>
      <c r="CZ65" s="62">
        <v>65</v>
      </c>
      <c r="DA65" s="62">
        <v>97</v>
      </c>
      <c r="DB65" s="62">
        <v>103</v>
      </c>
      <c r="DC65" s="62">
        <v>112</v>
      </c>
      <c r="DD65" s="62">
        <v>76</v>
      </c>
      <c r="DE65" s="62">
        <v>66</v>
      </c>
      <c r="DF65" s="62">
        <v>69</v>
      </c>
      <c r="DG65" s="62">
        <v>70</v>
      </c>
      <c r="DH65" s="62">
        <v>62</v>
      </c>
      <c r="DI65" s="62">
        <v>71</v>
      </c>
      <c r="DJ65" s="62">
        <v>71</v>
      </c>
      <c r="DK65" s="62">
        <v>73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137</v>
      </c>
      <c r="DY65" s="76">
        <v>32</v>
      </c>
      <c r="DZ65" s="76">
        <v>33</v>
      </c>
      <c r="EA65" s="76">
        <v>34</v>
      </c>
      <c r="EB65" s="76">
        <v>40</v>
      </c>
      <c r="EC65" s="76">
        <v>41</v>
      </c>
      <c r="ED65" s="76">
        <v>35</v>
      </c>
      <c r="EE65" s="76">
        <v>37</v>
      </c>
      <c r="EF65" s="76">
        <v>33</v>
      </c>
      <c r="EG65" s="76">
        <v>50</v>
      </c>
      <c r="EH65" s="76">
        <v>48</v>
      </c>
      <c r="EI65" s="76">
        <v>59</v>
      </c>
      <c r="EJ65" s="76">
        <v>40</v>
      </c>
      <c r="EK65" s="76">
        <v>32</v>
      </c>
      <c r="EL65" s="76">
        <v>35</v>
      </c>
      <c r="EM65" s="76">
        <v>34</v>
      </c>
      <c r="EN65" s="76">
        <v>29</v>
      </c>
      <c r="EO65" s="76">
        <v>35</v>
      </c>
      <c r="EP65" s="76">
        <v>33</v>
      </c>
      <c r="EQ65" s="76">
        <v>35</v>
      </c>
      <c r="ER65" s="76">
        <v>34</v>
      </c>
      <c r="ES65" s="76">
        <v>35</v>
      </c>
      <c r="ET65" s="76">
        <v>36</v>
      </c>
      <c r="EU65" s="76">
        <v>35</v>
      </c>
      <c r="EV65" s="76">
        <v>43</v>
      </c>
      <c r="EW65" s="76">
        <v>32</v>
      </c>
      <c r="EX65" s="76">
        <v>37</v>
      </c>
      <c r="EY65" s="76">
        <v>32</v>
      </c>
      <c r="EZ65" s="76">
        <v>47</v>
      </c>
      <c r="FA65" s="76">
        <v>55</v>
      </c>
      <c r="FB65" s="76">
        <v>53</v>
      </c>
      <c r="FC65" s="76">
        <v>36</v>
      </c>
      <c r="FD65" s="76">
        <v>34</v>
      </c>
      <c r="FE65" s="76">
        <v>34</v>
      </c>
      <c r="FF65" s="76">
        <v>36</v>
      </c>
      <c r="FG65" s="76">
        <v>33</v>
      </c>
      <c r="FH65" s="76">
        <v>36</v>
      </c>
      <c r="FI65" s="76">
        <v>38</v>
      </c>
      <c r="FJ65" s="76">
        <v>38</v>
      </c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24</v>
      </c>
      <c r="CT66" s="62">
        <v>24</v>
      </c>
      <c r="CU66" s="62">
        <v>24</v>
      </c>
      <c r="CV66" s="62">
        <v>24</v>
      </c>
      <c r="CW66" s="62">
        <v>24</v>
      </c>
      <c r="CX66" s="62">
        <v>24</v>
      </c>
      <c r="CY66" s="62">
        <v>24</v>
      </c>
      <c r="CZ66" s="62">
        <v>24</v>
      </c>
      <c r="DA66" s="62">
        <v>24</v>
      </c>
      <c r="DB66" s="62">
        <v>24</v>
      </c>
      <c r="DC66" s="62">
        <v>24</v>
      </c>
      <c r="DD66" s="62">
        <v>24</v>
      </c>
      <c r="DE66" s="62">
        <v>24</v>
      </c>
      <c r="DF66" s="62">
        <v>24</v>
      </c>
      <c r="DG66" s="62">
        <v>24</v>
      </c>
      <c r="DH66" s="62">
        <v>24</v>
      </c>
      <c r="DI66" s="62">
        <v>24</v>
      </c>
      <c r="DJ66" s="62">
        <v>24</v>
      </c>
      <c r="DK66" s="62">
        <v>24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138</v>
      </c>
      <c r="DY66" s="76">
        <v>12</v>
      </c>
      <c r="DZ66" s="76">
        <v>12</v>
      </c>
      <c r="EA66" s="76">
        <v>12</v>
      </c>
      <c r="EB66" s="76">
        <v>12</v>
      </c>
      <c r="EC66" s="76">
        <v>12</v>
      </c>
      <c r="ED66" s="76">
        <v>12</v>
      </c>
      <c r="EE66" s="76">
        <v>12</v>
      </c>
      <c r="EF66" s="76">
        <v>12</v>
      </c>
      <c r="EG66" s="76">
        <v>12</v>
      </c>
      <c r="EH66" s="76">
        <v>12</v>
      </c>
      <c r="EI66" s="76">
        <v>12</v>
      </c>
      <c r="EJ66" s="76">
        <v>12</v>
      </c>
      <c r="EK66" s="76">
        <v>12</v>
      </c>
      <c r="EL66" s="76">
        <v>12</v>
      </c>
      <c r="EM66" s="76">
        <v>12</v>
      </c>
      <c r="EN66" s="76">
        <v>12</v>
      </c>
      <c r="EO66" s="76">
        <v>12</v>
      </c>
      <c r="EP66" s="76">
        <v>12</v>
      </c>
      <c r="EQ66" s="76">
        <v>12</v>
      </c>
      <c r="ER66" s="76">
        <v>12</v>
      </c>
      <c r="ES66" s="76">
        <v>12</v>
      </c>
      <c r="ET66" s="76">
        <v>12</v>
      </c>
      <c r="EU66" s="76">
        <v>12</v>
      </c>
      <c r="EV66" s="76">
        <v>12</v>
      </c>
      <c r="EW66" s="76">
        <v>12</v>
      </c>
      <c r="EX66" s="76">
        <v>12</v>
      </c>
      <c r="EY66" s="76">
        <v>12</v>
      </c>
      <c r="EZ66" s="76">
        <v>12</v>
      </c>
      <c r="FA66" s="76">
        <v>12</v>
      </c>
      <c r="FB66" s="76">
        <v>12</v>
      </c>
      <c r="FC66" s="76">
        <v>12</v>
      </c>
      <c r="FD66" s="76">
        <v>12</v>
      </c>
      <c r="FE66" s="76">
        <v>12</v>
      </c>
      <c r="FF66" s="76">
        <v>12</v>
      </c>
      <c r="FG66" s="76">
        <v>12</v>
      </c>
      <c r="FH66" s="76">
        <v>12</v>
      </c>
      <c r="FI66" s="76">
        <v>12</v>
      </c>
      <c r="FJ66" s="76">
        <v>12</v>
      </c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2.75</v>
      </c>
      <c r="CT67" s="62">
        <v>2.8333333333333335</v>
      </c>
      <c r="CU67" s="62">
        <v>2.9166666666666665</v>
      </c>
      <c r="CV67" s="62">
        <v>3.125</v>
      </c>
      <c r="CW67" s="62">
        <v>3.5</v>
      </c>
      <c r="CX67" s="62">
        <v>2.7916666666666665</v>
      </c>
      <c r="CY67" s="62">
        <v>3.0833333333333335</v>
      </c>
      <c r="CZ67" s="62">
        <v>2.7083333333333335</v>
      </c>
      <c r="DA67" s="62">
        <v>4.041666666666667</v>
      </c>
      <c r="DB67" s="62">
        <v>4.291666666666667</v>
      </c>
      <c r="DC67" s="62">
        <v>4.666666666666667</v>
      </c>
      <c r="DD67" s="62">
        <v>3.1666666666666665</v>
      </c>
      <c r="DE67" s="62">
        <v>2.75</v>
      </c>
      <c r="DF67" s="62">
        <v>2.875</v>
      </c>
      <c r="DG67" s="62">
        <v>2.9166666666666665</v>
      </c>
      <c r="DH67" s="62">
        <v>2.5833333333333335</v>
      </c>
      <c r="DI67" s="62">
        <v>2.9583333333333335</v>
      </c>
      <c r="DJ67" s="62">
        <v>2.9583333333333335</v>
      </c>
      <c r="DK67" s="62">
        <v>3.0416666666666665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139</v>
      </c>
      <c r="DY67" s="76">
        <v>2.6666666666666665</v>
      </c>
      <c r="DZ67" s="76">
        <v>2.75</v>
      </c>
      <c r="EA67" s="76">
        <v>2.8333333333333335</v>
      </c>
      <c r="EB67" s="76">
        <v>3.3333333333333335</v>
      </c>
      <c r="EC67" s="76">
        <v>3.4166666666666665</v>
      </c>
      <c r="ED67" s="76">
        <v>2.9166666666666665</v>
      </c>
      <c r="EE67" s="76">
        <v>3.0833333333333335</v>
      </c>
      <c r="EF67" s="76">
        <v>2.75</v>
      </c>
      <c r="EG67" s="76">
        <v>4.166666666666667</v>
      </c>
      <c r="EH67" s="76">
        <v>4</v>
      </c>
      <c r="EI67" s="76">
        <v>4.916666666666667</v>
      </c>
      <c r="EJ67" s="76">
        <v>3.3333333333333335</v>
      </c>
      <c r="EK67" s="76">
        <v>2.6666666666666665</v>
      </c>
      <c r="EL67" s="76">
        <v>2.9166666666666665</v>
      </c>
      <c r="EM67" s="76">
        <v>2.8333333333333335</v>
      </c>
      <c r="EN67" s="76">
        <v>2.4166666666666665</v>
      </c>
      <c r="EO67" s="76">
        <v>2.9166666666666665</v>
      </c>
      <c r="EP67" s="76">
        <v>2.75</v>
      </c>
      <c r="EQ67" s="76">
        <v>2.9166666666666665</v>
      </c>
      <c r="ER67" s="76">
        <v>2.8333333333333335</v>
      </c>
      <c r="ES67" s="76">
        <v>2.9166666666666665</v>
      </c>
      <c r="ET67" s="76">
        <v>3</v>
      </c>
      <c r="EU67" s="76">
        <v>2.9166666666666665</v>
      </c>
      <c r="EV67" s="76">
        <v>3.5833333333333335</v>
      </c>
      <c r="EW67" s="76">
        <v>2.6666666666666665</v>
      </c>
      <c r="EX67" s="76">
        <v>3.0833333333333335</v>
      </c>
      <c r="EY67" s="76">
        <v>2.6666666666666665</v>
      </c>
      <c r="EZ67" s="76">
        <v>3.9166666666666665</v>
      </c>
      <c r="FA67" s="76">
        <v>4.583333333333333</v>
      </c>
      <c r="FB67" s="76">
        <v>4.416666666666667</v>
      </c>
      <c r="FC67" s="76">
        <v>3</v>
      </c>
      <c r="FD67" s="76">
        <v>2.8333333333333335</v>
      </c>
      <c r="FE67" s="76">
        <v>2.8333333333333335</v>
      </c>
      <c r="FF67" s="76">
        <v>3</v>
      </c>
      <c r="FG67" s="76">
        <v>2.75</v>
      </c>
      <c r="FH67" s="76">
        <v>3</v>
      </c>
      <c r="FI67" s="76">
        <v>3.1666666666666665</v>
      </c>
      <c r="FJ67" s="76">
        <v>3.1666666666666665</v>
      </c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132</v>
      </c>
      <c r="CT68" s="62">
        <v>134</v>
      </c>
      <c r="CU68" s="62">
        <v>139</v>
      </c>
      <c r="CV68" s="62">
        <v>142</v>
      </c>
      <c r="CW68" s="62">
        <v>170</v>
      </c>
      <c r="CX68" s="62">
        <v>133</v>
      </c>
      <c r="CY68" s="62">
        <v>146</v>
      </c>
      <c r="CZ68" s="62">
        <v>129</v>
      </c>
      <c r="DA68" s="62">
        <v>192</v>
      </c>
      <c r="DB68" s="62">
        <v>189</v>
      </c>
      <c r="DC68" s="62">
        <v>224</v>
      </c>
      <c r="DD68" s="62">
        <v>152</v>
      </c>
      <c r="DE68" s="62">
        <v>130</v>
      </c>
      <c r="DF68" s="62">
        <v>133</v>
      </c>
      <c r="DG68" s="62">
        <v>136</v>
      </c>
      <c r="DH68" s="62">
        <v>117</v>
      </c>
      <c r="DI68" s="62">
        <v>138</v>
      </c>
      <c r="DJ68" s="62">
        <v>143</v>
      </c>
      <c r="DK68" s="62">
        <v>151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140</v>
      </c>
      <c r="DY68" s="76">
        <v>63</v>
      </c>
      <c r="DZ68" s="76">
        <v>67</v>
      </c>
      <c r="EA68" s="76">
        <v>67</v>
      </c>
      <c r="EB68" s="76">
        <v>73</v>
      </c>
      <c r="EC68" s="76">
        <v>84</v>
      </c>
      <c r="ED68" s="76">
        <v>67</v>
      </c>
      <c r="EE68" s="76">
        <v>74</v>
      </c>
      <c r="EF68" s="76">
        <v>63</v>
      </c>
      <c r="EG68" s="76">
        <v>98</v>
      </c>
      <c r="EH68" s="76">
        <v>90</v>
      </c>
      <c r="EI68" s="76">
        <v>109</v>
      </c>
      <c r="EJ68" s="76">
        <v>79</v>
      </c>
      <c r="EK68" s="76">
        <v>63</v>
      </c>
      <c r="EL68" s="76">
        <v>67</v>
      </c>
      <c r="EM68" s="76">
        <v>66</v>
      </c>
      <c r="EN68" s="76">
        <v>56</v>
      </c>
      <c r="EO68" s="76">
        <v>66</v>
      </c>
      <c r="EP68" s="76">
        <v>70</v>
      </c>
      <c r="EQ68" s="76">
        <v>73</v>
      </c>
      <c r="ER68" s="76">
        <v>69</v>
      </c>
      <c r="ES68" s="76">
        <v>67</v>
      </c>
      <c r="ET68" s="76">
        <v>72</v>
      </c>
      <c r="EU68" s="76">
        <v>69</v>
      </c>
      <c r="EV68" s="76">
        <v>86</v>
      </c>
      <c r="EW68" s="76">
        <v>66</v>
      </c>
      <c r="EX68" s="76">
        <v>72</v>
      </c>
      <c r="EY68" s="76">
        <v>66</v>
      </c>
      <c r="EZ68" s="76">
        <v>94</v>
      </c>
      <c r="FA68" s="76">
        <v>99</v>
      </c>
      <c r="FB68" s="76">
        <v>115</v>
      </c>
      <c r="FC68" s="76">
        <v>73</v>
      </c>
      <c r="FD68" s="76">
        <v>67</v>
      </c>
      <c r="FE68" s="76">
        <v>66</v>
      </c>
      <c r="FF68" s="76">
        <v>70</v>
      </c>
      <c r="FG68" s="76">
        <v>61</v>
      </c>
      <c r="FH68" s="76">
        <v>72</v>
      </c>
      <c r="FI68" s="76">
        <v>73</v>
      </c>
      <c r="FJ68" s="76">
        <v>78</v>
      </c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46</v>
      </c>
      <c r="CT69" s="62">
        <v>46</v>
      </c>
      <c r="CU69" s="62">
        <v>46</v>
      </c>
      <c r="CV69" s="62">
        <v>46</v>
      </c>
      <c r="CW69" s="62">
        <v>46</v>
      </c>
      <c r="CX69" s="62">
        <v>46</v>
      </c>
      <c r="CY69" s="62">
        <v>46</v>
      </c>
      <c r="CZ69" s="62">
        <v>46</v>
      </c>
      <c r="DA69" s="62">
        <v>46</v>
      </c>
      <c r="DB69" s="62">
        <v>46</v>
      </c>
      <c r="DC69" s="62">
        <v>46</v>
      </c>
      <c r="DD69" s="62">
        <v>46</v>
      </c>
      <c r="DE69" s="62">
        <v>46</v>
      </c>
      <c r="DF69" s="62">
        <v>46</v>
      </c>
      <c r="DG69" s="62">
        <v>46</v>
      </c>
      <c r="DH69" s="62">
        <v>46</v>
      </c>
      <c r="DI69" s="62">
        <v>46</v>
      </c>
      <c r="DJ69" s="62">
        <v>46</v>
      </c>
      <c r="DK69" s="62">
        <v>46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141</v>
      </c>
      <c r="DY69" s="76">
        <v>23</v>
      </c>
      <c r="DZ69" s="76">
        <v>23</v>
      </c>
      <c r="EA69" s="76">
        <v>23</v>
      </c>
      <c r="EB69" s="76">
        <v>23</v>
      </c>
      <c r="EC69" s="76">
        <v>23</v>
      </c>
      <c r="ED69" s="76">
        <v>23</v>
      </c>
      <c r="EE69" s="76">
        <v>23</v>
      </c>
      <c r="EF69" s="76">
        <v>23</v>
      </c>
      <c r="EG69" s="76">
        <v>23</v>
      </c>
      <c r="EH69" s="76">
        <v>23</v>
      </c>
      <c r="EI69" s="76">
        <v>23</v>
      </c>
      <c r="EJ69" s="76">
        <v>23</v>
      </c>
      <c r="EK69" s="76">
        <v>23</v>
      </c>
      <c r="EL69" s="76">
        <v>23</v>
      </c>
      <c r="EM69" s="76">
        <v>23</v>
      </c>
      <c r="EN69" s="76">
        <v>23</v>
      </c>
      <c r="EO69" s="76">
        <v>23</v>
      </c>
      <c r="EP69" s="76">
        <v>23</v>
      </c>
      <c r="EQ69" s="76">
        <v>23</v>
      </c>
      <c r="ER69" s="76">
        <v>23</v>
      </c>
      <c r="ES69" s="76">
        <v>23</v>
      </c>
      <c r="ET69" s="76">
        <v>23</v>
      </c>
      <c r="EU69" s="76">
        <v>23</v>
      </c>
      <c r="EV69" s="76">
        <v>23</v>
      </c>
      <c r="EW69" s="76">
        <v>23</v>
      </c>
      <c r="EX69" s="76">
        <v>23</v>
      </c>
      <c r="EY69" s="76">
        <v>23</v>
      </c>
      <c r="EZ69" s="76">
        <v>23</v>
      </c>
      <c r="FA69" s="76">
        <v>23</v>
      </c>
      <c r="FB69" s="76">
        <v>23</v>
      </c>
      <c r="FC69" s="76">
        <v>23</v>
      </c>
      <c r="FD69" s="76">
        <v>23</v>
      </c>
      <c r="FE69" s="76">
        <v>23</v>
      </c>
      <c r="FF69" s="76">
        <v>23</v>
      </c>
      <c r="FG69" s="76">
        <v>23</v>
      </c>
      <c r="FH69" s="76">
        <v>23</v>
      </c>
      <c r="FI69" s="76">
        <v>23</v>
      </c>
      <c r="FJ69" s="76">
        <v>23</v>
      </c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2.8695652173913042</v>
      </c>
      <c r="CT70" s="62">
        <v>2.9130434782608696</v>
      </c>
      <c r="CU70" s="62">
        <v>3.0217391304347827</v>
      </c>
      <c r="CV70" s="62">
        <v>3.0869565217391304</v>
      </c>
      <c r="CW70" s="62">
        <v>3.6956521739130435</v>
      </c>
      <c r="CX70" s="62">
        <v>2.8913043478260869</v>
      </c>
      <c r="CY70" s="62">
        <v>3.1739130434782608</v>
      </c>
      <c r="CZ70" s="62">
        <v>2.8043478260869565</v>
      </c>
      <c r="DA70" s="62">
        <v>4.1739130434782608</v>
      </c>
      <c r="DB70" s="62">
        <v>4.1086956521739131</v>
      </c>
      <c r="DC70" s="62">
        <v>4.8695652173913047</v>
      </c>
      <c r="DD70" s="62">
        <v>3.3043478260869565</v>
      </c>
      <c r="DE70" s="62">
        <v>2.8260869565217392</v>
      </c>
      <c r="DF70" s="62">
        <v>2.8913043478260869</v>
      </c>
      <c r="DG70" s="62">
        <v>2.9565217391304346</v>
      </c>
      <c r="DH70" s="62">
        <v>2.5434782608695654</v>
      </c>
      <c r="DI70" s="62">
        <v>3</v>
      </c>
      <c r="DJ70" s="62">
        <v>3.1086956521739131</v>
      </c>
      <c r="DK70" s="62">
        <v>3.2826086956521738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142</v>
      </c>
      <c r="DY70" s="76">
        <v>2.7391304347826089</v>
      </c>
      <c r="DZ70" s="76">
        <v>2.9130434782608696</v>
      </c>
      <c r="EA70" s="76">
        <v>2.9130434782608696</v>
      </c>
      <c r="EB70" s="76">
        <v>3.1739130434782608</v>
      </c>
      <c r="EC70" s="76">
        <v>3.652173913043478</v>
      </c>
      <c r="ED70" s="76">
        <v>2.9130434782608696</v>
      </c>
      <c r="EE70" s="76">
        <v>3.2173913043478262</v>
      </c>
      <c r="EF70" s="76">
        <v>2.7391304347826089</v>
      </c>
      <c r="EG70" s="76">
        <v>4.2608695652173916</v>
      </c>
      <c r="EH70" s="76">
        <v>3.9130434782608696</v>
      </c>
      <c r="EI70" s="76">
        <v>4.7391304347826084</v>
      </c>
      <c r="EJ70" s="76">
        <v>3.4347826086956523</v>
      </c>
      <c r="EK70" s="76">
        <v>2.7391304347826089</v>
      </c>
      <c r="EL70" s="76">
        <v>2.9130434782608696</v>
      </c>
      <c r="EM70" s="76">
        <v>2.8695652173913042</v>
      </c>
      <c r="EN70" s="76">
        <v>2.4347826086956523</v>
      </c>
      <c r="EO70" s="76">
        <v>2.8695652173913042</v>
      </c>
      <c r="EP70" s="76">
        <v>3.0434782608695654</v>
      </c>
      <c r="EQ70" s="76">
        <v>3.1739130434782608</v>
      </c>
      <c r="ER70" s="76">
        <v>3</v>
      </c>
      <c r="ES70" s="76">
        <v>2.9130434782608696</v>
      </c>
      <c r="ET70" s="76">
        <v>3.1304347826086958</v>
      </c>
      <c r="EU70" s="76">
        <v>3</v>
      </c>
      <c r="EV70" s="76">
        <v>3.7391304347826089</v>
      </c>
      <c r="EW70" s="76">
        <v>2.8695652173913042</v>
      </c>
      <c r="EX70" s="76">
        <v>3.1304347826086958</v>
      </c>
      <c r="EY70" s="76">
        <v>2.8695652173913042</v>
      </c>
      <c r="EZ70" s="76">
        <v>4.0869565217391308</v>
      </c>
      <c r="FA70" s="76">
        <v>4.3043478260869561</v>
      </c>
      <c r="FB70" s="76">
        <v>5</v>
      </c>
      <c r="FC70" s="76">
        <v>3.1739130434782608</v>
      </c>
      <c r="FD70" s="76">
        <v>2.9130434782608696</v>
      </c>
      <c r="FE70" s="76">
        <v>2.8695652173913042</v>
      </c>
      <c r="FF70" s="76">
        <v>3.0434782608695654</v>
      </c>
      <c r="FG70" s="76">
        <v>2.652173913043478</v>
      </c>
      <c r="FH70" s="76">
        <v>3.1304347826086958</v>
      </c>
      <c r="FI70" s="76">
        <v>3.1739130434782608</v>
      </c>
      <c r="FJ70" s="76">
        <v>3.3913043478260869</v>
      </c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197</v>
      </c>
      <c r="CT71" s="62">
        <v>195</v>
      </c>
      <c r="CU71" s="62">
        <v>206</v>
      </c>
      <c r="CV71" s="62">
        <v>207</v>
      </c>
      <c r="CW71" s="62">
        <v>248</v>
      </c>
      <c r="CX71" s="62">
        <v>201</v>
      </c>
      <c r="CY71" s="62">
        <v>210</v>
      </c>
      <c r="CZ71" s="62">
        <v>183</v>
      </c>
      <c r="DA71" s="62">
        <v>278</v>
      </c>
      <c r="DB71" s="62">
        <v>279</v>
      </c>
      <c r="DC71" s="62">
        <v>317</v>
      </c>
      <c r="DD71" s="62">
        <v>221</v>
      </c>
      <c r="DE71" s="62">
        <v>192</v>
      </c>
      <c r="DF71" s="62">
        <v>197</v>
      </c>
      <c r="DG71" s="62">
        <v>208</v>
      </c>
      <c r="DH71" s="62">
        <v>173</v>
      </c>
      <c r="DI71" s="62">
        <v>196</v>
      </c>
      <c r="DJ71" s="62">
        <v>208</v>
      </c>
      <c r="DK71" s="62">
        <v>223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143</v>
      </c>
      <c r="DY71" s="76">
        <v>94</v>
      </c>
      <c r="DZ71" s="76">
        <v>98</v>
      </c>
      <c r="EA71" s="76">
        <v>98</v>
      </c>
      <c r="EB71" s="76">
        <v>108</v>
      </c>
      <c r="EC71" s="76">
        <v>120</v>
      </c>
      <c r="ED71" s="76">
        <v>102</v>
      </c>
      <c r="EE71" s="76">
        <v>103</v>
      </c>
      <c r="EF71" s="76">
        <v>90</v>
      </c>
      <c r="EG71" s="76">
        <v>140</v>
      </c>
      <c r="EH71" s="76">
        <v>133</v>
      </c>
      <c r="EI71" s="76">
        <v>158</v>
      </c>
      <c r="EJ71" s="76">
        <v>115</v>
      </c>
      <c r="EK71" s="76">
        <v>92</v>
      </c>
      <c r="EL71" s="76">
        <v>96</v>
      </c>
      <c r="EM71" s="76">
        <v>105</v>
      </c>
      <c r="EN71" s="76">
        <v>82</v>
      </c>
      <c r="EO71" s="76">
        <v>95</v>
      </c>
      <c r="EP71" s="76">
        <v>100</v>
      </c>
      <c r="EQ71" s="76">
        <v>106</v>
      </c>
      <c r="ER71" s="76">
        <v>103</v>
      </c>
      <c r="ES71" s="76">
        <v>97</v>
      </c>
      <c r="ET71" s="76">
        <v>108</v>
      </c>
      <c r="EU71" s="76">
        <v>99</v>
      </c>
      <c r="EV71" s="76">
        <v>128</v>
      </c>
      <c r="EW71" s="76">
        <v>99</v>
      </c>
      <c r="EX71" s="76">
        <v>107</v>
      </c>
      <c r="EY71" s="76">
        <v>93</v>
      </c>
      <c r="EZ71" s="76">
        <v>138</v>
      </c>
      <c r="FA71" s="76">
        <v>146</v>
      </c>
      <c r="FB71" s="76">
        <v>159</v>
      </c>
      <c r="FC71" s="76">
        <v>106</v>
      </c>
      <c r="FD71" s="76">
        <v>100</v>
      </c>
      <c r="FE71" s="76">
        <v>101</v>
      </c>
      <c r="FF71" s="76">
        <v>103</v>
      </c>
      <c r="FG71" s="76">
        <v>91</v>
      </c>
      <c r="FH71" s="76">
        <v>101</v>
      </c>
      <c r="FI71" s="76">
        <v>108</v>
      </c>
      <c r="FJ71" s="76">
        <v>117</v>
      </c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66</v>
      </c>
      <c r="CT72" s="62">
        <v>66</v>
      </c>
      <c r="CU72" s="62">
        <v>66</v>
      </c>
      <c r="CV72" s="62">
        <v>66</v>
      </c>
      <c r="CW72" s="62">
        <v>66</v>
      </c>
      <c r="CX72" s="62">
        <v>66</v>
      </c>
      <c r="CY72" s="62">
        <v>66</v>
      </c>
      <c r="CZ72" s="62">
        <v>66</v>
      </c>
      <c r="DA72" s="62">
        <v>66</v>
      </c>
      <c r="DB72" s="62">
        <v>66</v>
      </c>
      <c r="DC72" s="62">
        <v>66</v>
      </c>
      <c r="DD72" s="62">
        <v>66</v>
      </c>
      <c r="DE72" s="62">
        <v>66</v>
      </c>
      <c r="DF72" s="62">
        <v>66</v>
      </c>
      <c r="DG72" s="62">
        <v>66</v>
      </c>
      <c r="DH72" s="62">
        <v>66</v>
      </c>
      <c r="DI72" s="62">
        <v>66</v>
      </c>
      <c r="DJ72" s="62">
        <v>66</v>
      </c>
      <c r="DK72" s="62">
        <v>66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144</v>
      </c>
      <c r="DY72" s="76">
        <v>33</v>
      </c>
      <c r="DZ72" s="76">
        <v>33</v>
      </c>
      <c r="EA72" s="76">
        <v>33</v>
      </c>
      <c r="EB72" s="76">
        <v>33</v>
      </c>
      <c r="EC72" s="76">
        <v>33</v>
      </c>
      <c r="ED72" s="76">
        <v>33</v>
      </c>
      <c r="EE72" s="76">
        <v>33</v>
      </c>
      <c r="EF72" s="76">
        <v>33</v>
      </c>
      <c r="EG72" s="76">
        <v>33</v>
      </c>
      <c r="EH72" s="76">
        <v>33</v>
      </c>
      <c r="EI72" s="76">
        <v>33</v>
      </c>
      <c r="EJ72" s="76">
        <v>33</v>
      </c>
      <c r="EK72" s="76">
        <v>33</v>
      </c>
      <c r="EL72" s="76">
        <v>33</v>
      </c>
      <c r="EM72" s="76">
        <v>33</v>
      </c>
      <c r="EN72" s="76">
        <v>33</v>
      </c>
      <c r="EO72" s="76">
        <v>33</v>
      </c>
      <c r="EP72" s="76">
        <v>33</v>
      </c>
      <c r="EQ72" s="76">
        <v>33</v>
      </c>
      <c r="ER72" s="76">
        <v>33</v>
      </c>
      <c r="ES72" s="76">
        <v>33</v>
      </c>
      <c r="ET72" s="76">
        <v>33</v>
      </c>
      <c r="EU72" s="76">
        <v>33</v>
      </c>
      <c r="EV72" s="76">
        <v>33</v>
      </c>
      <c r="EW72" s="76">
        <v>33</v>
      </c>
      <c r="EX72" s="76">
        <v>33</v>
      </c>
      <c r="EY72" s="76">
        <v>33</v>
      </c>
      <c r="EZ72" s="76">
        <v>33</v>
      </c>
      <c r="FA72" s="76">
        <v>33</v>
      </c>
      <c r="FB72" s="76">
        <v>33</v>
      </c>
      <c r="FC72" s="76">
        <v>33</v>
      </c>
      <c r="FD72" s="76">
        <v>33</v>
      </c>
      <c r="FE72" s="76">
        <v>33</v>
      </c>
      <c r="FF72" s="76">
        <v>33</v>
      </c>
      <c r="FG72" s="76">
        <v>33</v>
      </c>
      <c r="FH72" s="76">
        <v>33</v>
      </c>
      <c r="FI72" s="76">
        <v>33</v>
      </c>
      <c r="FJ72" s="76">
        <v>33</v>
      </c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2.9848484848484849</v>
      </c>
      <c r="CT73" s="62">
        <v>2.9545454545454546</v>
      </c>
      <c r="CU73" s="62">
        <v>3.1212121212121211</v>
      </c>
      <c r="CV73" s="62">
        <v>3.1363636363636362</v>
      </c>
      <c r="CW73" s="62">
        <v>3.7575757575757578</v>
      </c>
      <c r="CX73" s="62">
        <v>3.0454545454545454</v>
      </c>
      <c r="CY73" s="62">
        <v>3.1818181818181817</v>
      </c>
      <c r="CZ73" s="62">
        <v>2.7727272727272729</v>
      </c>
      <c r="DA73" s="62">
        <v>4.2121212121212119</v>
      </c>
      <c r="DB73" s="62">
        <v>4.2272727272727275</v>
      </c>
      <c r="DC73" s="62">
        <v>4.8030303030303028</v>
      </c>
      <c r="DD73" s="62">
        <v>3.3484848484848486</v>
      </c>
      <c r="DE73" s="62">
        <v>2.9090909090909092</v>
      </c>
      <c r="DF73" s="62">
        <v>2.9848484848484849</v>
      </c>
      <c r="DG73" s="62">
        <v>3.1515151515151514</v>
      </c>
      <c r="DH73" s="62">
        <v>2.6212121212121211</v>
      </c>
      <c r="DI73" s="62">
        <v>2.9696969696969697</v>
      </c>
      <c r="DJ73" s="62">
        <v>3.1515151515151514</v>
      </c>
      <c r="DK73" s="62">
        <v>3.3787878787878789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145</v>
      </c>
      <c r="DY73" s="76">
        <v>2.8484848484848486</v>
      </c>
      <c r="DZ73" s="76">
        <v>2.9696969696969697</v>
      </c>
      <c r="EA73" s="76">
        <v>2.9696969696969697</v>
      </c>
      <c r="EB73" s="76">
        <v>3.2727272727272729</v>
      </c>
      <c r="EC73" s="76">
        <v>3.6363636363636362</v>
      </c>
      <c r="ED73" s="76">
        <v>3.0909090909090908</v>
      </c>
      <c r="EE73" s="76">
        <v>3.1212121212121211</v>
      </c>
      <c r="EF73" s="76">
        <v>2.7272727272727271</v>
      </c>
      <c r="EG73" s="76">
        <v>4.2424242424242422</v>
      </c>
      <c r="EH73" s="76">
        <v>4.0303030303030303</v>
      </c>
      <c r="EI73" s="76">
        <v>4.7878787878787881</v>
      </c>
      <c r="EJ73" s="76">
        <v>3.4848484848484849</v>
      </c>
      <c r="EK73" s="76">
        <v>2.7878787878787881</v>
      </c>
      <c r="EL73" s="76">
        <v>2.9090909090909092</v>
      </c>
      <c r="EM73" s="76">
        <v>3.1818181818181817</v>
      </c>
      <c r="EN73" s="76">
        <v>2.4848484848484849</v>
      </c>
      <c r="EO73" s="76">
        <v>2.8787878787878789</v>
      </c>
      <c r="EP73" s="76">
        <v>3.0303030303030303</v>
      </c>
      <c r="EQ73" s="76">
        <v>3.2121212121212119</v>
      </c>
      <c r="ER73" s="76">
        <v>3.1212121212121211</v>
      </c>
      <c r="ES73" s="76">
        <v>2.9393939393939394</v>
      </c>
      <c r="ET73" s="76">
        <v>3.2727272727272729</v>
      </c>
      <c r="EU73" s="76">
        <v>3</v>
      </c>
      <c r="EV73" s="76">
        <v>3.8787878787878789</v>
      </c>
      <c r="EW73" s="76">
        <v>3</v>
      </c>
      <c r="EX73" s="76">
        <v>3.2424242424242422</v>
      </c>
      <c r="EY73" s="76">
        <v>2.8181818181818183</v>
      </c>
      <c r="EZ73" s="76">
        <v>4.1818181818181817</v>
      </c>
      <c r="FA73" s="76">
        <v>4.4242424242424239</v>
      </c>
      <c r="FB73" s="76">
        <v>4.8181818181818183</v>
      </c>
      <c r="FC73" s="76">
        <v>3.2121212121212119</v>
      </c>
      <c r="FD73" s="76">
        <v>3.0303030303030303</v>
      </c>
      <c r="FE73" s="76">
        <v>3.0606060606060606</v>
      </c>
      <c r="FF73" s="76">
        <v>3.1212121212121211</v>
      </c>
      <c r="FG73" s="76">
        <v>2.7575757575757578</v>
      </c>
      <c r="FH73" s="76">
        <v>3.0606060606060606</v>
      </c>
      <c r="FI73" s="76">
        <v>3.2727272727272729</v>
      </c>
      <c r="FJ73" s="76">
        <v>3.5454545454545454</v>
      </c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7</v>
      </c>
      <c r="CT74" s="62">
        <v>6</v>
      </c>
      <c r="CU74" s="62">
        <v>8</v>
      </c>
      <c r="CV74" s="62">
        <v>7</v>
      </c>
      <c r="CW74" s="62">
        <v>8</v>
      </c>
      <c r="CX74" s="62">
        <v>7</v>
      </c>
      <c r="CY74" s="62">
        <v>6</v>
      </c>
      <c r="CZ74" s="62">
        <v>6</v>
      </c>
      <c r="DA74" s="62">
        <v>9</v>
      </c>
      <c r="DB74" s="62">
        <v>8</v>
      </c>
      <c r="DC74" s="62">
        <v>10</v>
      </c>
      <c r="DD74" s="62">
        <v>6</v>
      </c>
      <c r="DE74" s="62">
        <v>6</v>
      </c>
      <c r="DF74" s="62">
        <v>7</v>
      </c>
      <c r="DG74" s="62">
        <v>7</v>
      </c>
      <c r="DH74" s="62">
        <v>5</v>
      </c>
      <c r="DI74" s="62">
        <v>6</v>
      </c>
      <c r="DJ74" s="62">
        <v>6</v>
      </c>
      <c r="DK74" s="62">
        <v>6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159</v>
      </c>
      <c r="DY74" s="76">
        <v>4</v>
      </c>
      <c r="DZ74" s="76">
        <v>3</v>
      </c>
      <c r="EA74" s="76">
        <v>4</v>
      </c>
      <c r="EB74" s="76">
        <v>4</v>
      </c>
      <c r="EC74" s="76">
        <v>4</v>
      </c>
      <c r="ED74" s="76">
        <v>3</v>
      </c>
      <c r="EE74" s="76">
        <v>3</v>
      </c>
      <c r="EF74" s="76">
        <v>3</v>
      </c>
      <c r="EG74" s="76">
        <v>4</v>
      </c>
      <c r="EH74" s="76">
        <v>4</v>
      </c>
      <c r="EI74" s="76">
        <v>4</v>
      </c>
      <c r="EJ74" s="76">
        <v>3</v>
      </c>
      <c r="EK74" s="76">
        <v>3</v>
      </c>
      <c r="EL74" s="76">
        <v>4</v>
      </c>
      <c r="EM74" s="76">
        <v>3</v>
      </c>
      <c r="EN74" s="76">
        <v>2</v>
      </c>
      <c r="EO74" s="76">
        <v>3</v>
      </c>
      <c r="EP74" s="76">
        <v>2</v>
      </c>
      <c r="EQ74" s="76">
        <v>3</v>
      </c>
      <c r="ER74" s="76">
        <v>3</v>
      </c>
      <c r="ES74" s="76">
        <v>3</v>
      </c>
      <c r="ET74" s="76">
        <v>4</v>
      </c>
      <c r="EU74" s="76">
        <v>3</v>
      </c>
      <c r="EV74" s="76">
        <v>4</v>
      </c>
      <c r="EW74" s="76">
        <v>4</v>
      </c>
      <c r="EX74" s="76">
        <v>3</v>
      </c>
      <c r="EY74" s="76">
        <v>3</v>
      </c>
      <c r="EZ74" s="76">
        <v>5</v>
      </c>
      <c r="FA74" s="76">
        <v>4</v>
      </c>
      <c r="FB74" s="76">
        <v>6</v>
      </c>
      <c r="FC74" s="76">
        <v>3</v>
      </c>
      <c r="FD74" s="76">
        <v>3</v>
      </c>
      <c r="FE74" s="76">
        <v>3</v>
      </c>
      <c r="FF74" s="76">
        <v>4</v>
      </c>
      <c r="FG74" s="76">
        <v>3</v>
      </c>
      <c r="FH74" s="76">
        <v>3</v>
      </c>
      <c r="FI74" s="76">
        <v>4</v>
      </c>
      <c r="FJ74" s="76">
        <v>3</v>
      </c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2</v>
      </c>
      <c r="CT75" s="62">
        <v>2</v>
      </c>
      <c r="CU75" s="62">
        <v>2</v>
      </c>
      <c r="CV75" s="62">
        <v>2</v>
      </c>
      <c r="CW75" s="62">
        <v>2</v>
      </c>
      <c r="CX75" s="62">
        <v>2</v>
      </c>
      <c r="CY75" s="62">
        <v>2</v>
      </c>
      <c r="CZ75" s="62">
        <v>2</v>
      </c>
      <c r="DA75" s="62">
        <v>2</v>
      </c>
      <c r="DB75" s="62">
        <v>2</v>
      </c>
      <c r="DC75" s="62">
        <v>2</v>
      </c>
      <c r="DD75" s="62">
        <v>2</v>
      </c>
      <c r="DE75" s="62">
        <v>2</v>
      </c>
      <c r="DF75" s="62">
        <v>2</v>
      </c>
      <c r="DG75" s="62">
        <v>2</v>
      </c>
      <c r="DH75" s="62">
        <v>2</v>
      </c>
      <c r="DI75" s="62">
        <v>2</v>
      </c>
      <c r="DJ75" s="62">
        <v>2</v>
      </c>
      <c r="DK75" s="62">
        <v>2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160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3.5</v>
      </c>
      <c r="CT76" s="62">
        <v>3</v>
      </c>
      <c r="CU76" s="62">
        <v>4</v>
      </c>
      <c r="CV76" s="62">
        <v>3.5</v>
      </c>
      <c r="CW76" s="62">
        <v>4</v>
      </c>
      <c r="CX76" s="62">
        <v>3.5</v>
      </c>
      <c r="CY76" s="62">
        <v>3</v>
      </c>
      <c r="CZ76" s="62">
        <v>3</v>
      </c>
      <c r="DA76" s="62">
        <v>4.5</v>
      </c>
      <c r="DB76" s="62">
        <v>4</v>
      </c>
      <c r="DC76" s="62">
        <v>5</v>
      </c>
      <c r="DD76" s="62">
        <v>3</v>
      </c>
      <c r="DE76" s="62">
        <v>3</v>
      </c>
      <c r="DF76" s="62">
        <v>3.5</v>
      </c>
      <c r="DG76" s="62">
        <v>3.5</v>
      </c>
      <c r="DH76" s="62">
        <v>2.5</v>
      </c>
      <c r="DI76" s="62">
        <v>3</v>
      </c>
      <c r="DJ76" s="62">
        <v>3</v>
      </c>
      <c r="DK76" s="62">
        <v>3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193</v>
      </c>
      <c r="DY76" s="76">
        <v>4</v>
      </c>
      <c r="DZ76" s="76">
        <v>3</v>
      </c>
      <c r="EA76" s="76">
        <v>4</v>
      </c>
      <c r="EB76" s="76">
        <v>4</v>
      </c>
      <c r="EC76" s="76">
        <v>4</v>
      </c>
      <c r="ED76" s="76">
        <v>3</v>
      </c>
      <c r="EE76" s="76">
        <v>3</v>
      </c>
      <c r="EF76" s="76">
        <v>3</v>
      </c>
      <c r="EG76" s="76">
        <v>4</v>
      </c>
      <c r="EH76" s="76">
        <v>4</v>
      </c>
      <c r="EI76" s="76">
        <v>4</v>
      </c>
      <c r="EJ76" s="76">
        <v>3</v>
      </c>
      <c r="EK76" s="76">
        <v>3</v>
      </c>
      <c r="EL76" s="76">
        <v>4</v>
      </c>
      <c r="EM76" s="76">
        <v>3</v>
      </c>
      <c r="EN76" s="76">
        <v>2</v>
      </c>
      <c r="EO76" s="76">
        <v>3</v>
      </c>
      <c r="EP76" s="76">
        <v>2</v>
      </c>
      <c r="EQ76" s="76">
        <v>3</v>
      </c>
      <c r="ER76" s="76">
        <v>3</v>
      </c>
      <c r="ES76" s="76">
        <v>3</v>
      </c>
      <c r="ET76" s="76">
        <v>4</v>
      </c>
      <c r="EU76" s="76">
        <v>3</v>
      </c>
      <c r="EV76" s="76">
        <v>4</v>
      </c>
      <c r="EW76" s="76">
        <v>4</v>
      </c>
      <c r="EX76" s="76">
        <v>3</v>
      </c>
      <c r="EY76" s="76">
        <v>3</v>
      </c>
      <c r="EZ76" s="76">
        <v>5</v>
      </c>
      <c r="FA76" s="76">
        <v>4</v>
      </c>
      <c r="FB76" s="76">
        <v>6</v>
      </c>
      <c r="FC76" s="76">
        <v>3</v>
      </c>
      <c r="FD76" s="76">
        <v>3</v>
      </c>
      <c r="FE76" s="76">
        <v>3</v>
      </c>
      <c r="FF76" s="76">
        <v>4</v>
      </c>
      <c r="FG76" s="76">
        <v>3</v>
      </c>
      <c r="FH76" s="76">
        <v>3</v>
      </c>
      <c r="FI76" s="76">
        <v>4</v>
      </c>
      <c r="FJ76" s="76">
        <v>3</v>
      </c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33</v>
      </c>
      <c r="CT77" s="62">
        <v>31</v>
      </c>
      <c r="CU77" s="62">
        <v>39</v>
      </c>
      <c r="CV77" s="62">
        <v>35</v>
      </c>
      <c r="CW77" s="62">
        <v>47</v>
      </c>
      <c r="CX77" s="62">
        <v>36</v>
      </c>
      <c r="CY77" s="62">
        <v>35</v>
      </c>
      <c r="CZ77" s="62">
        <v>33</v>
      </c>
      <c r="DA77" s="62">
        <v>47</v>
      </c>
      <c r="DB77" s="62">
        <v>47</v>
      </c>
      <c r="DC77" s="62">
        <v>54</v>
      </c>
      <c r="DD77" s="62">
        <v>34</v>
      </c>
      <c r="DE77" s="62">
        <v>34</v>
      </c>
      <c r="DF77" s="62">
        <v>35</v>
      </c>
      <c r="DG77" s="62">
        <v>36</v>
      </c>
      <c r="DH77" s="62">
        <v>30</v>
      </c>
      <c r="DI77" s="62">
        <v>34</v>
      </c>
      <c r="DJ77" s="62">
        <v>34</v>
      </c>
      <c r="DK77" s="62">
        <v>37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73</v>
      </c>
      <c r="DY77" s="76">
        <v>15</v>
      </c>
      <c r="DZ77" s="76">
        <v>16</v>
      </c>
      <c r="EA77" s="76">
        <v>20</v>
      </c>
      <c r="EB77" s="76">
        <v>18</v>
      </c>
      <c r="EC77" s="76">
        <v>24</v>
      </c>
      <c r="ED77" s="76">
        <v>18</v>
      </c>
      <c r="EE77" s="76">
        <v>15</v>
      </c>
      <c r="EF77" s="76">
        <v>18</v>
      </c>
      <c r="EG77" s="76">
        <v>22</v>
      </c>
      <c r="EH77" s="76">
        <v>23</v>
      </c>
      <c r="EI77" s="76">
        <v>25</v>
      </c>
      <c r="EJ77" s="76">
        <v>17</v>
      </c>
      <c r="EK77" s="76">
        <v>15</v>
      </c>
      <c r="EL77" s="76">
        <v>19</v>
      </c>
      <c r="EM77" s="76">
        <v>18</v>
      </c>
      <c r="EN77" s="76">
        <v>15</v>
      </c>
      <c r="EO77" s="76">
        <v>17</v>
      </c>
      <c r="EP77" s="76">
        <v>14</v>
      </c>
      <c r="EQ77" s="76">
        <v>18</v>
      </c>
      <c r="ER77" s="76">
        <v>18</v>
      </c>
      <c r="ES77" s="76">
        <v>15</v>
      </c>
      <c r="ET77" s="76">
        <v>19</v>
      </c>
      <c r="EU77" s="76">
        <v>17</v>
      </c>
      <c r="EV77" s="76">
        <v>23</v>
      </c>
      <c r="EW77" s="76">
        <v>18</v>
      </c>
      <c r="EX77" s="76">
        <v>20</v>
      </c>
      <c r="EY77" s="76">
        <v>15</v>
      </c>
      <c r="EZ77" s="76">
        <v>25</v>
      </c>
      <c r="FA77" s="76">
        <v>24</v>
      </c>
      <c r="FB77" s="76">
        <v>29</v>
      </c>
      <c r="FC77" s="76">
        <v>17</v>
      </c>
      <c r="FD77" s="76">
        <v>19</v>
      </c>
      <c r="FE77" s="76">
        <v>16</v>
      </c>
      <c r="FF77" s="76">
        <v>18</v>
      </c>
      <c r="FG77" s="76">
        <v>15</v>
      </c>
      <c r="FH77" s="76">
        <v>17</v>
      </c>
      <c r="FI77" s="76">
        <v>20</v>
      </c>
      <c r="FJ77" s="76">
        <v>19</v>
      </c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10</v>
      </c>
      <c r="CT78" s="62">
        <v>10</v>
      </c>
      <c r="CU78" s="62">
        <v>10</v>
      </c>
      <c r="CV78" s="62">
        <v>10</v>
      </c>
      <c r="CW78" s="62">
        <v>10</v>
      </c>
      <c r="CX78" s="62">
        <v>10</v>
      </c>
      <c r="CY78" s="62">
        <v>10</v>
      </c>
      <c r="CZ78" s="62">
        <v>10</v>
      </c>
      <c r="DA78" s="62">
        <v>10</v>
      </c>
      <c r="DB78" s="62">
        <v>10</v>
      </c>
      <c r="DC78" s="62">
        <v>10</v>
      </c>
      <c r="DD78" s="62">
        <v>10</v>
      </c>
      <c r="DE78" s="62">
        <v>10</v>
      </c>
      <c r="DF78" s="62">
        <v>10</v>
      </c>
      <c r="DG78" s="62">
        <v>10</v>
      </c>
      <c r="DH78" s="62">
        <v>10</v>
      </c>
      <c r="DI78" s="62">
        <v>10</v>
      </c>
      <c r="DJ78" s="62">
        <v>10</v>
      </c>
      <c r="DK78" s="62">
        <v>10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74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3.3</v>
      </c>
      <c r="CT79" s="62">
        <v>3.1</v>
      </c>
      <c r="CU79" s="62">
        <v>3.9</v>
      </c>
      <c r="CV79" s="62">
        <v>3.5</v>
      </c>
      <c r="CW79" s="62">
        <v>4.7</v>
      </c>
      <c r="CX79" s="62">
        <v>3.6</v>
      </c>
      <c r="CY79" s="62">
        <v>3.5</v>
      </c>
      <c r="CZ79" s="62">
        <v>3.3</v>
      </c>
      <c r="DA79" s="62">
        <v>4.7</v>
      </c>
      <c r="DB79" s="62">
        <v>4.7</v>
      </c>
      <c r="DC79" s="62">
        <v>5.4</v>
      </c>
      <c r="DD79" s="62">
        <v>3.4</v>
      </c>
      <c r="DE79" s="62">
        <v>3.4</v>
      </c>
      <c r="DF79" s="62">
        <v>3.5</v>
      </c>
      <c r="DG79" s="62">
        <v>3.6</v>
      </c>
      <c r="DH79" s="62">
        <v>3</v>
      </c>
      <c r="DI79" s="62">
        <v>3.4</v>
      </c>
      <c r="DJ79" s="62">
        <v>3.4</v>
      </c>
      <c r="DK79" s="62">
        <v>3.7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75</v>
      </c>
      <c r="DY79" s="76">
        <v>3</v>
      </c>
      <c r="DZ79" s="76">
        <v>3.2</v>
      </c>
      <c r="EA79" s="76">
        <v>4</v>
      </c>
      <c r="EB79" s="76">
        <v>3.6</v>
      </c>
      <c r="EC79" s="76">
        <v>4.8</v>
      </c>
      <c r="ED79" s="76">
        <v>3.6</v>
      </c>
      <c r="EE79" s="76">
        <v>3</v>
      </c>
      <c r="EF79" s="76">
        <v>3.6</v>
      </c>
      <c r="EG79" s="76">
        <v>4.4000000000000004</v>
      </c>
      <c r="EH79" s="76">
        <v>4.5999999999999996</v>
      </c>
      <c r="EI79" s="76">
        <v>5</v>
      </c>
      <c r="EJ79" s="76">
        <v>3.4</v>
      </c>
      <c r="EK79" s="76">
        <v>3</v>
      </c>
      <c r="EL79" s="76">
        <v>3.8</v>
      </c>
      <c r="EM79" s="76">
        <v>3.6</v>
      </c>
      <c r="EN79" s="76">
        <v>3</v>
      </c>
      <c r="EO79" s="76">
        <v>3.4</v>
      </c>
      <c r="EP79" s="76">
        <v>2.8</v>
      </c>
      <c r="EQ79" s="76">
        <v>3.6</v>
      </c>
      <c r="ER79" s="76">
        <v>3.6</v>
      </c>
      <c r="ES79" s="76">
        <v>3</v>
      </c>
      <c r="ET79" s="76">
        <v>3.8</v>
      </c>
      <c r="EU79" s="76">
        <v>3.4</v>
      </c>
      <c r="EV79" s="76">
        <v>4.5999999999999996</v>
      </c>
      <c r="EW79" s="76">
        <v>3.6</v>
      </c>
      <c r="EX79" s="76">
        <v>4</v>
      </c>
      <c r="EY79" s="76">
        <v>3</v>
      </c>
      <c r="EZ79" s="76">
        <v>5</v>
      </c>
      <c r="FA79" s="76">
        <v>4.8</v>
      </c>
      <c r="FB79" s="76">
        <v>5.8</v>
      </c>
      <c r="FC79" s="76">
        <v>3.4</v>
      </c>
      <c r="FD79" s="76">
        <v>3.8</v>
      </c>
      <c r="FE79" s="76">
        <v>3.2</v>
      </c>
      <c r="FF79" s="76">
        <v>3.6</v>
      </c>
      <c r="FG79" s="76">
        <v>3</v>
      </c>
      <c r="FH79" s="76">
        <v>3.4</v>
      </c>
      <c r="FI79" s="76">
        <v>4</v>
      </c>
      <c r="FJ79" s="76">
        <v>3.8</v>
      </c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55</v>
      </c>
      <c r="CT80" s="62">
        <v>57</v>
      </c>
      <c r="CU80" s="62">
        <v>71</v>
      </c>
      <c r="CV80" s="62">
        <v>64</v>
      </c>
      <c r="CW80" s="62">
        <v>81</v>
      </c>
      <c r="CX80" s="62">
        <v>64</v>
      </c>
      <c r="CY80" s="62">
        <v>63</v>
      </c>
      <c r="CZ80" s="62">
        <v>55</v>
      </c>
      <c r="DA80" s="62">
        <v>84</v>
      </c>
      <c r="DB80" s="62">
        <v>85</v>
      </c>
      <c r="DC80" s="62">
        <v>97</v>
      </c>
      <c r="DD80" s="62">
        <v>64</v>
      </c>
      <c r="DE80" s="62">
        <v>58</v>
      </c>
      <c r="DF80" s="62">
        <v>61</v>
      </c>
      <c r="DG80" s="62">
        <v>62</v>
      </c>
      <c r="DH80" s="62">
        <v>52</v>
      </c>
      <c r="DI80" s="62">
        <v>61</v>
      </c>
      <c r="DJ80" s="62">
        <v>56</v>
      </c>
      <c r="DK80" s="62">
        <v>63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146</v>
      </c>
      <c r="DY80" s="76">
        <v>27</v>
      </c>
      <c r="DZ80" s="76">
        <v>29</v>
      </c>
      <c r="EA80" s="76">
        <v>35</v>
      </c>
      <c r="EB80" s="76">
        <v>33</v>
      </c>
      <c r="EC80" s="76">
        <v>39</v>
      </c>
      <c r="ED80" s="76">
        <v>32</v>
      </c>
      <c r="EE80" s="76">
        <v>27</v>
      </c>
      <c r="EF80" s="76">
        <v>27</v>
      </c>
      <c r="EG80" s="76">
        <v>39</v>
      </c>
      <c r="EH80" s="76">
        <v>40</v>
      </c>
      <c r="EI80" s="76">
        <v>45</v>
      </c>
      <c r="EJ80" s="76">
        <v>32</v>
      </c>
      <c r="EK80" s="76">
        <v>26</v>
      </c>
      <c r="EL80" s="76">
        <v>32</v>
      </c>
      <c r="EM80" s="76">
        <v>30</v>
      </c>
      <c r="EN80" s="76">
        <v>26</v>
      </c>
      <c r="EO80" s="76">
        <v>29</v>
      </c>
      <c r="EP80" s="76">
        <v>23</v>
      </c>
      <c r="EQ80" s="76">
        <v>31</v>
      </c>
      <c r="ER80" s="76">
        <v>28</v>
      </c>
      <c r="ES80" s="76">
        <v>28</v>
      </c>
      <c r="ET80" s="76">
        <v>36</v>
      </c>
      <c r="EU80" s="76">
        <v>31</v>
      </c>
      <c r="EV80" s="76">
        <v>42</v>
      </c>
      <c r="EW80" s="76">
        <v>32</v>
      </c>
      <c r="EX80" s="76">
        <v>36</v>
      </c>
      <c r="EY80" s="76">
        <v>28</v>
      </c>
      <c r="EZ80" s="76">
        <v>45</v>
      </c>
      <c r="FA80" s="76">
        <v>45</v>
      </c>
      <c r="FB80" s="76">
        <v>52</v>
      </c>
      <c r="FC80" s="76">
        <v>32</v>
      </c>
      <c r="FD80" s="76">
        <v>32</v>
      </c>
      <c r="FE80" s="76">
        <v>29</v>
      </c>
      <c r="FF80" s="76">
        <v>32</v>
      </c>
      <c r="FG80" s="76">
        <v>26</v>
      </c>
      <c r="FH80" s="76">
        <v>32</v>
      </c>
      <c r="FI80" s="76">
        <v>33</v>
      </c>
      <c r="FJ80" s="76">
        <v>32</v>
      </c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16</v>
      </c>
      <c r="CT81" s="62">
        <v>16</v>
      </c>
      <c r="CU81" s="62">
        <v>16</v>
      </c>
      <c r="CV81" s="62">
        <v>16</v>
      </c>
      <c r="CW81" s="62">
        <v>16</v>
      </c>
      <c r="CX81" s="62">
        <v>16</v>
      </c>
      <c r="CY81" s="62">
        <v>16</v>
      </c>
      <c r="CZ81" s="62">
        <v>16</v>
      </c>
      <c r="DA81" s="62">
        <v>16</v>
      </c>
      <c r="DB81" s="62">
        <v>16</v>
      </c>
      <c r="DC81" s="62">
        <v>16</v>
      </c>
      <c r="DD81" s="62">
        <v>16</v>
      </c>
      <c r="DE81" s="62">
        <v>16</v>
      </c>
      <c r="DF81" s="62">
        <v>16</v>
      </c>
      <c r="DG81" s="62">
        <v>16</v>
      </c>
      <c r="DH81" s="62">
        <v>16</v>
      </c>
      <c r="DI81" s="62">
        <v>16</v>
      </c>
      <c r="DJ81" s="62">
        <v>16</v>
      </c>
      <c r="DK81" s="62">
        <v>16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147</v>
      </c>
      <c r="DY81" s="76">
        <v>8</v>
      </c>
      <c r="DZ81" s="76">
        <v>8</v>
      </c>
      <c r="EA81" s="76">
        <v>8</v>
      </c>
      <c r="EB81" s="76">
        <v>8</v>
      </c>
      <c r="EC81" s="76">
        <v>8</v>
      </c>
      <c r="ED81" s="76">
        <v>8</v>
      </c>
      <c r="EE81" s="76">
        <v>8</v>
      </c>
      <c r="EF81" s="76">
        <v>8</v>
      </c>
      <c r="EG81" s="76">
        <v>8</v>
      </c>
      <c r="EH81" s="76">
        <v>8</v>
      </c>
      <c r="EI81" s="76">
        <v>8</v>
      </c>
      <c r="EJ81" s="76">
        <v>8</v>
      </c>
      <c r="EK81" s="76">
        <v>8</v>
      </c>
      <c r="EL81" s="76">
        <v>8</v>
      </c>
      <c r="EM81" s="76">
        <v>8</v>
      </c>
      <c r="EN81" s="76">
        <v>8</v>
      </c>
      <c r="EO81" s="76">
        <v>8</v>
      </c>
      <c r="EP81" s="76">
        <v>8</v>
      </c>
      <c r="EQ81" s="76">
        <v>8</v>
      </c>
      <c r="ER81" s="76">
        <v>8</v>
      </c>
      <c r="ES81" s="76">
        <v>8</v>
      </c>
      <c r="ET81" s="76">
        <v>8</v>
      </c>
      <c r="EU81" s="76">
        <v>8</v>
      </c>
      <c r="EV81" s="76">
        <v>8</v>
      </c>
      <c r="EW81" s="76">
        <v>8</v>
      </c>
      <c r="EX81" s="76">
        <v>8</v>
      </c>
      <c r="EY81" s="76">
        <v>8</v>
      </c>
      <c r="EZ81" s="76">
        <v>8</v>
      </c>
      <c r="FA81" s="76">
        <v>8</v>
      </c>
      <c r="FB81" s="76">
        <v>8</v>
      </c>
      <c r="FC81" s="76">
        <v>8</v>
      </c>
      <c r="FD81" s="76">
        <v>8</v>
      </c>
      <c r="FE81" s="76">
        <v>8</v>
      </c>
      <c r="FF81" s="76">
        <v>8</v>
      </c>
      <c r="FG81" s="76">
        <v>8</v>
      </c>
      <c r="FH81" s="76">
        <v>8</v>
      </c>
      <c r="FI81" s="76">
        <v>8</v>
      </c>
      <c r="FJ81" s="76">
        <v>8</v>
      </c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3.4375</v>
      </c>
      <c r="CT82" s="62">
        <v>3.5625</v>
      </c>
      <c r="CU82" s="62">
        <v>4.4375</v>
      </c>
      <c r="CV82" s="62">
        <v>4</v>
      </c>
      <c r="CW82" s="62">
        <v>5.0625</v>
      </c>
      <c r="CX82" s="62">
        <v>4</v>
      </c>
      <c r="CY82" s="62">
        <v>3.9375</v>
      </c>
      <c r="CZ82" s="62">
        <v>3.4375</v>
      </c>
      <c r="DA82" s="62">
        <v>5.25</v>
      </c>
      <c r="DB82" s="62">
        <v>5.3125</v>
      </c>
      <c r="DC82" s="62">
        <v>6.0625</v>
      </c>
      <c r="DD82" s="62">
        <v>4</v>
      </c>
      <c r="DE82" s="62">
        <v>3.625</v>
      </c>
      <c r="DF82" s="62">
        <v>3.8125</v>
      </c>
      <c r="DG82" s="62">
        <v>3.875</v>
      </c>
      <c r="DH82" s="62">
        <v>3.25</v>
      </c>
      <c r="DI82" s="62">
        <v>3.8125</v>
      </c>
      <c r="DJ82" s="62">
        <v>3.5</v>
      </c>
      <c r="DK82" s="62">
        <v>3.9375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148</v>
      </c>
      <c r="DY82" s="76">
        <v>3.375</v>
      </c>
      <c r="DZ82" s="76">
        <v>3.625</v>
      </c>
      <c r="EA82" s="76">
        <v>4.375</v>
      </c>
      <c r="EB82" s="76">
        <v>4.125</v>
      </c>
      <c r="EC82" s="76">
        <v>4.875</v>
      </c>
      <c r="ED82" s="76">
        <v>4</v>
      </c>
      <c r="EE82" s="76">
        <v>3.375</v>
      </c>
      <c r="EF82" s="76">
        <v>3.375</v>
      </c>
      <c r="EG82" s="76">
        <v>4.875</v>
      </c>
      <c r="EH82" s="76">
        <v>5</v>
      </c>
      <c r="EI82" s="76">
        <v>5.625</v>
      </c>
      <c r="EJ82" s="76">
        <v>4</v>
      </c>
      <c r="EK82" s="76">
        <v>3.25</v>
      </c>
      <c r="EL82" s="76">
        <v>4</v>
      </c>
      <c r="EM82" s="76">
        <v>3.75</v>
      </c>
      <c r="EN82" s="76">
        <v>3.25</v>
      </c>
      <c r="EO82" s="76">
        <v>3.625</v>
      </c>
      <c r="EP82" s="76">
        <v>2.875</v>
      </c>
      <c r="EQ82" s="76">
        <v>3.875</v>
      </c>
      <c r="ER82" s="76">
        <v>3.5</v>
      </c>
      <c r="ES82" s="76">
        <v>3.5</v>
      </c>
      <c r="ET82" s="76">
        <v>4.5</v>
      </c>
      <c r="EU82" s="76">
        <v>3.875</v>
      </c>
      <c r="EV82" s="76">
        <v>5.25</v>
      </c>
      <c r="EW82" s="76">
        <v>4</v>
      </c>
      <c r="EX82" s="76">
        <v>4.5</v>
      </c>
      <c r="EY82" s="76">
        <v>3.5</v>
      </c>
      <c r="EZ82" s="76">
        <v>5.625</v>
      </c>
      <c r="FA82" s="76">
        <v>5.625</v>
      </c>
      <c r="FB82" s="76">
        <v>6.5</v>
      </c>
      <c r="FC82" s="76">
        <v>4</v>
      </c>
      <c r="FD82" s="76">
        <v>4</v>
      </c>
      <c r="FE82" s="76">
        <v>3.625</v>
      </c>
      <c r="FF82" s="76">
        <v>4</v>
      </c>
      <c r="FG82" s="76">
        <v>3.25</v>
      </c>
      <c r="FH82" s="76">
        <v>4</v>
      </c>
      <c r="FI82" s="76">
        <v>4.125</v>
      </c>
      <c r="FJ82" s="76">
        <v>4</v>
      </c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55</v>
      </c>
      <c r="CT83" s="62">
        <v>57</v>
      </c>
      <c r="CU83" s="62">
        <v>71</v>
      </c>
      <c r="CV83" s="62">
        <v>64</v>
      </c>
      <c r="CW83" s="62">
        <v>81</v>
      </c>
      <c r="CX83" s="62">
        <v>64</v>
      </c>
      <c r="CY83" s="62">
        <v>63</v>
      </c>
      <c r="CZ83" s="62">
        <v>55</v>
      </c>
      <c r="DA83" s="62">
        <v>84</v>
      </c>
      <c r="DB83" s="62">
        <v>85</v>
      </c>
      <c r="DC83" s="62">
        <v>97</v>
      </c>
      <c r="DD83" s="62">
        <v>64</v>
      </c>
      <c r="DE83" s="62">
        <v>58</v>
      </c>
      <c r="DF83" s="62">
        <v>61</v>
      </c>
      <c r="DG83" s="62">
        <v>62</v>
      </c>
      <c r="DH83" s="62">
        <v>52</v>
      </c>
      <c r="DI83" s="62">
        <v>61</v>
      </c>
      <c r="DJ83" s="62">
        <v>56</v>
      </c>
      <c r="DK83" s="62">
        <v>63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149</v>
      </c>
      <c r="DY83" s="76">
        <v>27</v>
      </c>
      <c r="DZ83" s="76">
        <v>29</v>
      </c>
      <c r="EA83" s="76">
        <v>35</v>
      </c>
      <c r="EB83" s="76">
        <v>33</v>
      </c>
      <c r="EC83" s="76">
        <v>39</v>
      </c>
      <c r="ED83" s="76">
        <v>32</v>
      </c>
      <c r="EE83" s="76">
        <v>27</v>
      </c>
      <c r="EF83" s="76">
        <v>27</v>
      </c>
      <c r="EG83" s="76">
        <v>39</v>
      </c>
      <c r="EH83" s="76">
        <v>40</v>
      </c>
      <c r="EI83" s="76">
        <v>45</v>
      </c>
      <c r="EJ83" s="76">
        <v>32</v>
      </c>
      <c r="EK83" s="76">
        <v>26</v>
      </c>
      <c r="EL83" s="76">
        <v>32</v>
      </c>
      <c r="EM83" s="76">
        <v>30</v>
      </c>
      <c r="EN83" s="76">
        <v>26</v>
      </c>
      <c r="EO83" s="76">
        <v>29</v>
      </c>
      <c r="EP83" s="76">
        <v>23</v>
      </c>
      <c r="EQ83" s="76">
        <v>31</v>
      </c>
      <c r="ER83" s="76">
        <v>28</v>
      </c>
      <c r="ES83" s="76">
        <v>28</v>
      </c>
      <c r="ET83" s="76">
        <v>36</v>
      </c>
      <c r="EU83" s="76">
        <v>31</v>
      </c>
      <c r="EV83" s="76">
        <v>42</v>
      </c>
      <c r="EW83" s="76">
        <v>32</v>
      </c>
      <c r="EX83" s="76">
        <v>36</v>
      </c>
      <c r="EY83" s="76">
        <v>28</v>
      </c>
      <c r="EZ83" s="76">
        <v>45</v>
      </c>
      <c r="FA83" s="76">
        <v>45</v>
      </c>
      <c r="FB83" s="76">
        <v>52</v>
      </c>
      <c r="FC83" s="76">
        <v>32</v>
      </c>
      <c r="FD83" s="76">
        <v>32</v>
      </c>
      <c r="FE83" s="76">
        <v>29</v>
      </c>
      <c r="FF83" s="76">
        <v>32</v>
      </c>
      <c r="FG83" s="76">
        <v>26</v>
      </c>
      <c r="FH83" s="76">
        <v>32</v>
      </c>
      <c r="FI83" s="76">
        <v>33</v>
      </c>
      <c r="FJ83" s="76">
        <v>32</v>
      </c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16</v>
      </c>
      <c r="CT84" s="62">
        <v>16</v>
      </c>
      <c r="CU84" s="62">
        <v>16</v>
      </c>
      <c r="CV84" s="62">
        <v>16</v>
      </c>
      <c r="CW84" s="62">
        <v>16</v>
      </c>
      <c r="CX84" s="62">
        <v>16</v>
      </c>
      <c r="CY84" s="62">
        <v>16</v>
      </c>
      <c r="CZ84" s="62">
        <v>16</v>
      </c>
      <c r="DA84" s="62">
        <v>16</v>
      </c>
      <c r="DB84" s="62">
        <v>16</v>
      </c>
      <c r="DC84" s="62">
        <v>16</v>
      </c>
      <c r="DD84" s="62">
        <v>16</v>
      </c>
      <c r="DE84" s="62">
        <v>16</v>
      </c>
      <c r="DF84" s="62">
        <v>16</v>
      </c>
      <c r="DG84" s="62">
        <v>16</v>
      </c>
      <c r="DH84" s="62">
        <v>16</v>
      </c>
      <c r="DI84" s="62">
        <v>16</v>
      </c>
      <c r="DJ84" s="62">
        <v>16</v>
      </c>
      <c r="DK84" s="62">
        <v>16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150</v>
      </c>
      <c r="DY84" s="76">
        <v>8</v>
      </c>
      <c r="DZ84" s="76">
        <v>8</v>
      </c>
      <c r="EA84" s="76">
        <v>8</v>
      </c>
      <c r="EB84" s="76">
        <v>8</v>
      </c>
      <c r="EC84" s="76">
        <v>8</v>
      </c>
      <c r="ED84" s="76">
        <v>8</v>
      </c>
      <c r="EE84" s="76">
        <v>8</v>
      </c>
      <c r="EF84" s="76">
        <v>8</v>
      </c>
      <c r="EG84" s="76">
        <v>8</v>
      </c>
      <c r="EH84" s="76">
        <v>8</v>
      </c>
      <c r="EI84" s="76">
        <v>8</v>
      </c>
      <c r="EJ84" s="76">
        <v>8</v>
      </c>
      <c r="EK84" s="76">
        <v>8</v>
      </c>
      <c r="EL84" s="76">
        <v>8</v>
      </c>
      <c r="EM84" s="76">
        <v>8</v>
      </c>
      <c r="EN84" s="76">
        <v>8</v>
      </c>
      <c r="EO84" s="76">
        <v>8</v>
      </c>
      <c r="EP84" s="76">
        <v>8</v>
      </c>
      <c r="EQ84" s="76">
        <v>8</v>
      </c>
      <c r="ER84" s="76">
        <v>8</v>
      </c>
      <c r="ES84" s="76">
        <v>8</v>
      </c>
      <c r="ET84" s="76">
        <v>8</v>
      </c>
      <c r="EU84" s="76">
        <v>8</v>
      </c>
      <c r="EV84" s="76">
        <v>8</v>
      </c>
      <c r="EW84" s="76">
        <v>8</v>
      </c>
      <c r="EX84" s="76">
        <v>8</v>
      </c>
      <c r="EY84" s="76">
        <v>8</v>
      </c>
      <c r="EZ84" s="76">
        <v>8</v>
      </c>
      <c r="FA84" s="76">
        <v>8</v>
      </c>
      <c r="FB84" s="76">
        <v>8</v>
      </c>
      <c r="FC84" s="76">
        <v>8</v>
      </c>
      <c r="FD84" s="76">
        <v>8</v>
      </c>
      <c r="FE84" s="76">
        <v>8</v>
      </c>
      <c r="FF84" s="76">
        <v>8</v>
      </c>
      <c r="FG84" s="76">
        <v>8</v>
      </c>
      <c r="FH84" s="76">
        <v>8</v>
      </c>
      <c r="FI84" s="76">
        <v>8</v>
      </c>
      <c r="FJ84" s="76">
        <v>8</v>
      </c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3.4375</v>
      </c>
      <c r="CT85" s="62">
        <v>3.5625</v>
      </c>
      <c r="CU85" s="62">
        <v>4.4375</v>
      </c>
      <c r="CV85" s="62">
        <v>4</v>
      </c>
      <c r="CW85" s="62">
        <v>5.0625</v>
      </c>
      <c r="CX85" s="62">
        <v>4</v>
      </c>
      <c r="CY85" s="62">
        <v>3.9375</v>
      </c>
      <c r="CZ85" s="62">
        <v>3.4375</v>
      </c>
      <c r="DA85" s="62">
        <v>5.25</v>
      </c>
      <c r="DB85" s="62">
        <v>5.3125</v>
      </c>
      <c r="DC85" s="62">
        <v>6.0625</v>
      </c>
      <c r="DD85" s="62">
        <v>4</v>
      </c>
      <c r="DE85" s="62">
        <v>3.625</v>
      </c>
      <c r="DF85" s="62">
        <v>3.8125</v>
      </c>
      <c r="DG85" s="62">
        <v>3.875</v>
      </c>
      <c r="DH85" s="62">
        <v>3.25</v>
      </c>
      <c r="DI85" s="62">
        <v>3.8125</v>
      </c>
      <c r="DJ85" s="62">
        <v>3.5</v>
      </c>
      <c r="DK85" s="62">
        <v>3.9375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151</v>
      </c>
      <c r="DY85" s="76">
        <v>3.375</v>
      </c>
      <c r="DZ85" s="76">
        <v>3.625</v>
      </c>
      <c r="EA85" s="76">
        <v>4.375</v>
      </c>
      <c r="EB85" s="76">
        <v>4.125</v>
      </c>
      <c r="EC85" s="76">
        <v>4.875</v>
      </c>
      <c r="ED85" s="76">
        <v>4</v>
      </c>
      <c r="EE85" s="76">
        <v>3.375</v>
      </c>
      <c r="EF85" s="76">
        <v>3.375</v>
      </c>
      <c r="EG85" s="76">
        <v>4.875</v>
      </c>
      <c r="EH85" s="76">
        <v>5</v>
      </c>
      <c r="EI85" s="76">
        <v>5.625</v>
      </c>
      <c r="EJ85" s="76">
        <v>4</v>
      </c>
      <c r="EK85" s="76">
        <v>3.25</v>
      </c>
      <c r="EL85" s="76">
        <v>4</v>
      </c>
      <c r="EM85" s="76">
        <v>3.75</v>
      </c>
      <c r="EN85" s="76">
        <v>3.25</v>
      </c>
      <c r="EO85" s="76">
        <v>3.625</v>
      </c>
      <c r="EP85" s="76">
        <v>2.875</v>
      </c>
      <c r="EQ85" s="76">
        <v>3.875</v>
      </c>
      <c r="ER85" s="76">
        <v>3.5</v>
      </c>
      <c r="ES85" s="76">
        <v>3.5</v>
      </c>
      <c r="ET85" s="76">
        <v>4.5</v>
      </c>
      <c r="EU85" s="76">
        <v>3.875</v>
      </c>
      <c r="EV85" s="76">
        <v>5.25</v>
      </c>
      <c r="EW85" s="76">
        <v>4</v>
      </c>
      <c r="EX85" s="76">
        <v>4.5</v>
      </c>
      <c r="EY85" s="76">
        <v>3.5</v>
      </c>
      <c r="EZ85" s="76">
        <v>5.625</v>
      </c>
      <c r="FA85" s="76">
        <v>5.625</v>
      </c>
      <c r="FB85" s="76">
        <v>6.5</v>
      </c>
      <c r="FC85" s="76">
        <v>4</v>
      </c>
      <c r="FD85" s="76">
        <v>4</v>
      </c>
      <c r="FE85" s="76">
        <v>3.625</v>
      </c>
      <c r="FF85" s="76">
        <v>4</v>
      </c>
      <c r="FG85" s="76">
        <v>3.25</v>
      </c>
      <c r="FH85" s="76">
        <v>4</v>
      </c>
      <c r="FI85" s="76">
        <v>4.125</v>
      </c>
      <c r="FJ85" s="76">
        <v>4</v>
      </c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55</v>
      </c>
      <c r="CT86" s="62">
        <v>57</v>
      </c>
      <c r="CU86" s="62">
        <v>71</v>
      </c>
      <c r="CV86" s="62">
        <v>64</v>
      </c>
      <c r="CW86" s="62">
        <v>81</v>
      </c>
      <c r="CX86" s="62">
        <v>64</v>
      </c>
      <c r="CY86" s="62">
        <v>63</v>
      </c>
      <c r="CZ86" s="62">
        <v>55</v>
      </c>
      <c r="DA86" s="62">
        <v>84</v>
      </c>
      <c r="DB86" s="62">
        <v>85</v>
      </c>
      <c r="DC86" s="62">
        <v>97</v>
      </c>
      <c r="DD86" s="62">
        <v>64</v>
      </c>
      <c r="DE86" s="62">
        <v>58</v>
      </c>
      <c r="DF86" s="62">
        <v>61</v>
      </c>
      <c r="DG86" s="62">
        <v>62</v>
      </c>
      <c r="DH86" s="62">
        <v>52</v>
      </c>
      <c r="DI86" s="62">
        <v>61</v>
      </c>
      <c r="DJ86" s="62">
        <v>56</v>
      </c>
      <c r="DK86" s="62">
        <v>63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152</v>
      </c>
      <c r="DY86" s="76">
        <v>27</v>
      </c>
      <c r="DZ86" s="76">
        <v>29</v>
      </c>
      <c r="EA86" s="76">
        <v>35</v>
      </c>
      <c r="EB86" s="76">
        <v>33</v>
      </c>
      <c r="EC86" s="76">
        <v>39</v>
      </c>
      <c r="ED86" s="76">
        <v>32</v>
      </c>
      <c r="EE86" s="76">
        <v>27</v>
      </c>
      <c r="EF86" s="76">
        <v>27</v>
      </c>
      <c r="EG86" s="76">
        <v>39</v>
      </c>
      <c r="EH86" s="76">
        <v>40</v>
      </c>
      <c r="EI86" s="76">
        <v>45</v>
      </c>
      <c r="EJ86" s="76">
        <v>32</v>
      </c>
      <c r="EK86" s="76">
        <v>26</v>
      </c>
      <c r="EL86" s="76">
        <v>32</v>
      </c>
      <c r="EM86" s="76">
        <v>30</v>
      </c>
      <c r="EN86" s="76">
        <v>26</v>
      </c>
      <c r="EO86" s="76">
        <v>29</v>
      </c>
      <c r="EP86" s="76">
        <v>23</v>
      </c>
      <c r="EQ86" s="76">
        <v>31</v>
      </c>
      <c r="ER86" s="76">
        <v>28</v>
      </c>
      <c r="ES86" s="76">
        <v>28</v>
      </c>
      <c r="ET86" s="76">
        <v>36</v>
      </c>
      <c r="EU86" s="76">
        <v>31</v>
      </c>
      <c r="EV86" s="76">
        <v>42</v>
      </c>
      <c r="EW86" s="76">
        <v>32</v>
      </c>
      <c r="EX86" s="76">
        <v>36</v>
      </c>
      <c r="EY86" s="76">
        <v>28</v>
      </c>
      <c r="EZ86" s="76">
        <v>45</v>
      </c>
      <c r="FA86" s="76">
        <v>45</v>
      </c>
      <c r="FB86" s="76">
        <v>52</v>
      </c>
      <c r="FC86" s="76">
        <v>32</v>
      </c>
      <c r="FD86" s="76">
        <v>32</v>
      </c>
      <c r="FE86" s="76">
        <v>29</v>
      </c>
      <c r="FF86" s="76">
        <v>32</v>
      </c>
      <c r="FG86" s="76">
        <v>26</v>
      </c>
      <c r="FH86" s="76">
        <v>32</v>
      </c>
      <c r="FI86" s="76">
        <v>33</v>
      </c>
      <c r="FJ86" s="76">
        <v>32</v>
      </c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16</v>
      </c>
      <c r="CT87" s="62">
        <v>16</v>
      </c>
      <c r="CU87" s="62">
        <v>16</v>
      </c>
      <c r="CV87" s="62">
        <v>16</v>
      </c>
      <c r="CW87" s="62">
        <v>16</v>
      </c>
      <c r="CX87" s="62">
        <v>16</v>
      </c>
      <c r="CY87" s="62">
        <v>16</v>
      </c>
      <c r="CZ87" s="62">
        <v>16</v>
      </c>
      <c r="DA87" s="62">
        <v>16</v>
      </c>
      <c r="DB87" s="62">
        <v>16</v>
      </c>
      <c r="DC87" s="62">
        <v>16</v>
      </c>
      <c r="DD87" s="62">
        <v>16</v>
      </c>
      <c r="DE87" s="62">
        <v>16</v>
      </c>
      <c r="DF87" s="62">
        <v>16</v>
      </c>
      <c r="DG87" s="62">
        <v>16</v>
      </c>
      <c r="DH87" s="62">
        <v>16</v>
      </c>
      <c r="DI87" s="62">
        <v>16</v>
      </c>
      <c r="DJ87" s="62">
        <v>16</v>
      </c>
      <c r="DK87" s="62">
        <v>16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153</v>
      </c>
      <c r="DY87" s="76">
        <v>8</v>
      </c>
      <c r="DZ87" s="76">
        <v>8</v>
      </c>
      <c r="EA87" s="76">
        <v>8</v>
      </c>
      <c r="EB87" s="76">
        <v>8</v>
      </c>
      <c r="EC87" s="76">
        <v>8</v>
      </c>
      <c r="ED87" s="76">
        <v>8</v>
      </c>
      <c r="EE87" s="76">
        <v>8</v>
      </c>
      <c r="EF87" s="76">
        <v>8</v>
      </c>
      <c r="EG87" s="76">
        <v>8</v>
      </c>
      <c r="EH87" s="76">
        <v>8</v>
      </c>
      <c r="EI87" s="76">
        <v>8</v>
      </c>
      <c r="EJ87" s="76">
        <v>8</v>
      </c>
      <c r="EK87" s="76">
        <v>8</v>
      </c>
      <c r="EL87" s="76">
        <v>8</v>
      </c>
      <c r="EM87" s="76">
        <v>8</v>
      </c>
      <c r="EN87" s="76">
        <v>8</v>
      </c>
      <c r="EO87" s="76">
        <v>8</v>
      </c>
      <c r="EP87" s="76">
        <v>8</v>
      </c>
      <c r="EQ87" s="76">
        <v>8</v>
      </c>
      <c r="ER87" s="76">
        <v>8</v>
      </c>
      <c r="ES87" s="76">
        <v>8</v>
      </c>
      <c r="ET87" s="76">
        <v>8</v>
      </c>
      <c r="EU87" s="76">
        <v>8</v>
      </c>
      <c r="EV87" s="76">
        <v>8</v>
      </c>
      <c r="EW87" s="76">
        <v>8</v>
      </c>
      <c r="EX87" s="76">
        <v>8</v>
      </c>
      <c r="EY87" s="76">
        <v>8</v>
      </c>
      <c r="EZ87" s="76">
        <v>8</v>
      </c>
      <c r="FA87" s="76">
        <v>8</v>
      </c>
      <c r="FB87" s="76">
        <v>8</v>
      </c>
      <c r="FC87" s="76">
        <v>8</v>
      </c>
      <c r="FD87" s="76">
        <v>8</v>
      </c>
      <c r="FE87" s="76">
        <v>8</v>
      </c>
      <c r="FF87" s="76">
        <v>8</v>
      </c>
      <c r="FG87" s="76">
        <v>8</v>
      </c>
      <c r="FH87" s="76">
        <v>8</v>
      </c>
      <c r="FI87" s="76">
        <v>8</v>
      </c>
      <c r="FJ87" s="76">
        <v>8</v>
      </c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3.4375</v>
      </c>
      <c r="CT88" s="62">
        <v>3.5625</v>
      </c>
      <c r="CU88" s="62">
        <v>4.4375</v>
      </c>
      <c r="CV88" s="62">
        <v>4</v>
      </c>
      <c r="CW88" s="62">
        <v>5.0625</v>
      </c>
      <c r="CX88" s="62">
        <v>4</v>
      </c>
      <c r="CY88" s="62">
        <v>3.9375</v>
      </c>
      <c r="CZ88" s="62">
        <v>3.4375</v>
      </c>
      <c r="DA88" s="62">
        <v>5.25</v>
      </c>
      <c r="DB88" s="62">
        <v>5.3125</v>
      </c>
      <c r="DC88" s="62">
        <v>6.0625</v>
      </c>
      <c r="DD88" s="62">
        <v>4</v>
      </c>
      <c r="DE88" s="62">
        <v>3.625</v>
      </c>
      <c r="DF88" s="62">
        <v>3.8125</v>
      </c>
      <c r="DG88" s="62">
        <v>3.875</v>
      </c>
      <c r="DH88" s="62">
        <v>3.25</v>
      </c>
      <c r="DI88" s="62">
        <v>3.8125</v>
      </c>
      <c r="DJ88" s="62">
        <v>3.5</v>
      </c>
      <c r="DK88" s="62">
        <v>3.9375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154</v>
      </c>
      <c r="DY88" s="76">
        <v>3.375</v>
      </c>
      <c r="DZ88" s="76">
        <v>3.625</v>
      </c>
      <c r="EA88" s="76">
        <v>4.375</v>
      </c>
      <c r="EB88" s="76">
        <v>4.125</v>
      </c>
      <c r="EC88" s="76">
        <v>4.875</v>
      </c>
      <c r="ED88" s="76">
        <v>4</v>
      </c>
      <c r="EE88" s="76">
        <v>3.375</v>
      </c>
      <c r="EF88" s="76">
        <v>3.375</v>
      </c>
      <c r="EG88" s="76">
        <v>4.875</v>
      </c>
      <c r="EH88" s="76">
        <v>5</v>
      </c>
      <c r="EI88" s="76">
        <v>5.625</v>
      </c>
      <c r="EJ88" s="76">
        <v>4</v>
      </c>
      <c r="EK88" s="76">
        <v>3.25</v>
      </c>
      <c r="EL88" s="76">
        <v>4</v>
      </c>
      <c r="EM88" s="76">
        <v>3.75</v>
      </c>
      <c r="EN88" s="76">
        <v>3.25</v>
      </c>
      <c r="EO88" s="76">
        <v>3.625</v>
      </c>
      <c r="EP88" s="76">
        <v>2.875</v>
      </c>
      <c r="EQ88" s="76">
        <v>3.875</v>
      </c>
      <c r="ER88" s="76">
        <v>3.5</v>
      </c>
      <c r="ES88" s="76">
        <v>3.5</v>
      </c>
      <c r="ET88" s="76">
        <v>4.5</v>
      </c>
      <c r="EU88" s="76">
        <v>3.875</v>
      </c>
      <c r="EV88" s="76">
        <v>5.25</v>
      </c>
      <c r="EW88" s="76">
        <v>4</v>
      </c>
      <c r="EX88" s="76">
        <v>4.5</v>
      </c>
      <c r="EY88" s="76">
        <v>3.5</v>
      </c>
      <c r="EZ88" s="76">
        <v>5.625</v>
      </c>
      <c r="FA88" s="76">
        <v>5.625</v>
      </c>
      <c r="FB88" s="76">
        <v>6.5</v>
      </c>
      <c r="FC88" s="76">
        <v>4</v>
      </c>
      <c r="FD88" s="76">
        <v>4</v>
      </c>
      <c r="FE88" s="76">
        <v>3.625</v>
      </c>
      <c r="FF88" s="76">
        <v>4</v>
      </c>
      <c r="FG88" s="76">
        <v>3.25</v>
      </c>
      <c r="FH88" s="76">
        <v>4</v>
      </c>
      <c r="FI88" s="76">
        <v>4.125</v>
      </c>
      <c r="FJ88" s="76">
        <v>4</v>
      </c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11"/>
      <c r="C89" s="511"/>
      <c r="D89" s="511"/>
      <c r="E89" s="511"/>
      <c r="F89" s="511"/>
      <c r="G89" s="511"/>
      <c r="H89" s="285"/>
      <c r="I89" s="285"/>
      <c r="J89" s="510" t="s">
        <v>469</v>
      </c>
      <c r="K89" s="510" t="s">
        <v>469</v>
      </c>
      <c r="L89" s="510" t="s">
        <v>469</v>
      </c>
      <c r="M89" s="510" t="s">
        <v>469</v>
      </c>
      <c r="N89" s="510" t="s">
        <v>469</v>
      </c>
      <c r="O89" s="338"/>
      <c r="P89" s="338"/>
      <c r="Q89" s="338"/>
      <c r="R89" s="351"/>
      <c r="S89" s="337"/>
      <c r="T89" s="284"/>
      <c r="U89" s="337"/>
      <c r="V89" s="284"/>
      <c r="W89" s="337"/>
      <c r="X89" s="284"/>
      <c r="Y89" s="285"/>
      <c r="Z89" s="285"/>
      <c r="AA89" s="285"/>
      <c r="AB89" s="285"/>
      <c r="AC89" s="285"/>
      <c r="AD89" s="285"/>
      <c r="AE89" s="285"/>
      <c r="AF89" s="285"/>
      <c r="AG89" s="348"/>
      <c r="AH89" s="349"/>
      <c r="AI89" s="349"/>
      <c r="AJ89" s="349"/>
      <c r="AK89" s="350"/>
      <c r="AL89" s="284"/>
      <c r="AM89" s="284"/>
      <c r="AN89" s="322"/>
      <c r="AO89" s="322"/>
      <c r="AP89" s="510" t="s">
        <v>594</v>
      </c>
      <c r="AQ89" s="63" t="s">
        <v>426</v>
      </c>
      <c r="AR89" s="63" t="s">
        <v>426</v>
      </c>
      <c r="AS89" s="63" t="s">
        <v>426</v>
      </c>
      <c r="AT89" s="63" t="s">
        <v>426</v>
      </c>
      <c r="AU89" s="63" t="s">
        <v>426</v>
      </c>
      <c r="AV89" s="63" t="s">
        <v>426</v>
      </c>
      <c r="AW89" s="63" t="s">
        <v>426</v>
      </c>
      <c r="AX89" s="63" t="s">
        <v>426</v>
      </c>
      <c r="AY89" s="63" t="s">
        <v>426</v>
      </c>
      <c r="AZ89" s="63" t="s">
        <v>426</v>
      </c>
      <c r="BA89" s="63" t="s">
        <v>426</v>
      </c>
      <c r="BB89" s="63" t="s">
        <v>426</v>
      </c>
      <c r="BC89" s="63" t="s">
        <v>426</v>
      </c>
      <c r="BD89" s="63" t="s">
        <v>426</v>
      </c>
      <c r="BE89" s="63" t="s">
        <v>426</v>
      </c>
      <c r="BF89" s="63" t="s">
        <v>426</v>
      </c>
      <c r="BG89" s="63" t="s">
        <v>426</v>
      </c>
      <c r="BH89" s="63" t="s">
        <v>426</v>
      </c>
      <c r="BI89" s="63" t="s">
        <v>426</v>
      </c>
      <c r="BJ89" s="63" t="s">
        <v>426</v>
      </c>
      <c r="BK89" s="63" t="s">
        <v>426</v>
      </c>
      <c r="BL89" s="63" t="s">
        <v>426</v>
      </c>
      <c r="BM89" s="63" t="s">
        <v>426</v>
      </c>
      <c r="BN89" s="63" t="s">
        <v>426</v>
      </c>
      <c r="BO89" s="63" t="s">
        <v>426</v>
      </c>
      <c r="BP89" s="63" t="s">
        <v>426</v>
      </c>
      <c r="BQ89" s="63" t="s">
        <v>426</v>
      </c>
      <c r="BR89" s="63" t="s">
        <v>230</v>
      </c>
      <c r="BS89" s="63" t="s">
        <v>230</v>
      </c>
      <c r="BT89" s="63" t="s">
        <v>230</v>
      </c>
      <c r="BU89" s="63" t="s">
        <v>230</v>
      </c>
      <c r="BV89" s="63" t="s">
        <v>230</v>
      </c>
      <c r="BW89" s="63" t="s">
        <v>230</v>
      </c>
      <c r="BX89" s="63" t="s">
        <v>230</v>
      </c>
      <c r="BY89" s="63" t="s">
        <v>230</v>
      </c>
      <c r="BZ89" s="63" t="s">
        <v>230</v>
      </c>
      <c r="CA89" s="63" t="s">
        <v>230</v>
      </c>
      <c r="CB89" s="63" t="s">
        <v>230</v>
      </c>
      <c r="CC89" s="63" t="s">
        <v>230</v>
      </c>
      <c r="CD89" s="63" t="s">
        <v>230</v>
      </c>
      <c r="CE89" s="63" t="s">
        <v>230</v>
      </c>
      <c r="CF89" s="63" t="s">
        <v>230</v>
      </c>
      <c r="CG89" s="63" t="s">
        <v>230</v>
      </c>
      <c r="CH89" s="63" t="s">
        <v>230</v>
      </c>
      <c r="CI89" s="63" t="s">
        <v>230</v>
      </c>
      <c r="CJ89" s="63" t="s">
        <v>230</v>
      </c>
      <c r="CK89" s="63" t="s">
        <v>230</v>
      </c>
      <c r="CL89" s="63" t="s">
        <v>230</v>
      </c>
      <c r="CM89" s="63" t="s">
        <v>230</v>
      </c>
      <c r="CN89" s="63" t="s">
        <v>230</v>
      </c>
      <c r="CO89" s="63" t="s">
        <v>230</v>
      </c>
      <c r="CP89" s="63" t="s">
        <v>230</v>
      </c>
      <c r="CQ89" s="63" t="s">
        <v>230</v>
      </c>
      <c r="CR89" s="63" t="s">
        <v>230</v>
      </c>
      <c r="CS89" s="63" t="s">
        <v>62</v>
      </c>
      <c r="CT89" s="63" t="s">
        <v>62</v>
      </c>
      <c r="CU89" s="63" t="s">
        <v>62</v>
      </c>
      <c r="CV89" s="63" t="s">
        <v>62</v>
      </c>
      <c r="CW89" s="63" t="s">
        <v>62</v>
      </c>
      <c r="CX89" s="63" t="s">
        <v>62</v>
      </c>
      <c r="CY89" s="63" t="s">
        <v>62</v>
      </c>
      <c r="CZ89" s="63" t="s">
        <v>62</v>
      </c>
      <c r="DA89" s="63" t="s">
        <v>62</v>
      </c>
      <c r="DB89" s="63" t="s">
        <v>62</v>
      </c>
      <c r="DC89" s="63" t="s">
        <v>62</v>
      </c>
      <c r="DD89" s="63" t="s">
        <v>62</v>
      </c>
      <c r="DE89" s="63" t="s">
        <v>62</v>
      </c>
      <c r="DF89" s="63" t="s">
        <v>62</v>
      </c>
      <c r="DG89" s="63" t="s">
        <v>62</v>
      </c>
      <c r="DH89" s="63" t="s">
        <v>62</v>
      </c>
      <c r="DI89" s="63" t="s">
        <v>62</v>
      </c>
      <c r="DJ89" s="63" t="s">
        <v>62</v>
      </c>
      <c r="DK89" s="63" t="s">
        <v>62</v>
      </c>
      <c r="DL89" s="63" t="s">
        <v>62</v>
      </c>
      <c r="DM89" s="63" t="s">
        <v>62</v>
      </c>
      <c r="DN89" s="63" t="s">
        <v>62</v>
      </c>
      <c r="DO89" s="63" t="s">
        <v>62</v>
      </c>
      <c r="DP89" s="63" t="s">
        <v>62</v>
      </c>
      <c r="DQ89" s="63" t="s">
        <v>62</v>
      </c>
      <c r="DR89" s="63" t="s">
        <v>62</v>
      </c>
      <c r="DS89" s="63" t="s">
        <v>62</v>
      </c>
      <c r="DT89" s="279" t="s">
        <v>48</v>
      </c>
      <c r="DU89" s="352" t="s">
        <v>487</v>
      </c>
      <c r="DV89" s="352" t="s">
        <v>427</v>
      </c>
      <c r="DW89" s="279" t="s">
        <v>55</v>
      </c>
      <c r="DX89" s="353" t="s">
        <v>489</v>
      </c>
      <c r="DY89" s="77" t="s">
        <v>29</v>
      </c>
      <c r="DZ89" s="77" t="s">
        <v>29</v>
      </c>
      <c r="EA89" s="77" t="s">
        <v>29</v>
      </c>
      <c r="EB89" s="77" t="s">
        <v>29</v>
      </c>
      <c r="EC89" s="77" t="s">
        <v>29</v>
      </c>
      <c r="ED89" s="77" t="s">
        <v>29</v>
      </c>
      <c r="EE89" s="77" t="s">
        <v>29</v>
      </c>
      <c r="EF89" s="77" t="s">
        <v>29</v>
      </c>
      <c r="EG89" s="77" t="s">
        <v>29</v>
      </c>
      <c r="EH89" s="77" t="s">
        <v>29</v>
      </c>
      <c r="EI89" s="77" t="s">
        <v>29</v>
      </c>
      <c r="EJ89" s="77" t="s">
        <v>29</v>
      </c>
      <c r="EK89" s="77" t="s">
        <v>29</v>
      </c>
      <c r="EL89" s="77" t="s">
        <v>29</v>
      </c>
      <c r="EM89" s="77" t="s">
        <v>29</v>
      </c>
      <c r="EN89" s="77" t="s">
        <v>29</v>
      </c>
      <c r="EO89" s="77" t="s">
        <v>29</v>
      </c>
      <c r="EP89" s="77" t="s">
        <v>29</v>
      </c>
      <c r="EQ89" s="77" t="s">
        <v>29</v>
      </c>
      <c r="ER89" s="77" t="s">
        <v>30</v>
      </c>
      <c r="ES89" s="77" t="s">
        <v>30</v>
      </c>
      <c r="ET89" s="77" t="s">
        <v>30</v>
      </c>
      <c r="EU89" s="77" t="s">
        <v>30</v>
      </c>
      <c r="EV89" s="77" t="s">
        <v>30</v>
      </c>
      <c r="EW89" s="77" t="s">
        <v>30</v>
      </c>
      <c r="EX89" s="77" t="s">
        <v>30</v>
      </c>
      <c r="EY89" s="77" t="s">
        <v>30</v>
      </c>
      <c r="EZ89" s="77" t="s">
        <v>30</v>
      </c>
      <c r="FA89" s="77" t="s">
        <v>30</v>
      </c>
      <c r="FB89" s="77" t="s">
        <v>30</v>
      </c>
      <c r="FC89" s="77" t="s">
        <v>30</v>
      </c>
      <c r="FD89" s="77" t="s">
        <v>30</v>
      </c>
      <c r="FE89" s="77" t="s">
        <v>30</v>
      </c>
      <c r="FF89" s="77" t="s">
        <v>30</v>
      </c>
      <c r="FG89" s="77" t="s">
        <v>30</v>
      </c>
      <c r="FH89" s="77" t="s">
        <v>30</v>
      </c>
      <c r="FI89" s="77" t="s">
        <v>30</v>
      </c>
      <c r="FJ89" s="77" t="s">
        <v>30</v>
      </c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11"/>
      <c r="C90" s="511"/>
      <c r="D90" s="511"/>
      <c r="E90" s="511"/>
      <c r="F90" s="511"/>
      <c r="G90" s="511"/>
      <c r="H90" s="285"/>
      <c r="I90" s="285"/>
      <c r="J90" s="510"/>
      <c r="K90" s="510"/>
      <c r="L90" s="510"/>
      <c r="M90" s="510"/>
      <c r="N90" s="510"/>
      <c r="O90" s="338"/>
      <c r="P90" s="338"/>
      <c r="Q90" s="338"/>
      <c r="R90" s="351"/>
      <c r="S90" s="337"/>
      <c r="T90" s="284"/>
      <c r="U90" s="337"/>
      <c r="V90" s="284"/>
      <c r="W90" s="337"/>
      <c r="X90" s="284"/>
      <c r="Y90" s="285"/>
      <c r="Z90" s="285"/>
      <c r="AA90" s="285"/>
      <c r="AB90" s="285"/>
      <c r="AC90" s="285"/>
      <c r="AD90" s="285"/>
      <c r="AE90" s="285"/>
      <c r="AF90" s="285"/>
      <c r="AG90" s="348"/>
      <c r="AH90" s="349"/>
      <c r="AI90" s="349"/>
      <c r="AJ90" s="349"/>
      <c r="AK90" s="350"/>
      <c r="AL90" s="284"/>
      <c r="AM90" s="284"/>
      <c r="AN90" s="322"/>
      <c r="AO90" s="322"/>
      <c r="AP90" s="510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 t="s">
        <v>695</v>
      </c>
      <c r="BC90" s="62">
        <v>12</v>
      </c>
      <c r="BD90" s="62">
        <v>13</v>
      </c>
      <c r="BE90" s="62">
        <v>14</v>
      </c>
      <c r="BF90" s="62">
        <v>15</v>
      </c>
      <c r="BG90" s="62">
        <v>16</v>
      </c>
      <c r="BH90" s="62">
        <v>17</v>
      </c>
      <c r="BI90" s="62">
        <v>18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 t="s">
        <v>695</v>
      </c>
      <c r="CD90" s="62">
        <v>12</v>
      </c>
      <c r="CE90" s="62">
        <v>13</v>
      </c>
      <c r="CF90" s="62">
        <v>14</v>
      </c>
      <c r="CG90" s="62">
        <v>15</v>
      </c>
      <c r="CH90" s="62">
        <v>16</v>
      </c>
      <c r="CI90" s="62">
        <v>17</v>
      </c>
      <c r="CJ90" s="62">
        <v>18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 t="s">
        <v>695</v>
      </c>
      <c r="DE90" s="62">
        <v>12</v>
      </c>
      <c r="DF90" s="62">
        <v>13</v>
      </c>
      <c r="DG90" s="62">
        <v>14</v>
      </c>
      <c r="DH90" s="62">
        <v>15</v>
      </c>
      <c r="DI90" s="62">
        <v>16</v>
      </c>
      <c r="DJ90" s="62">
        <v>17</v>
      </c>
      <c r="DK90" s="62">
        <v>18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9"/>
      <c r="DU90" s="352"/>
      <c r="DV90" s="352"/>
      <c r="DW90" s="279"/>
      <c r="DX90" s="279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 t="s">
        <v>695</v>
      </c>
      <c r="EK90" s="76">
        <v>12</v>
      </c>
      <c r="EL90" s="76">
        <v>13</v>
      </c>
      <c r="EM90" s="76">
        <v>14</v>
      </c>
      <c r="EN90" s="76">
        <v>15</v>
      </c>
      <c r="EO90" s="76">
        <v>16</v>
      </c>
      <c r="EP90" s="76">
        <v>17</v>
      </c>
      <c r="EQ90" s="76">
        <v>18</v>
      </c>
      <c r="ER90" s="76">
        <v>1</v>
      </c>
      <c r="ES90" s="76">
        <v>2</v>
      </c>
      <c r="ET90" s="76">
        <v>3</v>
      </c>
      <c r="EU90" s="76">
        <v>4</v>
      </c>
      <c r="EV90" s="76">
        <v>5</v>
      </c>
      <c r="EW90" s="76">
        <v>6</v>
      </c>
      <c r="EX90" s="76">
        <v>7</v>
      </c>
      <c r="EY90" s="76">
        <v>8</v>
      </c>
      <c r="EZ90" s="76">
        <v>9</v>
      </c>
      <c r="FA90" s="76">
        <v>10</v>
      </c>
      <c r="FB90" s="76">
        <v>11</v>
      </c>
      <c r="FC90" s="76" t="s">
        <v>695</v>
      </c>
      <c r="FD90" s="76">
        <v>12</v>
      </c>
      <c r="FE90" s="76">
        <v>13</v>
      </c>
      <c r="FF90" s="76">
        <v>14</v>
      </c>
      <c r="FG90" s="76">
        <v>15</v>
      </c>
      <c r="FH90" s="76">
        <v>16</v>
      </c>
      <c r="FI90" s="76">
        <v>17</v>
      </c>
      <c r="FJ90" s="76">
        <v>18</v>
      </c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930</v>
      </c>
      <c r="B91" s="2" t="s">
        <v>702</v>
      </c>
      <c r="C91" s="2" t="s">
        <v>930</v>
      </c>
      <c r="D91" s="2">
        <v>15</v>
      </c>
      <c r="E91" s="2">
        <v>0</v>
      </c>
      <c r="F91" s="2">
        <v>3</v>
      </c>
      <c r="G91" s="2">
        <v>1</v>
      </c>
      <c r="H91" s="2">
        <v>15</v>
      </c>
      <c r="I91" s="2">
        <v>4</v>
      </c>
      <c r="J91" s="2">
        <v>55</v>
      </c>
      <c r="K91" s="2">
        <v>57</v>
      </c>
      <c r="L91" s="2">
        <v>0</v>
      </c>
      <c r="M91" s="2">
        <v>0</v>
      </c>
      <c r="N91" s="2">
        <v>0</v>
      </c>
      <c r="O91" s="2">
        <v>112</v>
      </c>
      <c r="P91" s="2">
        <v>112</v>
      </c>
      <c r="Q91" s="2">
        <v>112</v>
      </c>
      <c r="R91" s="2">
        <v>112</v>
      </c>
      <c r="S91" s="2">
        <v>55</v>
      </c>
      <c r="T91" s="2">
        <v>-0.10526315789473673</v>
      </c>
      <c r="U91" s="2">
        <v>0</v>
      </c>
      <c r="V91" s="2" t="e">
        <v>#DIV/0!</v>
      </c>
      <c r="W91" s="2">
        <v>0</v>
      </c>
      <c r="X91" s="2" t="e">
        <v>#DIV/0!</v>
      </c>
      <c r="Y91" s="2">
        <v>9</v>
      </c>
      <c r="Z91" s="2">
        <v>2</v>
      </c>
      <c r="AA91" s="2">
        <v>6</v>
      </c>
      <c r="AB91" s="2">
        <v>2</v>
      </c>
      <c r="AG91" s="2">
        <v>2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1044.856</v>
      </c>
      <c r="AN91" s="2">
        <v>1022.56</v>
      </c>
      <c r="AO91" s="2">
        <v>22.296000000000049</v>
      </c>
      <c r="AP91" s="2">
        <v>112.00091</v>
      </c>
      <c r="AQ91" s="65">
        <v>2</v>
      </c>
      <c r="AR91" s="65">
        <v>2</v>
      </c>
      <c r="AS91" s="65">
        <v>2</v>
      </c>
      <c r="AT91" s="65">
        <v>2</v>
      </c>
      <c r="AU91" s="65">
        <v>2</v>
      </c>
      <c r="AV91" s="65">
        <v>2</v>
      </c>
      <c r="AW91" s="65">
        <v>2</v>
      </c>
      <c r="AX91" s="65">
        <v>2</v>
      </c>
      <c r="AY91" s="65">
        <v>2</v>
      </c>
      <c r="AZ91" s="65">
        <v>2</v>
      </c>
      <c r="BA91" s="65">
        <v>2</v>
      </c>
      <c r="BB91" s="65">
        <v>2</v>
      </c>
      <c r="BC91" s="65">
        <v>2</v>
      </c>
      <c r="BD91" s="65">
        <v>2</v>
      </c>
      <c r="BE91" s="65">
        <v>2</v>
      </c>
      <c r="BF91" s="65">
        <v>2</v>
      </c>
      <c r="BG91" s="65">
        <v>2</v>
      </c>
      <c r="BH91" s="65">
        <v>2</v>
      </c>
      <c r="BI91" s="65">
        <v>2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1</v>
      </c>
      <c r="BS91" s="65">
        <v>1</v>
      </c>
      <c r="BT91" s="65">
        <v>1</v>
      </c>
      <c r="BU91" s="65">
        <v>0</v>
      </c>
      <c r="BV91" s="65">
        <v>2</v>
      </c>
      <c r="BW91" s="65">
        <v>1</v>
      </c>
      <c r="BX91" s="65">
        <v>1</v>
      </c>
      <c r="BY91" s="65">
        <v>1</v>
      </c>
      <c r="BZ91" s="65">
        <v>0</v>
      </c>
      <c r="CA91" s="65">
        <v>1</v>
      </c>
      <c r="CB91" s="65">
        <v>1</v>
      </c>
      <c r="CC91" s="65">
        <v>1</v>
      </c>
      <c r="CD91" s="65">
        <v>1</v>
      </c>
      <c r="CE91" s="65">
        <v>0</v>
      </c>
      <c r="CF91" s="65">
        <v>0</v>
      </c>
      <c r="CG91" s="65">
        <v>0</v>
      </c>
      <c r="CH91" s="65">
        <v>2</v>
      </c>
      <c r="CI91" s="65">
        <v>1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5</v>
      </c>
      <c r="CT91" s="65">
        <v>6</v>
      </c>
      <c r="CU91" s="65">
        <v>5</v>
      </c>
      <c r="CV91" s="65">
        <v>6</v>
      </c>
      <c r="CW91" s="65">
        <v>6</v>
      </c>
      <c r="CX91" s="65">
        <v>5</v>
      </c>
      <c r="CY91" s="65">
        <v>6</v>
      </c>
      <c r="CZ91" s="65">
        <v>5</v>
      </c>
      <c r="DA91" s="65">
        <v>8</v>
      </c>
      <c r="DB91" s="65">
        <v>7</v>
      </c>
      <c r="DC91" s="65">
        <v>9</v>
      </c>
      <c r="DD91" s="65">
        <v>5</v>
      </c>
      <c r="DE91" s="65">
        <v>5</v>
      </c>
      <c r="DF91" s="65">
        <v>6</v>
      </c>
      <c r="DG91" s="65">
        <v>7</v>
      </c>
      <c r="DH91" s="65">
        <v>6</v>
      </c>
      <c r="DI91" s="65">
        <v>4</v>
      </c>
      <c r="DJ91" s="65">
        <v>5</v>
      </c>
      <c r="DK91" s="65">
        <v>6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0</v>
      </c>
      <c r="DU91" s="2" t="s">
        <v>488</v>
      </c>
      <c r="DV91" s="2">
        <v>1</v>
      </c>
      <c r="DW91" s="2" t="s">
        <v>1</v>
      </c>
      <c r="DX91" s="2">
        <v>1</v>
      </c>
      <c r="DY91" s="2">
        <v>3</v>
      </c>
      <c r="DZ91" s="2">
        <v>2</v>
      </c>
      <c r="EA91" s="2">
        <v>2</v>
      </c>
      <c r="EB91" s="2">
        <v>3</v>
      </c>
      <c r="EC91" s="2">
        <v>3</v>
      </c>
      <c r="ED91" s="2">
        <v>3</v>
      </c>
      <c r="EE91" s="2">
        <v>4</v>
      </c>
      <c r="EF91" s="2">
        <v>2</v>
      </c>
      <c r="EG91" s="2">
        <v>4</v>
      </c>
      <c r="EH91" s="2">
        <v>3</v>
      </c>
      <c r="EI91" s="2">
        <v>6</v>
      </c>
      <c r="EJ91" s="2">
        <v>2</v>
      </c>
      <c r="EK91" s="2">
        <v>2</v>
      </c>
      <c r="EL91" s="2">
        <v>3</v>
      </c>
      <c r="EM91" s="2">
        <v>3</v>
      </c>
      <c r="EN91" s="2">
        <v>3</v>
      </c>
      <c r="EO91" s="2">
        <v>2</v>
      </c>
      <c r="EP91" s="2">
        <v>2</v>
      </c>
      <c r="EQ91" s="2">
        <v>3</v>
      </c>
      <c r="ER91" s="2">
        <v>2</v>
      </c>
      <c r="ES91" s="2">
        <v>4</v>
      </c>
      <c r="ET91" s="2">
        <v>3</v>
      </c>
      <c r="EU91" s="2">
        <v>3</v>
      </c>
      <c r="EV91" s="2">
        <v>3</v>
      </c>
      <c r="EW91" s="2">
        <v>2</v>
      </c>
      <c r="EX91" s="2">
        <v>2</v>
      </c>
      <c r="EY91" s="2">
        <v>3</v>
      </c>
      <c r="EZ91" s="2">
        <v>4</v>
      </c>
      <c r="FA91" s="2">
        <v>4</v>
      </c>
      <c r="FB91" s="2">
        <v>3</v>
      </c>
      <c r="FC91" s="2">
        <v>3</v>
      </c>
      <c r="FD91" s="2">
        <v>3</v>
      </c>
      <c r="FE91" s="2">
        <v>3</v>
      </c>
      <c r="FF91" s="2">
        <v>4</v>
      </c>
      <c r="FG91" s="2">
        <v>3</v>
      </c>
      <c r="FH91" s="2">
        <v>2</v>
      </c>
      <c r="FI91" s="2">
        <v>3</v>
      </c>
      <c r="FJ91" s="2">
        <v>3</v>
      </c>
    </row>
    <row r="92" spans="1:200" s="2" customFormat="1" x14ac:dyDescent="0.25">
      <c r="A92" s="2" t="s">
        <v>931</v>
      </c>
      <c r="B92" s="2" t="s">
        <v>690</v>
      </c>
      <c r="C92" s="2" t="s">
        <v>931</v>
      </c>
      <c r="D92" s="2">
        <v>15</v>
      </c>
      <c r="E92" s="2">
        <v>0</v>
      </c>
      <c r="F92" s="2">
        <v>5</v>
      </c>
      <c r="G92" s="2">
        <v>1</v>
      </c>
      <c r="H92" s="2">
        <v>15</v>
      </c>
      <c r="I92" s="2">
        <v>6</v>
      </c>
      <c r="J92" s="2">
        <v>54</v>
      </c>
      <c r="K92" s="2">
        <v>60</v>
      </c>
      <c r="L92" s="2">
        <v>0</v>
      </c>
      <c r="M92" s="2">
        <v>0</v>
      </c>
      <c r="N92" s="2">
        <v>0</v>
      </c>
      <c r="O92" s="2">
        <v>114</v>
      </c>
      <c r="P92" s="2">
        <v>114</v>
      </c>
      <c r="Q92" s="2">
        <v>114</v>
      </c>
      <c r="R92" s="2">
        <v>114</v>
      </c>
      <c r="S92" s="2">
        <v>54</v>
      </c>
      <c r="T92" s="2">
        <v>-0.31578947368421062</v>
      </c>
      <c r="U92" s="2">
        <v>0</v>
      </c>
      <c r="V92" s="2" t="e">
        <v>#DIV/0!</v>
      </c>
      <c r="W92" s="2">
        <v>0</v>
      </c>
      <c r="X92" s="2" t="e">
        <v>#DIV/0!</v>
      </c>
      <c r="Y92" s="2">
        <v>9</v>
      </c>
      <c r="Z92" s="2">
        <v>2</v>
      </c>
      <c r="AA92" s="2">
        <v>6</v>
      </c>
      <c r="AB92" s="2">
        <v>4</v>
      </c>
      <c r="AG92" s="2">
        <v>1</v>
      </c>
      <c r="AH92" s="2">
        <v>2</v>
      </c>
      <c r="AI92" s="2">
        <v>2</v>
      </c>
      <c r="AJ92" s="2">
        <v>2</v>
      </c>
      <c r="AK92" s="2">
        <v>2</v>
      </c>
      <c r="AL92" s="2">
        <v>2</v>
      </c>
      <c r="AM92" s="2">
        <v>1027.671</v>
      </c>
      <c r="AN92" s="2">
        <v>1003.22</v>
      </c>
      <c r="AO92" s="2">
        <v>24.451000000000022</v>
      </c>
      <c r="AP92" s="2">
        <v>114.00091999999999</v>
      </c>
      <c r="AQ92" s="65">
        <v>2</v>
      </c>
      <c r="AR92" s="65">
        <v>2</v>
      </c>
      <c r="AS92" s="65">
        <v>2</v>
      </c>
      <c r="AT92" s="65">
        <v>2</v>
      </c>
      <c r="AU92" s="65">
        <v>2</v>
      </c>
      <c r="AV92" s="65">
        <v>2</v>
      </c>
      <c r="AW92" s="65">
        <v>2</v>
      </c>
      <c r="AX92" s="65">
        <v>2</v>
      </c>
      <c r="AY92" s="65">
        <v>2</v>
      </c>
      <c r="AZ92" s="65">
        <v>2</v>
      </c>
      <c r="BA92" s="65">
        <v>2</v>
      </c>
      <c r="BB92" s="65">
        <v>2</v>
      </c>
      <c r="BC92" s="65">
        <v>2</v>
      </c>
      <c r="BD92" s="65">
        <v>2</v>
      </c>
      <c r="BE92" s="65">
        <v>2</v>
      </c>
      <c r="BF92" s="65">
        <v>2</v>
      </c>
      <c r="BG92" s="65">
        <v>2</v>
      </c>
      <c r="BH92" s="65">
        <v>2</v>
      </c>
      <c r="BI92" s="65">
        <v>2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1</v>
      </c>
      <c r="BS92" s="65">
        <v>1</v>
      </c>
      <c r="BT92" s="65">
        <v>2</v>
      </c>
      <c r="BU92" s="65">
        <v>0</v>
      </c>
      <c r="BV92" s="65">
        <v>1</v>
      </c>
      <c r="BW92" s="65">
        <v>0</v>
      </c>
      <c r="BX92" s="65">
        <v>1</v>
      </c>
      <c r="BY92" s="65">
        <v>0</v>
      </c>
      <c r="BZ92" s="65">
        <v>2</v>
      </c>
      <c r="CA92" s="65">
        <v>0</v>
      </c>
      <c r="CB92" s="65">
        <v>1</v>
      </c>
      <c r="CC92" s="65">
        <v>0</v>
      </c>
      <c r="CD92" s="65">
        <v>1</v>
      </c>
      <c r="CE92" s="65">
        <v>0</v>
      </c>
      <c r="CF92" s="65">
        <v>2</v>
      </c>
      <c r="CG92" s="65">
        <v>1</v>
      </c>
      <c r="CH92" s="65">
        <v>0</v>
      </c>
      <c r="CI92" s="65">
        <v>2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6</v>
      </c>
      <c r="CT92" s="65">
        <v>6</v>
      </c>
      <c r="CU92" s="65">
        <v>4</v>
      </c>
      <c r="CV92" s="65">
        <v>7</v>
      </c>
      <c r="CW92" s="65">
        <v>7</v>
      </c>
      <c r="CX92" s="65">
        <v>6</v>
      </c>
      <c r="CY92" s="65">
        <v>5</v>
      </c>
      <c r="CZ92" s="65">
        <v>6</v>
      </c>
      <c r="DA92" s="65">
        <v>6</v>
      </c>
      <c r="DB92" s="65">
        <v>11</v>
      </c>
      <c r="DC92" s="65">
        <v>7</v>
      </c>
      <c r="DD92" s="65">
        <v>6</v>
      </c>
      <c r="DE92" s="65">
        <v>5</v>
      </c>
      <c r="DF92" s="65">
        <v>6</v>
      </c>
      <c r="DG92" s="65">
        <v>4</v>
      </c>
      <c r="DH92" s="65">
        <v>5</v>
      </c>
      <c r="DI92" s="65">
        <v>7</v>
      </c>
      <c r="DJ92" s="65">
        <v>4</v>
      </c>
      <c r="DK92" s="65">
        <v>6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696</v>
      </c>
      <c r="DU92" s="2" t="s">
        <v>488</v>
      </c>
      <c r="DV92" s="2">
        <v>2</v>
      </c>
      <c r="DW92" s="2" t="s">
        <v>1</v>
      </c>
      <c r="DX92" s="2">
        <v>2</v>
      </c>
      <c r="DY92" s="2">
        <v>2</v>
      </c>
      <c r="DZ92" s="2">
        <v>2</v>
      </c>
      <c r="EA92" s="2">
        <v>2</v>
      </c>
      <c r="EB92" s="2">
        <v>4</v>
      </c>
      <c r="EC92" s="2">
        <v>3</v>
      </c>
      <c r="ED92" s="2">
        <v>3</v>
      </c>
      <c r="EE92" s="2">
        <v>2</v>
      </c>
      <c r="EF92" s="2">
        <v>3</v>
      </c>
      <c r="EG92" s="2">
        <v>3</v>
      </c>
      <c r="EH92" s="2">
        <v>5</v>
      </c>
      <c r="EI92" s="2">
        <v>4</v>
      </c>
      <c r="EJ92" s="2">
        <v>3</v>
      </c>
      <c r="EK92" s="2">
        <v>3</v>
      </c>
      <c r="EL92" s="2">
        <v>3</v>
      </c>
      <c r="EM92" s="2">
        <v>2</v>
      </c>
      <c r="EN92" s="2">
        <v>2</v>
      </c>
      <c r="EO92" s="2">
        <v>3</v>
      </c>
      <c r="EP92" s="2">
        <v>2</v>
      </c>
      <c r="EQ92" s="2">
        <v>3</v>
      </c>
      <c r="ER92" s="2">
        <v>4</v>
      </c>
      <c r="ES92" s="2">
        <v>4</v>
      </c>
      <c r="ET92" s="2">
        <v>2</v>
      </c>
      <c r="EU92" s="2">
        <v>3</v>
      </c>
      <c r="EV92" s="2">
        <v>4</v>
      </c>
      <c r="EW92" s="2">
        <v>3</v>
      </c>
      <c r="EX92" s="2">
        <v>3</v>
      </c>
      <c r="EY92" s="2">
        <v>3</v>
      </c>
      <c r="EZ92" s="2">
        <v>3</v>
      </c>
      <c r="FA92" s="2">
        <v>6</v>
      </c>
      <c r="FB92" s="2">
        <v>3</v>
      </c>
      <c r="FC92" s="2">
        <v>3</v>
      </c>
      <c r="FD92" s="2">
        <v>2</v>
      </c>
      <c r="FE92" s="2">
        <v>3</v>
      </c>
      <c r="FF92" s="2">
        <v>2</v>
      </c>
      <c r="FG92" s="2">
        <v>3</v>
      </c>
      <c r="FH92" s="2">
        <v>4</v>
      </c>
      <c r="FI92" s="2">
        <v>2</v>
      </c>
      <c r="FJ92" s="2">
        <v>3</v>
      </c>
    </row>
    <row r="93" spans="1:200" s="2" customFormat="1" x14ac:dyDescent="0.25">
      <c r="A93" s="2" t="s">
        <v>932</v>
      </c>
      <c r="B93" s="2" t="s">
        <v>464</v>
      </c>
      <c r="C93" s="2" t="s">
        <v>932</v>
      </c>
      <c r="D93" s="2">
        <v>8</v>
      </c>
      <c r="E93" s="2">
        <v>0</v>
      </c>
      <c r="F93" s="2">
        <v>3</v>
      </c>
      <c r="G93" s="2">
        <v>1</v>
      </c>
      <c r="H93" s="2">
        <v>8</v>
      </c>
      <c r="I93" s="2">
        <v>4</v>
      </c>
      <c r="J93" s="2">
        <v>60</v>
      </c>
      <c r="K93" s="2">
        <v>59</v>
      </c>
      <c r="L93" s="2">
        <v>0</v>
      </c>
      <c r="M93" s="2">
        <v>0</v>
      </c>
      <c r="N93" s="2">
        <v>0</v>
      </c>
      <c r="O93" s="2">
        <v>119</v>
      </c>
      <c r="P93" s="2">
        <v>119</v>
      </c>
      <c r="Q93" s="2">
        <v>119</v>
      </c>
      <c r="R93" s="2">
        <v>119</v>
      </c>
      <c r="S93" s="2">
        <v>60</v>
      </c>
      <c r="T93" s="2">
        <v>5.2631578947368585E-2</v>
      </c>
      <c r="U93" s="2">
        <v>0</v>
      </c>
      <c r="V93" s="2" t="e">
        <v>#DIV/0!</v>
      </c>
      <c r="W93" s="2">
        <v>0</v>
      </c>
      <c r="X93" s="2" t="e">
        <v>#DIV/0!</v>
      </c>
      <c r="Y93" s="2">
        <v>4</v>
      </c>
      <c r="Z93" s="2">
        <v>2</v>
      </c>
      <c r="AA93" s="2">
        <v>4</v>
      </c>
      <c r="AB93" s="2">
        <v>2</v>
      </c>
      <c r="AG93" s="2">
        <v>9</v>
      </c>
      <c r="AH93" s="2">
        <v>3</v>
      </c>
      <c r="AI93" s="2">
        <v>3</v>
      </c>
      <c r="AJ93" s="2">
        <v>3</v>
      </c>
      <c r="AK93" s="2">
        <v>3</v>
      </c>
      <c r="AL93" s="2">
        <v>3</v>
      </c>
      <c r="AM93" s="2">
        <v>984.70799999999997</v>
      </c>
      <c r="AN93" s="2">
        <v>970.38199999999995</v>
      </c>
      <c r="AO93" s="2">
        <v>14.326000000000022</v>
      </c>
      <c r="AP93" s="2">
        <v>119.00093</v>
      </c>
      <c r="AQ93" s="65">
        <v>2</v>
      </c>
      <c r="AR93" s="65">
        <v>2</v>
      </c>
      <c r="AS93" s="65">
        <v>2</v>
      </c>
      <c r="AT93" s="65">
        <v>2</v>
      </c>
      <c r="AU93" s="65">
        <v>2</v>
      </c>
      <c r="AV93" s="65">
        <v>2</v>
      </c>
      <c r="AW93" s="65">
        <v>2</v>
      </c>
      <c r="AX93" s="65">
        <v>2</v>
      </c>
      <c r="AY93" s="65">
        <v>2</v>
      </c>
      <c r="AZ93" s="65">
        <v>2</v>
      </c>
      <c r="BA93" s="65">
        <v>2</v>
      </c>
      <c r="BB93" s="65">
        <v>2</v>
      </c>
      <c r="BC93" s="65">
        <v>2</v>
      </c>
      <c r="BD93" s="65">
        <v>2</v>
      </c>
      <c r="BE93" s="65">
        <v>2</v>
      </c>
      <c r="BF93" s="65">
        <v>2</v>
      </c>
      <c r="BG93" s="65">
        <v>2</v>
      </c>
      <c r="BH93" s="65">
        <v>2</v>
      </c>
      <c r="BI93" s="65">
        <v>2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1</v>
      </c>
      <c r="BS93" s="65">
        <v>0</v>
      </c>
      <c r="BT93" s="65">
        <v>0</v>
      </c>
      <c r="BU93" s="65">
        <v>0</v>
      </c>
      <c r="BV93" s="65">
        <v>1</v>
      </c>
      <c r="BW93" s="65">
        <v>0</v>
      </c>
      <c r="BX93" s="65">
        <v>0</v>
      </c>
      <c r="BY93" s="65">
        <v>0</v>
      </c>
      <c r="BZ93" s="65">
        <v>1</v>
      </c>
      <c r="CA93" s="65">
        <v>0</v>
      </c>
      <c r="CB93" s="65">
        <v>0</v>
      </c>
      <c r="CC93" s="65">
        <v>0</v>
      </c>
      <c r="CD93" s="65">
        <v>0</v>
      </c>
      <c r="CE93" s="65">
        <v>1</v>
      </c>
      <c r="CF93" s="65">
        <v>0</v>
      </c>
      <c r="CG93" s="65">
        <v>2</v>
      </c>
      <c r="CH93" s="65">
        <v>0</v>
      </c>
      <c r="CI93" s="65">
        <v>2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5</v>
      </c>
      <c r="CT93" s="65">
        <v>6</v>
      </c>
      <c r="CU93" s="65">
        <v>6</v>
      </c>
      <c r="CV93" s="65">
        <v>6</v>
      </c>
      <c r="CW93" s="65">
        <v>7</v>
      </c>
      <c r="CX93" s="65">
        <v>6</v>
      </c>
      <c r="CY93" s="65">
        <v>6</v>
      </c>
      <c r="CZ93" s="65">
        <v>6</v>
      </c>
      <c r="DA93" s="65">
        <v>8</v>
      </c>
      <c r="DB93" s="65">
        <v>9</v>
      </c>
      <c r="DC93" s="65">
        <v>8</v>
      </c>
      <c r="DD93" s="65">
        <v>8</v>
      </c>
      <c r="DE93" s="65">
        <v>6</v>
      </c>
      <c r="DF93" s="65">
        <v>6</v>
      </c>
      <c r="DG93" s="65">
        <v>6</v>
      </c>
      <c r="DH93" s="65">
        <v>4</v>
      </c>
      <c r="DI93" s="65">
        <v>6</v>
      </c>
      <c r="DJ93" s="65">
        <v>4</v>
      </c>
      <c r="DK93" s="65">
        <v>6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330</v>
      </c>
      <c r="DU93" s="2" t="s">
        <v>488</v>
      </c>
      <c r="DV93" s="2">
        <v>3</v>
      </c>
      <c r="DW93" s="2" t="s">
        <v>1</v>
      </c>
      <c r="DX93" s="2">
        <v>3</v>
      </c>
      <c r="DY93" s="2">
        <v>2</v>
      </c>
      <c r="DZ93" s="2">
        <v>3</v>
      </c>
      <c r="EA93" s="2">
        <v>3</v>
      </c>
      <c r="EB93" s="2">
        <v>3</v>
      </c>
      <c r="EC93" s="2">
        <v>4</v>
      </c>
      <c r="ED93" s="2">
        <v>3</v>
      </c>
      <c r="EE93" s="2">
        <v>3</v>
      </c>
      <c r="EF93" s="2">
        <v>3</v>
      </c>
      <c r="EG93" s="2">
        <v>5</v>
      </c>
      <c r="EH93" s="2">
        <v>4</v>
      </c>
      <c r="EI93" s="2">
        <v>4</v>
      </c>
      <c r="EJ93" s="2">
        <v>5</v>
      </c>
      <c r="EK93" s="2">
        <v>3</v>
      </c>
      <c r="EL93" s="2">
        <v>2</v>
      </c>
      <c r="EM93" s="2">
        <v>3</v>
      </c>
      <c r="EN93" s="2">
        <v>2</v>
      </c>
      <c r="EO93" s="2">
        <v>3</v>
      </c>
      <c r="EP93" s="2">
        <v>2</v>
      </c>
      <c r="EQ93" s="2">
        <v>3</v>
      </c>
      <c r="ER93" s="2">
        <v>3</v>
      </c>
      <c r="ES93" s="2">
        <v>3</v>
      </c>
      <c r="ET93" s="2">
        <v>3</v>
      </c>
      <c r="EU93" s="2">
        <v>3</v>
      </c>
      <c r="EV93" s="2">
        <v>3</v>
      </c>
      <c r="EW93" s="2">
        <v>3</v>
      </c>
      <c r="EX93" s="2">
        <v>3</v>
      </c>
      <c r="EY93" s="2">
        <v>3</v>
      </c>
      <c r="EZ93" s="2">
        <v>3</v>
      </c>
      <c r="FA93" s="2">
        <v>5</v>
      </c>
      <c r="FB93" s="2">
        <v>4</v>
      </c>
      <c r="FC93" s="2">
        <v>3</v>
      </c>
      <c r="FD93" s="2">
        <v>3</v>
      </c>
      <c r="FE93" s="2">
        <v>4</v>
      </c>
      <c r="FF93" s="2">
        <v>3</v>
      </c>
      <c r="FG93" s="2">
        <v>2</v>
      </c>
      <c r="FH93" s="2">
        <v>3</v>
      </c>
      <c r="FI93" s="2">
        <v>2</v>
      </c>
      <c r="FJ93" s="2">
        <v>3</v>
      </c>
    </row>
    <row r="94" spans="1:200" s="2" customFormat="1" x14ac:dyDescent="0.25">
      <c r="A94" s="2" t="s">
        <v>933</v>
      </c>
      <c r="B94" s="2" t="s">
        <v>720</v>
      </c>
      <c r="C94" s="2" t="s">
        <v>932</v>
      </c>
      <c r="D94" s="2">
        <v>9</v>
      </c>
      <c r="E94" s="2">
        <v>0</v>
      </c>
      <c r="F94" s="2">
        <v>2</v>
      </c>
      <c r="G94" s="2">
        <v>2</v>
      </c>
      <c r="H94" s="2">
        <v>9</v>
      </c>
      <c r="I94" s="2">
        <v>4</v>
      </c>
      <c r="J94" s="2">
        <v>58</v>
      </c>
      <c r="K94" s="2">
        <v>61</v>
      </c>
      <c r="L94" s="2">
        <v>0</v>
      </c>
      <c r="M94" s="2">
        <v>0</v>
      </c>
      <c r="N94" s="2">
        <v>0</v>
      </c>
      <c r="O94" s="2">
        <v>119</v>
      </c>
      <c r="P94" s="2">
        <v>119</v>
      </c>
      <c r="Q94" s="2">
        <v>119</v>
      </c>
      <c r="R94" s="2">
        <v>119</v>
      </c>
      <c r="S94" s="2">
        <v>58</v>
      </c>
      <c r="T94" s="2">
        <v>-0.15789473684210531</v>
      </c>
      <c r="U94" s="2">
        <v>0</v>
      </c>
      <c r="V94" s="2" t="e">
        <v>#DIV/0!</v>
      </c>
      <c r="W94" s="2">
        <v>0</v>
      </c>
      <c r="X94" s="2" t="e">
        <v>#DIV/0!</v>
      </c>
      <c r="Y94" s="2">
        <v>5</v>
      </c>
      <c r="Z94" s="2">
        <v>1</v>
      </c>
      <c r="AA94" s="2">
        <v>4</v>
      </c>
      <c r="AB94" s="2">
        <v>3</v>
      </c>
      <c r="AG94" s="2">
        <v>5</v>
      </c>
      <c r="AH94" s="2">
        <v>3</v>
      </c>
      <c r="AI94" s="2">
        <v>3</v>
      </c>
      <c r="AJ94" s="2">
        <v>3</v>
      </c>
      <c r="AK94" s="2">
        <v>3</v>
      </c>
      <c r="AL94" s="2">
        <v>4</v>
      </c>
      <c r="AM94" s="2">
        <v>984.70799999999997</v>
      </c>
      <c r="AN94" s="2">
        <v>984.43899999999996</v>
      </c>
      <c r="AO94" s="2">
        <v>0.26900000000000546</v>
      </c>
      <c r="AP94" s="2">
        <v>119.00094</v>
      </c>
      <c r="AQ94" s="65">
        <v>2</v>
      </c>
      <c r="AR94" s="65">
        <v>2</v>
      </c>
      <c r="AS94" s="65">
        <v>2</v>
      </c>
      <c r="AT94" s="65">
        <v>2</v>
      </c>
      <c r="AU94" s="65">
        <v>2</v>
      </c>
      <c r="AV94" s="65">
        <v>2</v>
      </c>
      <c r="AW94" s="65">
        <v>2</v>
      </c>
      <c r="AX94" s="65">
        <v>2</v>
      </c>
      <c r="AY94" s="65">
        <v>2</v>
      </c>
      <c r="AZ94" s="65">
        <v>2</v>
      </c>
      <c r="BA94" s="65">
        <v>2</v>
      </c>
      <c r="BB94" s="65">
        <v>2</v>
      </c>
      <c r="BC94" s="65">
        <v>2</v>
      </c>
      <c r="BD94" s="65">
        <v>2</v>
      </c>
      <c r="BE94" s="65">
        <v>2</v>
      </c>
      <c r="BF94" s="65">
        <v>2</v>
      </c>
      <c r="BG94" s="65">
        <v>2</v>
      </c>
      <c r="BH94" s="65">
        <v>2</v>
      </c>
      <c r="BI94" s="65">
        <v>2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0</v>
      </c>
      <c r="BS94" s="65">
        <v>1</v>
      </c>
      <c r="BT94" s="65">
        <v>1</v>
      </c>
      <c r="BU94" s="65">
        <v>0</v>
      </c>
      <c r="BV94" s="65">
        <v>1</v>
      </c>
      <c r="BW94" s="65">
        <v>0</v>
      </c>
      <c r="BX94" s="65">
        <v>1</v>
      </c>
      <c r="BY94" s="65">
        <v>1</v>
      </c>
      <c r="BZ94" s="65">
        <v>0</v>
      </c>
      <c r="CA94" s="65">
        <v>0</v>
      </c>
      <c r="CB94" s="65">
        <v>0</v>
      </c>
      <c r="CC94" s="65">
        <v>0</v>
      </c>
      <c r="CD94" s="65">
        <v>1</v>
      </c>
      <c r="CE94" s="65">
        <v>0</v>
      </c>
      <c r="CF94" s="65">
        <v>0</v>
      </c>
      <c r="CG94" s="65">
        <v>1</v>
      </c>
      <c r="CH94" s="65">
        <v>1</v>
      </c>
      <c r="CI94" s="65">
        <v>1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6</v>
      </c>
      <c r="CT94" s="65">
        <v>5</v>
      </c>
      <c r="CU94" s="65">
        <v>5</v>
      </c>
      <c r="CV94" s="65">
        <v>6</v>
      </c>
      <c r="CW94" s="65">
        <v>7</v>
      </c>
      <c r="CX94" s="65">
        <v>6</v>
      </c>
      <c r="CY94" s="65">
        <v>5</v>
      </c>
      <c r="CZ94" s="65">
        <v>5</v>
      </c>
      <c r="DA94" s="65">
        <v>8</v>
      </c>
      <c r="DB94" s="65">
        <v>8</v>
      </c>
      <c r="DC94" s="65">
        <v>9</v>
      </c>
      <c r="DD94" s="65">
        <v>8</v>
      </c>
      <c r="DE94" s="65">
        <v>5</v>
      </c>
      <c r="DF94" s="65">
        <v>6</v>
      </c>
      <c r="DG94" s="65">
        <v>8</v>
      </c>
      <c r="DH94" s="65">
        <v>5</v>
      </c>
      <c r="DI94" s="65">
        <v>5</v>
      </c>
      <c r="DJ94" s="65">
        <v>5</v>
      </c>
      <c r="DK94" s="65">
        <v>7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5</v>
      </c>
      <c r="DU94" s="2" t="s">
        <v>488</v>
      </c>
      <c r="DV94" s="2">
        <v>3</v>
      </c>
      <c r="DW94" s="2" t="s">
        <v>1</v>
      </c>
      <c r="DX94" s="2">
        <v>3</v>
      </c>
      <c r="DY94" s="2">
        <v>3</v>
      </c>
      <c r="DZ94" s="2">
        <v>3</v>
      </c>
      <c r="EA94" s="2">
        <v>3</v>
      </c>
      <c r="EB94" s="2">
        <v>3</v>
      </c>
      <c r="EC94" s="2">
        <v>4</v>
      </c>
      <c r="ED94" s="2">
        <v>3</v>
      </c>
      <c r="EE94" s="2">
        <v>2</v>
      </c>
      <c r="EF94" s="2">
        <v>2</v>
      </c>
      <c r="EG94" s="2">
        <v>4</v>
      </c>
      <c r="EH94" s="2">
        <v>4</v>
      </c>
      <c r="EI94" s="2">
        <v>4</v>
      </c>
      <c r="EJ94" s="2">
        <v>5</v>
      </c>
      <c r="EK94" s="2">
        <v>3</v>
      </c>
      <c r="EL94" s="2">
        <v>3</v>
      </c>
      <c r="EM94" s="2">
        <v>3</v>
      </c>
      <c r="EN94" s="2">
        <v>2</v>
      </c>
      <c r="EO94" s="2">
        <v>2</v>
      </c>
      <c r="EP94" s="2">
        <v>2</v>
      </c>
      <c r="EQ94" s="2">
        <v>3</v>
      </c>
      <c r="ER94" s="2">
        <v>3</v>
      </c>
      <c r="ES94" s="2">
        <v>2</v>
      </c>
      <c r="ET94" s="2">
        <v>2</v>
      </c>
      <c r="EU94" s="2">
        <v>3</v>
      </c>
      <c r="EV94" s="2">
        <v>3</v>
      </c>
      <c r="EW94" s="2">
        <v>3</v>
      </c>
      <c r="EX94" s="2">
        <v>3</v>
      </c>
      <c r="EY94" s="2">
        <v>3</v>
      </c>
      <c r="EZ94" s="2">
        <v>4</v>
      </c>
      <c r="FA94" s="2">
        <v>4</v>
      </c>
      <c r="FB94" s="2">
        <v>5</v>
      </c>
      <c r="FC94" s="2">
        <v>3</v>
      </c>
      <c r="FD94" s="2">
        <v>2</v>
      </c>
      <c r="FE94" s="2">
        <v>3</v>
      </c>
      <c r="FF94" s="2">
        <v>5</v>
      </c>
      <c r="FG94" s="2">
        <v>3</v>
      </c>
      <c r="FH94" s="2">
        <v>3</v>
      </c>
      <c r="FI94" s="2">
        <v>3</v>
      </c>
      <c r="FJ94" s="2">
        <v>4</v>
      </c>
    </row>
    <row r="95" spans="1:200" s="2" customFormat="1" x14ac:dyDescent="0.25">
      <c r="A95" s="2" t="s">
        <v>934</v>
      </c>
      <c r="B95" s="2" t="s">
        <v>447</v>
      </c>
      <c r="C95" s="2" t="s">
        <v>934</v>
      </c>
      <c r="D95" s="2">
        <v>7</v>
      </c>
      <c r="E95" s="2">
        <v>0</v>
      </c>
      <c r="F95" s="2">
        <v>5</v>
      </c>
      <c r="G95" s="2">
        <v>0</v>
      </c>
      <c r="H95" s="2">
        <v>7</v>
      </c>
      <c r="I95" s="2">
        <v>5</v>
      </c>
      <c r="J95" s="2">
        <v>61</v>
      </c>
      <c r="K95" s="2">
        <v>59</v>
      </c>
      <c r="L95" s="2">
        <v>0</v>
      </c>
      <c r="M95" s="2">
        <v>0</v>
      </c>
      <c r="N95" s="2">
        <v>0</v>
      </c>
      <c r="O95" s="2">
        <v>120</v>
      </c>
      <c r="P95" s="2">
        <v>120</v>
      </c>
      <c r="Q95" s="2">
        <v>120</v>
      </c>
      <c r="R95" s="2">
        <v>120</v>
      </c>
      <c r="S95" s="2">
        <v>61</v>
      </c>
      <c r="T95" s="2">
        <v>0.10526315789473717</v>
      </c>
      <c r="U95" s="2">
        <v>0</v>
      </c>
      <c r="V95" s="2" t="e">
        <v>#DIV/0!</v>
      </c>
      <c r="W95" s="2">
        <v>0</v>
      </c>
      <c r="X95" s="2" t="e">
        <v>#DIV/0!</v>
      </c>
      <c r="Y95" s="2">
        <v>3</v>
      </c>
      <c r="Z95" s="2">
        <v>3</v>
      </c>
      <c r="AA95" s="2">
        <v>4</v>
      </c>
      <c r="AB95" s="2">
        <v>2</v>
      </c>
      <c r="AG95" s="2">
        <v>11</v>
      </c>
      <c r="AH95" s="2">
        <v>5</v>
      </c>
      <c r="AI95" s="2">
        <v>5</v>
      </c>
      <c r="AJ95" s="2">
        <v>5</v>
      </c>
      <c r="AK95" s="2">
        <v>5</v>
      </c>
      <c r="AL95" s="2">
        <v>5</v>
      </c>
      <c r="AM95" s="2">
        <v>976.11500000000001</v>
      </c>
      <c r="AN95" s="2">
        <v>964.62300000000005</v>
      </c>
      <c r="AO95" s="2">
        <v>11.491999999999962</v>
      </c>
      <c r="AP95" s="2">
        <v>120.00095</v>
      </c>
      <c r="AQ95" s="65">
        <v>2</v>
      </c>
      <c r="AR95" s="65">
        <v>2</v>
      </c>
      <c r="AS95" s="65">
        <v>2</v>
      </c>
      <c r="AT95" s="65">
        <v>2</v>
      </c>
      <c r="AU95" s="65">
        <v>2</v>
      </c>
      <c r="AV95" s="65">
        <v>2</v>
      </c>
      <c r="AW95" s="65">
        <v>2</v>
      </c>
      <c r="AX95" s="65">
        <v>2</v>
      </c>
      <c r="AY95" s="65">
        <v>2</v>
      </c>
      <c r="AZ95" s="65">
        <v>2</v>
      </c>
      <c r="BA95" s="65">
        <v>2</v>
      </c>
      <c r="BB95" s="65">
        <v>2</v>
      </c>
      <c r="BC95" s="65">
        <v>2</v>
      </c>
      <c r="BD95" s="65">
        <v>2</v>
      </c>
      <c r="BE95" s="65">
        <v>2</v>
      </c>
      <c r="BF95" s="65">
        <v>2</v>
      </c>
      <c r="BG95" s="65">
        <v>2</v>
      </c>
      <c r="BH95" s="65">
        <v>2</v>
      </c>
      <c r="BI95" s="65">
        <v>2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1</v>
      </c>
      <c r="BS95" s="65">
        <v>0</v>
      </c>
      <c r="BT95" s="65">
        <v>0</v>
      </c>
      <c r="BU95" s="65">
        <v>1</v>
      </c>
      <c r="BV95" s="65">
        <v>2</v>
      </c>
      <c r="BW95" s="65">
        <v>0</v>
      </c>
      <c r="BX95" s="65">
        <v>0</v>
      </c>
      <c r="BY95" s="65">
        <v>0</v>
      </c>
      <c r="BZ95" s="65">
        <v>0</v>
      </c>
      <c r="CA95" s="65">
        <v>0</v>
      </c>
      <c r="CB95" s="65">
        <v>0</v>
      </c>
      <c r="CC95" s="65">
        <v>0</v>
      </c>
      <c r="CD95" s="65">
        <v>0</v>
      </c>
      <c r="CE95" s="65">
        <v>1</v>
      </c>
      <c r="CF95" s="65">
        <v>0</v>
      </c>
      <c r="CG95" s="65">
        <v>0</v>
      </c>
      <c r="CH95" s="65">
        <v>0</v>
      </c>
      <c r="CI95" s="65">
        <v>2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5</v>
      </c>
      <c r="CT95" s="65">
        <v>6</v>
      </c>
      <c r="CU95" s="65">
        <v>6</v>
      </c>
      <c r="CV95" s="65">
        <v>5</v>
      </c>
      <c r="CW95" s="65">
        <v>6</v>
      </c>
      <c r="CX95" s="65">
        <v>6</v>
      </c>
      <c r="CY95" s="65">
        <v>6</v>
      </c>
      <c r="CZ95" s="65">
        <v>6</v>
      </c>
      <c r="DA95" s="65">
        <v>9</v>
      </c>
      <c r="DB95" s="65">
        <v>10</v>
      </c>
      <c r="DC95" s="65">
        <v>9</v>
      </c>
      <c r="DD95" s="65">
        <v>6</v>
      </c>
      <c r="DE95" s="65">
        <v>7</v>
      </c>
      <c r="DF95" s="65">
        <v>5</v>
      </c>
      <c r="DG95" s="65">
        <v>6</v>
      </c>
      <c r="DH95" s="65">
        <v>6</v>
      </c>
      <c r="DI95" s="65">
        <v>6</v>
      </c>
      <c r="DJ95" s="65">
        <v>4</v>
      </c>
      <c r="DK95" s="65">
        <v>6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687</v>
      </c>
      <c r="DU95" s="2" t="s">
        <v>488</v>
      </c>
      <c r="DV95" s="2">
        <v>5</v>
      </c>
      <c r="DW95" s="2" t="s">
        <v>1</v>
      </c>
      <c r="DX95" s="2">
        <v>5</v>
      </c>
      <c r="DY95" s="2">
        <v>3</v>
      </c>
      <c r="DZ95" s="2">
        <v>3</v>
      </c>
      <c r="EA95" s="2">
        <v>3</v>
      </c>
      <c r="EB95" s="2">
        <v>2</v>
      </c>
      <c r="EC95" s="2">
        <v>3</v>
      </c>
      <c r="ED95" s="2">
        <v>3</v>
      </c>
      <c r="EE95" s="2">
        <v>3</v>
      </c>
      <c r="EF95" s="2">
        <v>3</v>
      </c>
      <c r="EG95" s="2">
        <v>5</v>
      </c>
      <c r="EH95" s="2">
        <v>5</v>
      </c>
      <c r="EI95" s="2">
        <v>5</v>
      </c>
      <c r="EJ95" s="2">
        <v>3</v>
      </c>
      <c r="EK95" s="2">
        <v>3</v>
      </c>
      <c r="EL95" s="2">
        <v>3</v>
      </c>
      <c r="EM95" s="2">
        <v>3</v>
      </c>
      <c r="EN95" s="2">
        <v>3</v>
      </c>
      <c r="EO95" s="2">
        <v>3</v>
      </c>
      <c r="EP95" s="2">
        <v>2</v>
      </c>
      <c r="EQ95" s="2">
        <v>3</v>
      </c>
      <c r="ER95" s="2">
        <v>2</v>
      </c>
      <c r="ES95" s="2">
        <v>3</v>
      </c>
      <c r="ET95" s="2">
        <v>3</v>
      </c>
      <c r="EU95" s="2">
        <v>3</v>
      </c>
      <c r="EV95" s="2">
        <v>3</v>
      </c>
      <c r="EW95" s="2">
        <v>3</v>
      </c>
      <c r="EX95" s="2">
        <v>3</v>
      </c>
      <c r="EY95" s="2">
        <v>3</v>
      </c>
      <c r="EZ95" s="2">
        <v>4</v>
      </c>
      <c r="FA95" s="2">
        <v>5</v>
      </c>
      <c r="FB95" s="2">
        <v>4</v>
      </c>
      <c r="FC95" s="2">
        <v>3</v>
      </c>
      <c r="FD95" s="2">
        <v>4</v>
      </c>
      <c r="FE95" s="2">
        <v>2</v>
      </c>
      <c r="FF95" s="2">
        <v>3</v>
      </c>
      <c r="FG95" s="2">
        <v>3</v>
      </c>
      <c r="FH95" s="2">
        <v>3</v>
      </c>
      <c r="FI95" s="2">
        <v>2</v>
      </c>
      <c r="FJ95" s="2">
        <v>3</v>
      </c>
    </row>
    <row r="96" spans="1:200" s="2" customFormat="1" x14ac:dyDescent="0.25">
      <c r="A96" s="2" t="s">
        <v>935</v>
      </c>
      <c r="B96" s="2" t="s">
        <v>445</v>
      </c>
      <c r="C96" s="2" t="s">
        <v>934</v>
      </c>
      <c r="D96" s="2">
        <v>12</v>
      </c>
      <c r="E96" s="2">
        <v>0</v>
      </c>
      <c r="F96" s="2">
        <v>2</v>
      </c>
      <c r="G96" s="2">
        <v>3</v>
      </c>
      <c r="H96" s="2">
        <v>12</v>
      </c>
      <c r="I96" s="2">
        <v>5</v>
      </c>
      <c r="J96" s="2">
        <v>57</v>
      </c>
      <c r="K96" s="2">
        <v>63</v>
      </c>
      <c r="L96" s="2">
        <v>0</v>
      </c>
      <c r="M96" s="2">
        <v>0</v>
      </c>
      <c r="N96" s="2">
        <v>0</v>
      </c>
      <c r="O96" s="2">
        <v>120</v>
      </c>
      <c r="P96" s="2">
        <v>120</v>
      </c>
      <c r="Q96" s="2">
        <v>120</v>
      </c>
      <c r="R96" s="2">
        <v>120</v>
      </c>
      <c r="S96" s="2">
        <v>57</v>
      </c>
      <c r="T96" s="2">
        <v>-0.31578947368421062</v>
      </c>
      <c r="U96" s="2">
        <v>0</v>
      </c>
      <c r="V96" s="2" t="e">
        <v>#DIV/0!</v>
      </c>
      <c r="W96" s="2">
        <v>0</v>
      </c>
      <c r="X96" s="2" t="e">
        <v>#DIV/0!</v>
      </c>
      <c r="Y96" s="2">
        <v>8</v>
      </c>
      <c r="Z96" s="2">
        <v>2</v>
      </c>
      <c r="AA96" s="2">
        <v>4</v>
      </c>
      <c r="AB96" s="2">
        <v>3</v>
      </c>
      <c r="AG96" s="2">
        <v>3</v>
      </c>
      <c r="AH96" s="2">
        <v>5</v>
      </c>
      <c r="AI96" s="2">
        <v>5</v>
      </c>
      <c r="AJ96" s="2">
        <v>5</v>
      </c>
      <c r="AK96" s="2">
        <v>5</v>
      </c>
      <c r="AL96" s="2">
        <v>6</v>
      </c>
      <c r="AM96" s="2">
        <v>976.11500000000001</v>
      </c>
      <c r="AN96" s="2">
        <v>970.36</v>
      </c>
      <c r="AO96" s="2">
        <v>5.7549999999999955</v>
      </c>
      <c r="AP96" s="2">
        <v>120.00096000000001</v>
      </c>
      <c r="AQ96" s="65">
        <v>2</v>
      </c>
      <c r="AR96" s="65">
        <v>2</v>
      </c>
      <c r="AS96" s="65">
        <v>2</v>
      </c>
      <c r="AT96" s="65">
        <v>2</v>
      </c>
      <c r="AU96" s="65">
        <v>2</v>
      </c>
      <c r="AV96" s="65">
        <v>2</v>
      </c>
      <c r="AW96" s="65">
        <v>2</v>
      </c>
      <c r="AX96" s="65">
        <v>2</v>
      </c>
      <c r="AY96" s="65">
        <v>2</v>
      </c>
      <c r="AZ96" s="65">
        <v>2</v>
      </c>
      <c r="BA96" s="65">
        <v>2</v>
      </c>
      <c r="BB96" s="65">
        <v>2</v>
      </c>
      <c r="BC96" s="65">
        <v>2</v>
      </c>
      <c r="BD96" s="65">
        <v>2</v>
      </c>
      <c r="BE96" s="65">
        <v>2</v>
      </c>
      <c r="BF96" s="65">
        <v>2</v>
      </c>
      <c r="BG96" s="65">
        <v>2</v>
      </c>
      <c r="BH96" s="65">
        <v>2</v>
      </c>
      <c r="BI96" s="65">
        <v>2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1</v>
      </c>
      <c r="BT96" s="65">
        <v>0</v>
      </c>
      <c r="BU96" s="65">
        <v>0</v>
      </c>
      <c r="BV96" s="65">
        <v>1</v>
      </c>
      <c r="BW96" s="65">
        <v>1</v>
      </c>
      <c r="BX96" s="65">
        <v>0</v>
      </c>
      <c r="BY96" s="65">
        <v>2</v>
      </c>
      <c r="BZ96" s="65">
        <v>0</v>
      </c>
      <c r="CA96" s="65">
        <v>1</v>
      </c>
      <c r="CB96" s="65">
        <v>0</v>
      </c>
      <c r="CC96" s="65">
        <v>1</v>
      </c>
      <c r="CD96" s="65">
        <v>1</v>
      </c>
      <c r="CE96" s="65">
        <v>0</v>
      </c>
      <c r="CF96" s="65">
        <v>2</v>
      </c>
      <c r="CG96" s="65">
        <v>0</v>
      </c>
      <c r="CH96" s="65">
        <v>0</v>
      </c>
      <c r="CI96" s="65">
        <v>1</v>
      </c>
      <c r="CJ96" s="65">
        <v>1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6</v>
      </c>
      <c r="CT96" s="65">
        <v>6</v>
      </c>
      <c r="CU96" s="65">
        <v>6</v>
      </c>
      <c r="CV96" s="65">
        <v>7</v>
      </c>
      <c r="CW96" s="65">
        <v>7</v>
      </c>
      <c r="CX96" s="65">
        <v>5</v>
      </c>
      <c r="CY96" s="65">
        <v>6</v>
      </c>
      <c r="CZ96" s="65">
        <v>4</v>
      </c>
      <c r="DA96" s="65">
        <v>8</v>
      </c>
      <c r="DB96" s="65">
        <v>7</v>
      </c>
      <c r="DC96" s="65">
        <v>13</v>
      </c>
      <c r="DD96" s="65">
        <v>5</v>
      </c>
      <c r="DE96" s="65">
        <v>5</v>
      </c>
      <c r="DF96" s="65">
        <v>6</v>
      </c>
      <c r="DG96" s="65">
        <v>4</v>
      </c>
      <c r="DH96" s="65">
        <v>6</v>
      </c>
      <c r="DI96" s="65">
        <v>6</v>
      </c>
      <c r="DJ96" s="65">
        <v>8</v>
      </c>
      <c r="DK96" s="65">
        <v>5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353</v>
      </c>
      <c r="DU96" s="2" t="s">
        <v>488</v>
      </c>
      <c r="DV96" s="2">
        <v>5</v>
      </c>
      <c r="DW96" s="2" t="s">
        <v>1</v>
      </c>
      <c r="DX96" s="2">
        <v>5</v>
      </c>
      <c r="DY96" s="2">
        <v>3</v>
      </c>
      <c r="DZ96" s="2">
        <v>2</v>
      </c>
      <c r="EA96" s="2">
        <v>3</v>
      </c>
      <c r="EB96" s="2">
        <v>4</v>
      </c>
      <c r="EC96" s="2">
        <v>3</v>
      </c>
      <c r="ED96" s="2">
        <v>2</v>
      </c>
      <c r="EE96" s="2">
        <v>3</v>
      </c>
      <c r="EF96" s="2">
        <v>2</v>
      </c>
      <c r="EG96" s="2">
        <v>4</v>
      </c>
      <c r="EH96" s="2">
        <v>3</v>
      </c>
      <c r="EI96" s="2">
        <v>7</v>
      </c>
      <c r="EJ96" s="2">
        <v>3</v>
      </c>
      <c r="EK96" s="2">
        <v>3</v>
      </c>
      <c r="EL96" s="2">
        <v>3</v>
      </c>
      <c r="EM96" s="2">
        <v>2</v>
      </c>
      <c r="EN96" s="2">
        <v>3</v>
      </c>
      <c r="EO96" s="2">
        <v>3</v>
      </c>
      <c r="EP96" s="2">
        <v>2</v>
      </c>
      <c r="EQ96" s="2">
        <v>2</v>
      </c>
      <c r="ER96" s="2">
        <v>3</v>
      </c>
      <c r="ES96" s="2">
        <v>4</v>
      </c>
      <c r="ET96" s="2">
        <v>3</v>
      </c>
      <c r="EU96" s="2">
        <v>3</v>
      </c>
      <c r="EV96" s="2">
        <v>4</v>
      </c>
      <c r="EW96" s="2">
        <v>3</v>
      </c>
      <c r="EX96" s="2">
        <v>3</v>
      </c>
      <c r="EY96" s="2">
        <v>2</v>
      </c>
      <c r="EZ96" s="2">
        <v>4</v>
      </c>
      <c r="FA96" s="2">
        <v>4</v>
      </c>
      <c r="FB96" s="2">
        <v>6</v>
      </c>
      <c r="FC96" s="2">
        <v>2</v>
      </c>
      <c r="FD96" s="2">
        <v>2</v>
      </c>
      <c r="FE96" s="2">
        <v>3</v>
      </c>
      <c r="FF96" s="2">
        <v>2</v>
      </c>
      <c r="FG96" s="2">
        <v>3</v>
      </c>
      <c r="FH96" s="2">
        <v>3</v>
      </c>
      <c r="FI96" s="2">
        <v>6</v>
      </c>
      <c r="FJ96" s="2">
        <v>3</v>
      </c>
    </row>
    <row r="97" spans="1:200" s="2" customFormat="1" x14ac:dyDescent="0.25">
      <c r="A97" s="2" t="s">
        <v>936</v>
      </c>
      <c r="B97" s="2" t="s">
        <v>707</v>
      </c>
      <c r="C97" s="2" t="s">
        <v>936</v>
      </c>
      <c r="D97" s="2">
        <v>9</v>
      </c>
      <c r="E97" s="2">
        <v>0</v>
      </c>
      <c r="F97" s="2">
        <v>6</v>
      </c>
      <c r="G97" s="2">
        <v>1</v>
      </c>
      <c r="H97" s="2">
        <v>9</v>
      </c>
      <c r="I97" s="2">
        <v>7</v>
      </c>
      <c r="J97" s="2">
        <v>61</v>
      </c>
      <c r="K97" s="2">
        <v>60</v>
      </c>
      <c r="L97" s="2">
        <v>0</v>
      </c>
      <c r="M97" s="2">
        <v>0</v>
      </c>
      <c r="N97" s="2">
        <v>0</v>
      </c>
      <c r="O97" s="2">
        <v>121</v>
      </c>
      <c r="P97" s="2">
        <v>121</v>
      </c>
      <c r="Q97" s="2">
        <v>121</v>
      </c>
      <c r="R97" s="2">
        <v>121</v>
      </c>
      <c r="S97" s="2">
        <v>61</v>
      </c>
      <c r="T97" s="2">
        <v>5.2631578947368585E-2</v>
      </c>
      <c r="U97" s="2">
        <v>0</v>
      </c>
      <c r="V97" s="2" t="e">
        <v>#DIV/0!</v>
      </c>
      <c r="W97" s="2">
        <v>0</v>
      </c>
      <c r="X97" s="2" t="e">
        <v>#DIV/0!</v>
      </c>
      <c r="Y97" s="2">
        <v>7</v>
      </c>
      <c r="Z97" s="2">
        <v>6</v>
      </c>
      <c r="AA97" s="2">
        <v>2</v>
      </c>
      <c r="AB97" s="2">
        <v>1</v>
      </c>
      <c r="AG97" s="2">
        <v>11</v>
      </c>
      <c r="AH97" s="2">
        <v>7</v>
      </c>
      <c r="AI97" s="2">
        <v>7</v>
      </c>
      <c r="AJ97" s="2">
        <v>7</v>
      </c>
      <c r="AK97" s="2">
        <v>7</v>
      </c>
      <c r="AL97" s="2">
        <v>7</v>
      </c>
      <c r="AM97" s="2">
        <v>967.52300000000002</v>
      </c>
      <c r="AN97" s="2">
        <v>948.58</v>
      </c>
      <c r="AO97" s="2">
        <v>18.942999999999984</v>
      </c>
      <c r="AP97" s="2">
        <v>121.00097</v>
      </c>
      <c r="AQ97" s="65">
        <v>2</v>
      </c>
      <c r="AR97" s="65">
        <v>2</v>
      </c>
      <c r="AS97" s="65">
        <v>2</v>
      </c>
      <c r="AT97" s="65">
        <v>2</v>
      </c>
      <c r="AU97" s="65">
        <v>2</v>
      </c>
      <c r="AV97" s="65">
        <v>2</v>
      </c>
      <c r="AW97" s="65">
        <v>2</v>
      </c>
      <c r="AX97" s="65">
        <v>2</v>
      </c>
      <c r="AY97" s="65">
        <v>2</v>
      </c>
      <c r="AZ97" s="65">
        <v>2</v>
      </c>
      <c r="BA97" s="65">
        <v>2</v>
      </c>
      <c r="BB97" s="65">
        <v>2</v>
      </c>
      <c r="BC97" s="65">
        <v>2</v>
      </c>
      <c r="BD97" s="65">
        <v>2</v>
      </c>
      <c r="BE97" s="65">
        <v>2</v>
      </c>
      <c r="BF97" s="65">
        <v>2</v>
      </c>
      <c r="BG97" s="65">
        <v>2</v>
      </c>
      <c r="BH97" s="65">
        <v>2</v>
      </c>
      <c r="BI97" s="65">
        <v>2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0</v>
      </c>
      <c r="BS97" s="65">
        <v>1</v>
      </c>
      <c r="BT97" s="65">
        <v>1</v>
      </c>
      <c r="BU97" s="65">
        <v>0</v>
      </c>
      <c r="BV97" s="65">
        <v>0</v>
      </c>
      <c r="BW97" s="65">
        <v>0</v>
      </c>
      <c r="BX97" s="65">
        <v>0</v>
      </c>
      <c r="BY97" s="65">
        <v>2</v>
      </c>
      <c r="BZ97" s="65">
        <v>0</v>
      </c>
      <c r="CA97" s="65">
        <v>1</v>
      </c>
      <c r="CB97" s="65">
        <v>1</v>
      </c>
      <c r="CC97" s="65">
        <v>0</v>
      </c>
      <c r="CD97" s="65">
        <v>1</v>
      </c>
      <c r="CE97" s="65">
        <v>0</v>
      </c>
      <c r="CF97" s="65">
        <v>0</v>
      </c>
      <c r="CG97" s="65">
        <v>0</v>
      </c>
      <c r="CH97" s="65">
        <v>0</v>
      </c>
      <c r="CI97" s="65">
        <v>2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6</v>
      </c>
      <c r="CT97" s="65">
        <v>5</v>
      </c>
      <c r="CU97" s="65">
        <v>5</v>
      </c>
      <c r="CV97" s="65">
        <v>8</v>
      </c>
      <c r="CW97" s="65">
        <v>9</v>
      </c>
      <c r="CX97" s="65">
        <v>7</v>
      </c>
      <c r="CY97" s="65">
        <v>6</v>
      </c>
      <c r="CZ97" s="65">
        <v>4</v>
      </c>
      <c r="DA97" s="65">
        <v>8</v>
      </c>
      <c r="DB97" s="65">
        <v>7</v>
      </c>
      <c r="DC97" s="65">
        <v>7</v>
      </c>
      <c r="DD97" s="65">
        <v>7</v>
      </c>
      <c r="DE97" s="65">
        <v>5</v>
      </c>
      <c r="DF97" s="65">
        <v>6</v>
      </c>
      <c r="DG97" s="65">
        <v>7</v>
      </c>
      <c r="DH97" s="65">
        <v>6</v>
      </c>
      <c r="DI97" s="65">
        <v>7</v>
      </c>
      <c r="DJ97" s="65">
        <v>4</v>
      </c>
      <c r="DK97" s="65">
        <v>7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697</v>
      </c>
      <c r="DU97" s="2" t="s">
        <v>488</v>
      </c>
      <c r="DV97" s="2">
        <v>7</v>
      </c>
      <c r="DW97" s="2" t="s">
        <v>1</v>
      </c>
      <c r="DX97" s="2">
        <v>7</v>
      </c>
      <c r="DY97" s="2">
        <v>3</v>
      </c>
      <c r="DZ97" s="2">
        <v>2</v>
      </c>
      <c r="EA97" s="2">
        <v>2</v>
      </c>
      <c r="EB97" s="2">
        <v>5</v>
      </c>
      <c r="EC97" s="2">
        <v>5</v>
      </c>
      <c r="ED97" s="2">
        <v>4</v>
      </c>
      <c r="EE97" s="2">
        <v>3</v>
      </c>
      <c r="EF97" s="2">
        <v>2</v>
      </c>
      <c r="EG97" s="2">
        <v>4</v>
      </c>
      <c r="EH97" s="2">
        <v>3</v>
      </c>
      <c r="EI97" s="2">
        <v>3</v>
      </c>
      <c r="EJ97" s="2">
        <v>4</v>
      </c>
      <c r="EK97" s="2">
        <v>2</v>
      </c>
      <c r="EL97" s="2">
        <v>3</v>
      </c>
      <c r="EM97" s="2">
        <v>4</v>
      </c>
      <c r="EN97" s="2">
        <v>3</v>
      </c>
      <c r="EO97" s="2">
        <v>4</v>
      </c>
      <c r="EP97" s="2">
        <v>2</v>
      </c>
      <c r="EQ97" s="2">
        <v>3</v>
      </c>
      <c r="ER97" s="2">
        <v>3</v>
      </c>
      <c r="ES97" s="2">
        <v>3</v>
      </c>
      <c r="ET97" s="2">
        <v>3</v>
      </c>
      <c r="EU97" s="2">
        <v>3</v>
      </c>
      <c r="EV97" s="2">
        <v>4</v>
      </c>
      <c r="EW97" s="2">
        <v>3</v>
      </c>
      <c r="EX97" s="2">
        <v>3</v>
      </c>
      <c r="EY97" s="2">
        <v>2</v>
      </c>
      <c r="EZ97" s="2">
        <v>4</v>
      </c>
      <c r="FA97" s="2">
        <v>4</v>
      </c>
      <c r="FB97" s="2">
        <v>4</v>
      </c>
      <c r="FC97" s="2">
        <v>3</v>
      </c>
      <c r="FD97" s="2">
        <v>3</v>
      </c>
      <c r="FE97" s="2">
        <v>3</v>
      </c>
      <c r="FF97" s="2">
        <v>3</v>
      </c>
      <c r="FG97" s="2">
        <v>3</v>
      </c>
      <c r="FH97" s="2">
        <v>3</v>
      </c>
      <c r="FI97" s="2">
        <v>2</v>
      </c>
      <c r="FJ97" s="2">
        <v>4</v>
      </c>
    </row>
    <row r="98" spans="1:200" x14ac:dyDescent="0.25">
      <c r="A98" s="2" t="s">
        <v>937</v>
      </c>
      <c r="B98" s="2" t="s">
        <v>704</v>
      </c>
      <c r="C98" s="2" t="s">
        <v>937</v>
      </c>
      <c r="D98" s="2">
        <v>10</v>
      </c>
      <c r="E98" s="2">
        <v>0</v>
      </c>
      <c r="F98" s="2">
        <v>8</v>
      </c>
      <c r="G98" s="2">
        <v>1</v>
      </c>
      <c r="H98" s="2">
        <v>10</v>
      </c>
      <c r="I98" s="2">
        <v>9</v>
      </c>
      <c r="J98" s="2">
        <v>61</v>
      </c>
      <c r="K98" s="2">
        <v>61</v>
      </c>
      <c r="L98" s="2">
        <v>0</v>
      </c>
      <c r="M98" s="2">
        <v>0</v>
      </c>
      <c r="N98" s="2">
        <v>0</v>
      </c>
      <c r="O98" s="2">
        <v>122</v>
      </c>
      <c r="P98" s="2">
        <v>122</v>
      </c>
      <c r="Q98" s="2">
        <v>122</v>
      </c>
      <c r="R98" s="2">
        <v>122</v>
      </c>
      <c r="S98" s="2">
        <v>61</v>
      </c>
      <c r="T98" s="2">
        <v>0</v>
      </c>
      <c r="U98" s="2">
        <v>0</v>
      </c>
      <c r="V98" s="2" t="e">
        <v>#DIV/0!</v>
      </c>
      <c r="W98" s="2">
        <v>0</v>
      </c>
      <c r="X98" s="2" t="e">
        <v>#DIV/0!</v>
      </c>
      <c r="Y98" s="2">
        <v>6</v>
      </c>
      <c r="Z98" s="2">
        <v>5</v>
      </c>
      <c r="AA98" s="2">
        <v>4</v>
      </c>
      <c r="AB98" s="2">
        <v>4</v>
      </c>
      <c r="AG98" s="2">
        <v>11</v>
      </c>
      <c r="AH98" s="2">
        <v>8</v>
      </c>
      <c r="AI98" s="2">
        <v>8</v>
      </c>
      <c r="AJ98" s="2">
        <v>8</v>
      </c>
      <c r="AK98" s="2">
        <v>8</v>
      </c>
      <c r="AL98" s="2">
        <v>8</v>
      </c>
      <c r="AM98" s="2">
        <v>958.93</v>
      </c>
      <c r="AN98" s="2">
        <v>916.29499999999996</v>
      </c>
      <c r="AO98" s="2">
        <v>42.634999999999991</v>
      </c>
      <c r="AP98" s="2">
        <v>122.00098</v>
      </c>
      <c r="AQ98" s="65">
        <v>2</v>
      </c>
      <c r="AR98" s="65">
        <v>2</v>
      </c>
      <c r="AS98" s="65">
        <v>2</v>
      </c>
      <c r="AT98" s="65">
        <v>2</v>
      </c>
      <c r="AU98" s="65">
        <v>2</v>
      </c>
      <c r="AV98" s="65">
        <v>2</v>
      </c>
      <c r="AW98" s="65">
        <v>2</v>
      </c>
      <c r="AX98" s="65">
        <v>2</v>
      </c>
      <c r="AY98" s="65">
        <v>2</v>
      </c>
      <c r="AZ98" s="65">
        <v>2</v>
      </c>
      <c r="BA98" s="65">
        <v>2</v>
      </c>
      <c r="BB98" s="65">
        <v>2</v>
      </c>
      <c r="BC98" s="65">
        <v>2</v>
      </c>
      <c r="BD98" s="65">
        <v>2</v>
      </c>
      <c r="BE98" s="65">
        <v>2</v>
      </c>
      <c r="BF98" s="65">
        <v>2</v>
      </c>
      <c r="BG98" s="65">
        <v>2</v>
      </c>
      <c r="BH98" s="65">
        <v>2</v>
      </c>
      <c r="BI98" s="65">
        <v>2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0</v>
      </c>
      <c r="BS98" s="65">
        <v>1</v>
      </c>
      <c r="BT98" s="65">
        <v>0</v>
      </c>
      <c r="BU98" s="65">
        <v>0</v>
      </c>
      <c r="BV98" s="65">
        <v>1</v>
      </c>
      <c r="BW98" s="65">
        <v>1</v>
      </c>
      <c r="BX98" s="65">
        <v>0</v>
      </c>
      <c r="BY98" s="65">
        <v>0</v>
      </c>
      <c r="BZ98" s="65">
        <v>0</v>
      </c>
      <c r="CA98" s="65">
        <v>0</v>
      </c>
      <c r="CB98" s="65">
        <v>0</v>
      </c>
      <c r="CC98" s="65">
        <v>0</v>
      </c>
      <c r="CD98" s="65">
        <v>2</v>
      </c>
      <c r="CE98" s="65">
        <v>0</v>
      </c>
      <c r="CF98" s="65">
        <v>0</v>
      </c>
      <c r="CG98" s="65">
        <v>2</v>
      </c>
      <c r="CH98" s="65">
        <v>2</v>
      </c>
      <c r="CI98" s="65">
        <v>0</v>
      </c>
      <c r="CJ98" s="65">
        <v>1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6</v>
      </c>
      <c r="CT98" s="65">
        <v>5</v>
      </c>
      <c r="CU98" s="65">
        <v>6</v>
      </c>
      <c r="CV98" s="65">
        <v>6</v>
      </c>
      <c r="CW98" s="65">
        <v>7</v>
      </c>
      <c r="CX98" s="65">
        <v>5</v>
      </c>
      <c r="CY98" s="65">
        <v>8</v>
      </c>
      <c r="CZ98" s="65">
        <v>7</v>
      </c>
      <c r="DA98" s="65">
        <v>8</v>
      </c>
      <c r="DB98" s="65">
        <v>9</v>
      </c>
      <c r="DC98" s="65">
        <v>9</v>
      </c>
      <c r="DD98" s="65">
        <v>7</v>
      </c>
      <c r="DE98" s="65">
        <v>4</v>
      </c>
      <c r="DF98" s="65">
        <v>7</v>
      </c>
      <c r="DG98" s="65">
        <v>6</v>
      </c>
      <c r="DH98" s="65">
        <v>4</v>
      </c>
      <c r="DI98" s="65">
        <v>4</v>
      </c>
      <c r="DJ98" s="65">
        <v>9</v>
      </c>
      <c r="DK98" s="65">
        <v>5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10</v>
      </c>
      <c r="DU98" s="2" t="s">
        <v>686</v>
      </c>
      <c r="DV98" s="2">
        <v>8</v>
      </c>
      <c r="DW98" s="2" t="s">
        <v>1</v>
      </c>
      <c r="DX98" s="2">
        <v>8</v>
      </c>
      <c r="DY98" s="2">
        <v>3</v>
      </c>
      <c r="DZ98" s="2">
        <v>2</v>
      </c>
      <c r="EA98" s="2">
        <v>3</v>
      </c>
      <c r="EB98" s="2">
        <v>3</v>
      </c>
      <c r="EC98" s="2">
        <v>3</v>
      </c>
      <c r="ED98" s="2">
        <v>3</v>
      </c>
      <c r="EE98" s="2">
        <v>4</v>
      </c>
      <c r="EF98" s="2">
        <v>4</v>
      </c>
      <c r="EG98" s="2">
        <v>4</v>
      </c>
      <c r="EH98" s="2">
        <v>4</v>
      </c>
      <c r="EI98" s="2">
        <v>5</v>
      </c>
      <c r="EJ98" s="2">
        <v>3</v>
      </c>
      <c r="EK98" s="2">
        <v>2</v>
      </c>
      <c r="EL98" s="2">
        <v>4</v>
      </c>
      <c r="EM98" s="2">
        <v>3</v>
      </c>
      <c r="EN98" s="2">
        <v>2</v>
      </c>
      <c r="EO98" s="2">
        <v>2</v>
      </c>
      <c r="EP98" s="2">
        <v>5</v>
      </c>
      <c r="EQ98" s="2">
        <v>2</v>
      </c>
      <c r="ER98" s="2">
        <v>3</v>
      </c>
      <c r="ES98" s="2">
        <v>3</v>
      </c>
      <c r="ET98" s="2">
        <v>3</v>
      </c>
      <c r="EU98" s="2">
        <v>3</v>
      </c>
      <c r="EV98" s="2">
        <v>4</v>
      </c>
      <c r="EW98" s="2">
        <v>2</v>
      </c>
      <c r="EX98" s="2">
        <v>4</v>
      </c>
      <c r="EY98" s="2">
        <v>3</v>
      </c>
      <c r="EZ98" s="2">
        <v>4</v>
      </c>
      <c r="FA98" s="2">
        <v>5</v>
      </c>
      <c r="FB98" s="2">
        <v>4</v>
      </c>
      <c r="FC98" s="2">
        <v>4</v>
      </c>
      <c r="FD98" s="2">
        <v>2</v>
      </c>
      <c r="FE98" s="2">
        <v>3</v>
      </c>
      <c r="FF98" s="2">
        <v>3</v>
      </c>
      <c r="FG98" s="2">
        <v>2</v>
      </c>
      <c r="FH98" s="2">
        <v>2</v>
      </c>
      <c r="FI98" s="2">
        <v>4</v>
      </c>
      <c r="FJ98" s="2">
        <v>3</v>
      </c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</row>
    <row r="99" spans="1:200" x14ac:dyDescent="0.25">
      <c r="A99" s="2" t="s">
        <v>938</v>
      </c>
      <c r="B99" s="2" t="s">
        <v>714</v>
      </c>
      <c r="C99" s="2" t="s">
        <v>938</v>
      </c>
      <c r="D99" s="2">
        <v>7</v>
      </c>
      <c r="E99" s="2">
        <v>0</v>
      </c>
      <c r="F99" s="2">
        <v>6</v>
      </c>
      <c r="G99" s="2">
        <v>1</v>
      </c>
      <c r="H99" s="2">
        <v>7</v>
      </c>
      <c r="I99" s="2">
        <v>7</v>
      </c>
      <c r="J99" s="2">
        <v>67</v>
      </c>
      <c r="K99" s="2">
        <v>56</v>
      </c>
      <c r="L99" s="2">
        <v>0</v>
      </c>
      <c r="M99" s="2">
        <v>0</v>
      </c>
      <c r="N99" s="2">
        <v>0</v>
      </c>
      <c r="O99" s="2">
        <v>123</v>
      </c>
      <c r="P99" s="2">
        <v>123</v>
      </c>
      <c r="Q99" s="2">
        <v>123</v>
      </c>
      <c r="R99" s="2">
        <v>123</v>
      </c>
      <c r="S99" s="2">
        <v>67</v>
      </c>
      <c r="T99" s="2">
        <v>0.57894736842105265</v>
      </c>
      <c r="U99" s="2">
        <v>0</v>
      </c>
      <c r="V99" s="2" t="e">
        <v>#DIV/0!</v>
      </c>
      <c r="W99" s="2">
        <v>0</v>
      </c>
      <c r="X99" s="2" t="e">
        <v>#DIV/0!</v>
      </c>
      <c r="Y99" s="2">
        <v>1</v>
      </c>
      <c r="Z99" s="2">
        <v>6</v>
      </c>
      <c r="AA99" s="2">
        <v>6</v>
      </c>
      <c r="AB99" s="2">
        <v>1</v>
      </c>
      <c r="AG99" s="2">
        <v>35</v>
      </c>
      <c r="AH99" s="2">
        <v>9</v>
      </c>
      <c r="AI99" s="2">
        <v>9</v>
      </c>
      <c r="AJ99" s="2">
        <v>9</v>
      </c>
      <c r="AK99" s="2">
        <v>9</v>
      </c>
      <c r="AL99" s="2">
        <v>9</v>
      </c>
      <c r="AM99" s="2">
        <v>950.33699999999999</v>
      </c>
      <c r="AN99" s="2">
        <v>0</v>
      </c>
      <c r="AP99" s="2">
        <v>123.00099</v>
      </c>
      <c r="AQ99" s="65">
        <v>2</v>
      </c>
      <c r="AR99" s="65">
        <v>2</v>
      </c>
      <c r="AS99" s="65">
        <v>2</v>
      </c>
      <c r="AT99" s="65">
        <v>2</v>
      </c>
      <c r="AU99" s="65">
        <v>2</v>
      </c>
      <c r="AV99" s="65">
        <v>2</v>
      </c>
      <c r="AW99" s="65">
        <v>2</v>
      </c>
      <c r="AX99" s="65">
        <v>2</v>
      </c>
      <c r="AY99" s="65">
        <v>2</v>
      </c>
      <c r="AZ99" s="65">
        <v>2</v>
      </c>
      <c r="BA99" s="65">
        <v>2</v>
      </c>
      <c r="BB99" s="65">
        <v>2</v>
      </c>
      <c r="BC99" s="65">
        <v>2</v>
      </c>
      <c r="BD99" s="65">
        <v>2</v>
      </c>
      <c r="BE99" s="65">
        <v>2</v>
      </c>
      <c r="BF99" s="65">
        <v>2</v>
      </c>
      <c r="BG99" s="65">
        <v>2</v>
      </c>
      <c r="BH99" s="65">
        <v>2</v>
      </c>
      <c r="BI99" s="65">
        <v>2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0</v>
      </c>
      <c r="BT99" s="65">
        <v>0</v>
      </c>
      <c r="BU99" s="65">
        <v>0</v>
      </c>
      <c r="BV99" s="65">
        <v>1</v>
      </c>
      <c r="BW99" s="65">
        <v>1</v>
      </c>
      <c r="BX99" s="65">
        <v>1</v>
      </c>
      <c r="BY99" s="65">
        <v>0</v>
      </c>
      <c r="BZ99" s="65">
        <v>1</v>
      </c>
      <c r="CA99" s="65">
        <v>0</v>
      </c>
      <c r="CB99" s="65">
        <v>0</v>
      </c>
      <c r="CC99" s="65">
        <v>0</v>
      </c>
      <c r="CD99" s="65">
        <v>0</v>
      </c>
      <c r="CE99" s="65">
        <v>0</v>
      </c>
      <c r="CF99" s="65">
        <v>1</v>
      </c>
      <c r="CG99" s="65">
        <v>1</v>
      </c>
      <c r="CH99" s="65">
        <v>0</v>
      </c>
      <c r="CI99" s="65">
        <v>1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6</v>
      </c>
      <c r="CT99" s="65">
        <v>6</v>
      </c>
      <c r="CU99" s="65">
        <v>7</v>
      </c>
      <c r="CV99" s="65">
        <v>6</v>
      </c>
      <c r="CW99" s="65">
        <v>7</v>
      </c>
      <c r="CX99" s="65">
        <v>5</v>
      </c>
      <c r="CY99" s="65">
        <v>5</v>
      </c>
      <c r="CZ99" s="65">
        <v>6</v>
      </c>
      <c r="DA99" s="65">
        <v>8</v>
      </c>
      <c r="DB99" s="65">
        <v>9</v>
      </c>
      <c r="DC99" s="65">
        <v>10</v>
      </c>
      <c r="DD99" s="65">
        <v>6</v>
      </c>
      <c r="DE99" s="65">
        <v>7</v>
      </c>
      <c r="DF99" s="65">
        <v>6</v>
      </c>
      <c r="DG99" s="65">
        <v>5</v>
      </c>
      <c r="DH99" s="65">
        <v>5</v>
      </c>
      <c r="DI99" s="65">
        <v>6</v>
      </c>
      <c r="DJ99" s="65">
        <v>6</v>
      </c>
      <c r="DK99" s="65">
        <v>7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698</v>
      </c>
      <c r="DU99" s="2" t="s">
        <v>488</v>
      </c>
      <c r="DV99" s="2">
        <v>9</v>
      </c>
      <c r="DW99" s="2" t="s">
        <v>1</v>
      </c>
      <c r="DX99" s="2">
        <v>9</v>
      </c>
      <c r="DY99" s="2">
        <v>3</v>
      </c>
      <c r="DZ99" s="2">
        <v>3</v>
      </c>
      <c r="EA99" s="2">
        <v>3</v>
      </c>
      <c r="EB99" s="2">
        <v>3</v>
      </c>
      <c r="EC99" s="2">
        <v>3</v>
      </c>
      <c r="ED99" s="2">
        <v>3</v>
      </c>
      <c r="EE99" s="2">
        <v>3</v>
      </c>
      <c r="EF99" s="2">
        <v>3</v>
      </c>
      <c r="EG99" s="2">
        <v>5</v>
      </c>
      <c r="EH99" s="2">
        <v>5</v>
      </c>
      <c r="EI99" s="2">
        <v>6</v>
      </c>
      <c r="EJ99" s="2">
        <v>3</v>
      </c>
      <c r="EK99" s="2">
        <v>4</v>
      </c>
      <c r="EL99" s="2">
        <v>3</v>
      </c>
      <c r="EM99" s="2">
        <v>3</v>
      </c>
      <c r="EN99" s="2">
        <v>3</v>
      </c>
      <c r="EO99" s="2">
        <v>3</v>
      </c>
      <c r="EP99" s="2">
        <v>4</v>
      </c>
      <c r="EQ99" s="2">
        <v>4</v>
      </c>
      <c r="ER99" s="2">
        <v>3</v>
      </c>
      <c r="ES99" s="2">
        <v>3</v>
      </c>
      <c r="ET99" s="2">
        <v>4</v>
      </c>
      <c r="EU99" s="2">
        <v>3</v>
      </c>
      <c r="EV99" s="2">
        <v>4</v>
      </c>
      <c r="EW99" s="2">
        <v>2</v>
      </c>
      <c r="EX99" s="2">
        <v>2</v>
      </c>
      <c r="EY99" s="2">
        <v>3</v>
      </c>
      <c r="EZ99" s="2">
        <v>3</v>
      </c>
      <c r="FA99" s="2">
        <v>4</v>
      </c>
      <c r="FB99" s="2">
        <v>4</v>
      </c>
      <c r="FC99" s="2">
        <v>3</v>
      </c>
      <c r="FD99" s="2">
        <v>3</v>
      </c>
      <c r="FE99" s="2">
        <v>3</v>
      </c>
      <c r="FF99" s="2">
        <v>2</v>
      </c>
      <c r="FG99" s="2">
        <v>2</v>
      </c>
      <c r="FH99" s="2">
        <v>3</v>
      </c>
      <c r="FI99" s="2">
        <v>2</v>
      </c>
      <c r="FJ99" s="2">
        <v>3</v>
      </c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</row>
    <row r="100" spans="1:200" x14ac:dyDescent="0.25">
      <c r="A100" s="2" t="s">
        <v>939</v>
      </c>
      <c r="B100" s="2" t="s">
        <v>7</v>
      </c>
      <c r="C100" s="2" t="s">
        <v>938</v>
      </c>
      <c r="D100" s="2">
        <v>10</v>
      </c>
      <c r="E100" s="2">
        <v>0</v>
      </c>
      <c r="F100" s="2">
        <v>7</v>
      </c>
      <c r="G100" s="2">
        <v>2</v>
      </c>
      <c r="H100" s="2">
        <v>10</v>
      </c>
      <c r="I100" s="2">
        <v>9</v>
      </c>
      <c r="J100" s="2">
        <v>63</v>
      </c>
      <c r="K100" s="2">
        <v>60</v>
      </c>
      <c r="L100" s="2">
        <v>0</v>
      </c>
      <c r="M100" s="2">
        <v>0</v>
      </c>
      <c r="N100" s="2">
        <v>0</v>
      </c>
      <c r="O100" s="2">
        <v>123</v>
      </c>
      <c r="P100" s="2">
        <v>123</v>
      </c>
      <c r="Q100" s="2">
        <v>123</v>
      </c>
      <c r="R100" s="2">
        <v>123</v>
      </c>
      <c r="S100" s="2">
        <v>63</v>
      </c>
      <c r="T100" s="2">
        <v>0.15789473684210531</v>
      </c>
      <c r="U100" s="2">
        <v>0</v>
      </c>
      <c r="V100" s="2" t="e">
        <v>#DIV/0!</v>
      </c>
      <c r="W100" s="2">
        <v>0</v>
      </c>
      <c r="X100" s="2" t="e">
        <v>#DIV/0!</v>
      </c>
      <c r="Y100" s="2">
        <v>3</v>
      </c>
      <c r="Z100" s="2">
        <v>4</v>
      </c>
      <c r="AA100" s="2">
        <v>7</v>
      </c>
      <c r="AB100" s="2">
        <v>5</v>
      </c>
      <c r="AG100" s="2">
        <v>18</v>
      </c>
      <c r="AH100" s="2">
        <v>9</v>
      </c>
      <c r="AI100" s="2">
        <v>9</v>
      </c>
      <c r="AJ100" s="2">
        <v>9</v>
      </c>
      <c r="AK100" s="2">
        <v>9</v>
      </c>
      <c r="AL100" s="2">
        <v>10</v>
      </c>
      <c r="AM100" s="2">
        <v>950.33699999999999</v>
      </c>
      <c r="AN100" s="2">
        <v>965.01700000000005</v>
      </c>
      <c r="AO100" s="2">
        <v>-14.680000000000064</v>
      </c>
      <c r="AP100" s="2">
        <v>123.001</v>
      </c>
      <c r="AQ100" s="65">
        <v>2</v>
      </c>
      <c r="AR100" s="65">
        <v>2</v>
      </c>
      <c r="AS100" s="65">
        <v>2</v>
      </c>
      <c r="AT100" s="65">
        <v>2</v>
      </c>
      <c r="AU100" s="65">
        <v>2</v>
      </c>
      <c r="AV100" s="65">
        <v>2</v>
      </c>
      <c r="AW100" s="65">
        <v>2</v>
      </c>
      <c r="AX100" s="65">
        <v>2</v>
      </c>
      <c r="AY100" s="65">
        <v>2</v>
      </c>
      <c r="AZ100" s="65">
        <v>2</v>
      </c>
      <c r="BA100" s="65">
        <v>2</v>
      </c>
      <c r="BB100" s="65">
        <v>2</v>
      </c>
      <c r="BC100" s="65">
        <v>2</v>
      </c>
      <c r="BD100" s="65">
        <v>2</v>
      </c>
      <c r="BE100" s="65">
        <v>2</v>
      </c>
      <c r="BF100" s="65">
        <v>2</v>
      </c>
      <c r="BG100" s="65">
        <v>2</v>
      </c>
      <c r="BH100" s="65">
        <v>2</v>
      </c>
      <c r="BI100" s="65">
        <v>2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1</v>
      </c>
      <c r="BS100" s="65">
        <v>1</v>
      </c>
      <c r="BT100" s="65">
        <v>0</v>
      </c>
      <c r="BU100" s="65">
        <v>1</v>
      </c>
      <c r="BV100" s="65">
        <v>1</v>
      </c>
      <c r="BW100" s="65">
        <v>1</v>
      </c>
      <c r="BX100" s="65">
        <v>0</v>
      </c>
      <c r="BY100" s="65">
        <v>1</v>
      </c>
      <c r="BZ100" s="65">
        <v>0</v>
      </c>
      <c r="CA100" s="65">
        <v>0</v>
      </c>
      <c r="CB100" s="65">
        <v>0</v>
      </c>
      <c r="CC100" s="65">
        <v>0</v>
      </c>
      <c r="CD100" s="65">
        <v>0</v>
      </c>
      <c r="CE100" s="65">
        <v>1</v>
      </c>
      <c r="CF100" s="65">
        <v>1</v>
      </c>
      <c r="CG100" s="65">
        <v>1</v>
      </c>
      <c r="CH100" s="65">
        <v>0</v>
      </c>
      <c r="CI100" s="65">
        <v>1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5</v>
      </c>
      <c r="CT100" s="65">
        <v>5</v>
      </c>
      <c r="CU100" s="65">
        <v>8</v>
      </c>
      <c r="CV100" s="65">
        <v>5</v>
      </c>
      <c r="CW100" s="65">
        <v>7</v>
      </c>
      <c r="CX100" s="65">
        <v>5</v>
      </c>
      <c r="CY100" s="65">
        <v>6</v>
      </c>
      <c r="CZ100" s="65">
        <v>5</v>
      </c>
      <c r="DA100" s="65">
        <v>8</v>
      </c>
      <c r="DB100" s="65">
        <v>9</v>
      </c>
      <c r="DC100" s="65">
        <v>12</v>
      </c>
      <c r="DD100" s="65">
        <v>6</v>
      </c>
      <c r="DE100" s="65">
        <v>7</v>
      </c>
      <c r="DF100" s="65">
        <v>5</v>
      </c>
      <c r="DG100" s="65">
        <v>5</v>
      </c>
      <c r="DH100" s="65">
        <v>5</v>
      </c>
      <c r="DI100" s="65">
        <v>8</v>
      </c>
      <c r="DJ100" s="65">
        <v>6</v>
      </c>
      <c r="DK100" s="65">
        <v>6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7</v>
      </c>
      <c r="DU100" s="2" t="s">
        <v>488</v>
      </c>
      <c r="DV100" s="2">
        <v>9</v>
      </c>
      <c r="DW100" s="2" t="s">
        <v>1</v>
      </c>
      <c r="DX100" s="2">
        <v>9</v>
      </c>
      <c r="DY100" s="2">
        <v>2</v>
      </c>
      <c r="DZ100" s="2">
        <v>3</v>
      </c>
      <c r="EA100" s="2">
        <v>4</v>
      </c>
      <c r="EB100" s="2">
        <v>3</v>
      </c>
      <c r="EC100" s="2">
        <v>4</v>
      </c>
      <c r="ED100" s="2">
        <v>3</v>
      </c>
      <c r="EE100" s="2">
        <v>3</v>
      </c>
      <c r="EF100" s="2">
        <v>3</v>
      </c>
      <c r="EG100" s="2">
        <v>4</v>
      </c>
      <c r="EH100" s="2">
        <v>4</v>
      </c>
      <c r="EI100" s="2">
        <v>6</v>
      </c>
      <c r="EJ100" s="2">
        <v>3</v>
      </c>
      <c r="EK100" s="2">
        <v>3</v>
      </c>
      <c r="EL100" s="2">
        <v>3</v>
      </c>
      <c r="EM100" s="2">
        <v>2</v>
      </c>
      <c r="EN100" s="2">
        <v>2</v>
      </c>
      <c r="EO100" s="2">
        <v>4</v>
      </c>
      <c r="EP100" s="2">
        <v>4</v>
      </c>
      <c r="EQ100" s="2">
        <v>3</v>
      </c>
      <c r="ER100" s="2">
        <v>3</v>
      </c>
      <c r="ES100" s="2">
        <v>2</v>
      </c>
      <c r="ET100" s="2">
        <v>4</v>
      </c>
      <c r="EU100" s="2">
        <v>2</v>
      </c>
      <c r="EV100" s="2">
        <v>3</v>
      </c>
      <c r="EW100" s="2">
        <v>2</v>
      </c>
      <c r="EX100" s="2">
        <v>3</v>
      </c>
      <c r="EY100" s="2">
        <v>2</v>
      </c>
      <c r="EZ100" s="2">
        <v>4</v>
      </c>
      <c r="FA100" s="2">
        <v>5</v>
      </c>
      <c r="FB100" s="2">
        <v>6</v>
      </c>
      <c r="FC100" s="2">
        <v>3</v>
      </c>
      <c r="FD100" s="2">
        <v>4</v>
      </c>
      <c r="FE100" s="2">
        <v>2</v>
      </c>
      <c r="FF100" s="2">
        <v>3</v>
      </c>
      <c r="FG100" s="2">
        <v>3</v>
      </c>
      <c r="FH100" s="2">
        <v>4</v>
      </c>
      <c r="FI100" s="2">
        <v>2</v>
      </c>
      <c r="FJ100" s="2">
        <v>3</v>
      </c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</row>
    <row r="101" spans="1:200" x14ac:dyDescent="0.25">
      <c r="A101" s="2" t="s">
        <v>940</v>
      </c>
      <c r="B101" s="2" t="s">
        <v>5</v>
      </c>
      <c r="C101" s="2" t="s">
        <v>938</v>
      </c>
      <c r="D101" s="2">
        <v>9</v>
      </c>
      <c r="E101" s="2">
        <v>0</v>
      </c>
      <c r="F101" s="2">
        <v>6</v>
      </c>
      <c r="G101" s="2">
        <v>2</v>
      </c>
      <c r="H101" s="2">
        <v>9</v>
      </c>
      <c r="I101" s="2">
        <v>8</v>
      </c>
      <c r="J101" s="2">
        <v>59</v>
      </c>
      <c r="K101" s="2">
        <v>64</v>
      </c>
      <c r="L101" s="2">
        <v>0</v>
      </c>
      <c r="M101" s="2">
        <v>0</v>
      </c>
      <c r="N101" s="2">
        <v>0</v>
      </c>
      <c r="O101" s="2">
        <v>123</v>
      </c>
      <c r="P101" s="2">
        <v>123</v>
      </c>
      <c r="Q101" s="2">
        <v>123</v>
      </c>
      <c r="R101" s="2">
        <v>123</v>
      </c>
      <c r="S101" s="2">
        <v>59</v>
      </c>
      <c r="T101" s="2">
        <v>-0.26315789473684204</v>
      </c>
      <c r="U101" s="2">
        <v>0</v>
      </c>
      <c r="V101" s="2" t="e">
        <v>#DIV/0!</v>
      </c>
      <c r="W101" s="2">
        <v>0</v>
      </c>
      <c r="X101" s="2" t="e">
        <v>#DIV/0!</v>
      </c>
      <c r="Y101" s="2">
        <v>4</v>
      </c>
      <c r="Z101" s="2">
        <v>2</v>
      </c>
      <c r="AA101" s="2">
        <v>5</v>
      </c>
      <c r="AB101" s="2">
        <v>6</v>
      </c>
      <c r="AG101" s="2">
        <v>6</v>
      </c>
      <c r="AH101" s="2">
        <v>9</v>
      </c>
      <c r="AI101" s="2">
        <v>9</v>
      </c>
      <c r="AJ101" s="2">
        <v>9</v>
      </c>
      <c r="AK101" s="2">
        <v>9</v>
      </c>
      <c r="AL101" s="2">
        <v>11</v>
      </c>
      <c r="AM101" s="2">
        <v>950.33699999999999</v>
      </c>
      <c r="AN101" s="2">
        <v>974.15499999999997</v>
      </c>
      <c r="AO101" s="2">
        <v>-23.817999999999984</v>
      </c>
      <c r="AP101" s="2">
        <v>123.00100999999999</v>
      </c>
      <c r="AQ101" s="65">
        <v>2</v>
      </c>
      <c r="AR101" s="65">
        <v>2</v>
      </c>
      <c r="AS101" s="65">
        <v>2</v>
      </c>
      <c r="AT101" s="65">
        <v>2</v>
      </c>
      <c r="AU101" s="65">
        <v>2</v>
      </c>
      <c r="AV101" s="65">
        <v>2</v>
      </c>
      <c r="AW101" s="65">
        <v>2</v>
      </c>
      <c r="AX101" s="65">
        <v>2</v>
      </c>
      <c r="AY101" s="65">
        <v>2</v>
      </c>
      <c r="AZ101" s="65">
        <v>2</v>
      </c>
      <c r="BA101" s="65">
        <v>2</v>
      </c>
      <c r="BB101" s="65">
        <v>2</v>
      </c>
      <c r="BC101" s="65">
        <v>2</v>
      </c>
      <c r="BD101" s="65">
        <v>2</v>
      </c>
      <c r="BE101" s="65">
        <v>2</v>
      </c>
      <c r="BF101" s="65">
        <v>2</v>
      </c>
      <c r="BG101" s="65">
        <v>2</v>
      </c>
      <c r="BH101" s="65">
        <v>2</v>
      </c>
      <c r="BI101" s="65">
        <v>2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1</v>
      </c>
      <c r="BS101" s="65">
        <v>1</v>
      </c>
      <c r="BT101" s="65">
        <v>1</v>
      </c>
      <c r="BU101" s="65">
        <v>0</v>
      </c>
      <c r="BV101" s="65">
        <v>1</v>
      </c>
      <c r="BW101" s="65">
        <v>0</v>
      </c>
      <c r="BX101" s="65">
        <v>0</v>
      </c>
      <c r="BY101" s="65">
        <v>1</v>
      </c>
      <c r="BZ101" s="65">
        <v>0</v>
      </c>
      <c r="CA101" s="65">
        <v>0</v>
      </c>
      <c r="CB101" s="65">
        <v>0</v>
      </c>
      <c r="CC101" s="65">
        <v>0</v>
      </c>
      <c r="CD101" s="65">
        <v>1</v>
      </c>
      <c r="CE101" s="65">
        <v>1</v>
      </c>
      <c r="CF101" s="65">
        <v>1</v>
      </c>
      <c r="CG101" s="65">
        <v>1</v>
      </c>
      <c r="CH101" s="65">
        <v>0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5</v>
      </c>
      <c r="CT101" s="65">
        <v>5</v>
      </c>
      <c r="CU101" s="65">
        <v>5</v>
      </c>
      <c r="CV101" s="65">
        <v>7</v>
      </c>
      <c r="CW101" s="65">
        <v>7</v>
      </c>
      <c r="CX101" s="65">
        <v>6</v>
      </c>
      <c r="CY101" s="65">
        <v>8</v>
      </c>
      <c r="CZ101" s="65">
        <v>5</v>
      </c>
      <c r="DA101" s="65">
        <v>10</v>
      </c>
      <c r="DB101" s="65">
        <v>9</v>
      </c>
      <c r="DC101" s="65">
        <v>9</v>
      </c>
      <c r="DD101" s="65">
        <v>6</v>
      </c>
      <c r="DE101" s="65">
        <v>5</v>
      </c>
      <c r="DF101" s="65">
        <v>5</v>
      </c>
      <c r="DG101" s="65">
        <v>6</v>
      </c>
      <c r="DH101" s="65">
        <v>5</v>
      </c>
      <c r="DI101" s="65">
        <v>6</v>
      </c>
      <c r="DJ101" s="65">
        <v>8</v>
      </c>
      <c r="DK101" s="65">
        <v>6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4</v>
      </c>
      <c r="DU101" s="2" t="s">
        <v>488</v>
      </c>
      <c r="DV101" s="2">
        <v>9</v>
      </c>
      <c r="DW101" s="2" t="s">
        <v>1</v>
      </c>
      <c r="DX101" s="2">
        <v>9</v>
      </c>
      <c r="DY101" s="2">
        <v>3</v>
      </c>
      <c r="DZ101" s="2">
        <v>3</v>
      </c>
      <c r="EA101" s="2">
        <v>3</v>
      </c>
      <c r="EB101" s="2">
        <v>4</v>
      </c>
      <c r="EC101" s="2">
        <v>3</v>
      </c>
      <c r="ED101" s="2">
        <v>3</v>
      </c>
      <c r="EE101" s="2">
        <v>3</v>
      </c>
      <c r="EF101" s="2">
        <v>3</v>
      </c>
      <c r="EG101" s="2">
        <v>4</v>
      </c>
      <c r="EH101" s="2">
        <v>4</v>
      </c>
      <c r="EI101" s="2">
        <v>4</v>
      </c>
      <c r="EJ101" s="2">
        <v>3</v>
      </c>
      <c r="EK101" s="2">
        <v>2</v>
      </c>
      <c r="EL101" s="2">
        <v>3</v>
      </c>
      <c r="EM101" s="2">
        <v>2</v>
      </c>
      <c r="EN101" s="2">
        <v>2</v>
      </c>
      <c r="EO101" s="2">
        <v>3</v>
      </c>
      <c r="EP101" s="2">
        <v>4</v>
      </c>
      <c r="EQ101" s="2">
        <v>3</v>
      </c>
      <c r="ER101" s="2">
        <v>2</v>
      </c>
      <c r="ES101" s="2">
        <v>2</v>
      </c>
      <c r="ET101" s="2">
        <v>2</v>
      </c>
      <c r="EU101" s="2">
        <v>3</v>
      </c>
      <c r="EV101" s="2">
        <v>4</v>
      </c>
      <c r="EW101" s="2">
        <v>3</v>
      </c>
      <c r="EX101" s="2">
        <v>5</v>
      </c>
      <c r="EY101" s="2">
        <v>2</v>
      </c>
      <c r="EZ101" s="2">
        <v>6</v>
      </c>
      <c r="FA101" s="2">
        <v>5</v>
      </c>
      <c r="FB101" s="2">
        <v>5</v>
      </c>
      <c r="FC101" s="2">
        <v>3</v>
      </c>
      <c r="FD101" s="2">
        <v>3</v>
      </c>
      <c r="FE101" s="2">
        <v>2</v>
      </c>
      <c r="FF101" s="2">
        <v>4</v>
      </c>
      <c r="FG101" s="2">
        <v>3</v>
      </c>
      <c r="FH101" s="2">
        <v>3</v>
      </c>
      <c r="FI101" s="2">
        <v>4</v>
      </c>
      <c r="FJ101" s="2">
        <v>3</v>
      </c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</row>
    <row r="102" spans="1:200" x14ac:dyDescent="0.25">
      <c r="A102" s="2" t="s">
        <v>941</v>
      </c>
      <c r="B102" s="2" t="s">
        <v>486</v>
      </c>
      <c r="C102" s="2" t="s">
        <v>938</v>
      </c>
      <c r="D102" s="2">
        <v>9</v>
      </c>
      <c r="E102" s="2">
        <v>0</v>
      </c>
      <c r="F102" s="2">
        <v>5</v>
      </c>
      <c r="G102" s="2">
        <v>2</v>
      </c>
      <c r="H102" s="2">
        <v>9</v>
      </c>
      <c r="I102" s="2">
        <v>7</v>
      </c>
      <c r="J102" s="2">
        <v>59</v>
      </c>
      <c r="K102" s="2">
        <v>64</v>
      </c>
      <c r="L102" s="2">
        <v>0</v>
      </c>
      <c r="M102" s="2">
        <v>0</v>
      </c>
      <c r="N102" s="2">
        <v>0</v>
      </c>
      <c r="O102" s="2">
        <v>123</v>
      </c>
      <c r="P102" s="2">
        <v>123</v>
      </c>
      <c r="Q102" s="2">
        <v>123</v>
      </c>
      <c r="R102" s="2">
        <v>123</v>
      </c>
      <c r="S102" s="2">
        <v>59</v>
      </c>
      <c r="T102" s="2">
        <v>-0.26315789473684204</v>
      </c>
      <c r="U102" s="2">
        <v>0</v>
      </c>
      <c r="V102" s="2" t="e">
        <v>#DIV/0!</v>
      </c>
      <c r="W102" s="2">
        <v>0</v>
      </c>
      <c r="X102" s="2" t="e">
        <v>#DIV/0!</v>
      </c>
      <c r="Y102" s="2">
        <v>7</v>
      </c>
      <c r="Z102" s="2">
        <v>4</v>
      </c>
      <c r="AA102" s="2">
        <v>2</v>
      </c>
      <c r="AB102" s="2">
        <v>3</v>
      </c>
      <c r="AG102" s="2">
        <v>6</v>
      </c>
      <c r="AH102" s="2">
        <v>9</v>
      </c>
      <c r="AI102" s="2">
        <v>9</v>
      </c>
      <c r="AJ102" s="2">
        <v>9</v>
      </c>
      <c r="AK102" s="2">
        <v>9</v>
      </c>
      <c r="AL102" s="2">
        <v>12</v>
      </c>
      <c r="AM102" s="2">
        <v>950.33699999999999</v>
      </c>
      <c r="AN102" s="2">
        <v>947.06500000000005</v>
      </c>
      <c r="AO102" s="2">
        <v>3.2719999999999345</v>
      </c>
      <c r="AP102" s="2">
        <v>123.00102</v>
      </c>
      <c r="AQ102" s="65">
        <v>2</v>
      </c>
      <c r="AR102" s="65">
        <v>2</v>
      </c>
      <c r="AS102" s="65">
        <v>2</v>
      </c>
      <c r="AT102" s="65">
        <v>2</v>
      </c>
      <c r="AU102" s="65">
        <v>2</v>
      </c>
      <c r="AV102" s="65">
        <v>2</v>
      </c>
      <c r="AW102" s="65">
        <v>2</v>
      </c>
      <c r="AX102" s="65">
        <v>2</v>
      </c>
      <c r="AY102" s="65">
        <v>2</v>
      </c>
      <c r="AZ102" s="65">
        <v>2</v>
      </c>
      <c r="BA102" s="65">
        <v>2</v>
      </c>
      <c r="BB102" s="65">
        <v>2</v>
      </c>
      <c r="BC102" s="65">
        <v>2</v>
      </c>
      <c r="BD102" s="65">
        <v>2</v>
      </c>
      <c r="BE102" s="65">
        <v>2</v>
      </c>
      <c r="BF102" s="65">
        <v>2</v>
      </c>
      <c r="BG102" s="65">
        <v>2</v>
      </c>
      <c r="BH102" s="65">
        <v>2</v>
      </c>
      <c r="BI102" s="65">
        <v>2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1</v>
      </c>
      <c r="BS102" s="65">
        <v>1</v>
      </c>
      <c r="BT102" s="65">
        <v>0</v>
      </c>
      <c r="BU102" s="65">
        <v>0</v>
      </c>
      <c r="BV102" s="65">
        <v>1</v>
      </c>
      <c r="BW102" s="65">
        <v>1</v>
      </c>
      <c r="BX102" s="65">
        <v>0</v>
      </c>
      <c r="BY102" s="65">
        <v>0</v>
      </c>
      <c r="BZ102" s="65">
        <v>0</v>
      </c>
      <c r="CA102" s="65">
        <v>0</v>
      </c>
      <c r="CB102" s="65">
        <v>0</v>
      </c>
      <c r="CC102" s="65">
        <v>0</v>
      </c>
      <c r="CD102" s="65">
        <v>1</v>
      </c>
      <c r="CE102" s="65">
        <v>1</v>
      </c>
      <c r="CF102" s="65">
        <v>1</v>
      </c>
      <c r="CG102" s="65">
        <v>1</v>
      </c>
      <c r="CH102" s="65">
        <v>0</v>
      </c>
      <c r="CI102" s="65">
        <v>1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5</v>
      </c>
      <c r="CT102" s="65">
        <v>7</v>
      </c>
      <c r="CU102" s="65">
        <v>7</v>
      </c>
      <c r="CV102" s="65">
        <v>6</v>
      </c>
      <c r="CW102" s="65">
        <v>7</v>
      </c>
      <c r="CX102" s="65">
        <v>5</v>
      </c>
      <c r="CY102" s="65">
        <v>7</v>
      </c>
      <c r="CZ102" s="65">
        <v>6</v>
      </c>
      <c r="DA102" s="65">
        <v>8</v>
      </c>
      <c r="DB102" s="65">
        <v>8</v>
      </c>
      <c r="DC102" s="65">
        <v>10</v>
      </c>
      <c r="DD102" s="65">
        <v>6</v>
      </c>
      <c r="DE102" s="65">
        <v>5</v>
      </c>
      <c r="DF102" s="65">
        <v>5</v>
      </c>
      <c r="DG102" s="65">
        <v>6</v>
      </c>
      <c r="DH102" s="65">
        <v>5</v>
      </c>
      <c r="DI102" s="65">
        <v>6</v>
      </c>
      <c r="DJ102" s="65">
        <v>8</v>
      </c>
      <c r="DK102" s="65">
        <v>6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340</v>
      </c>
      <c r="DU102" s="2" t="s">
        <v>488</v>
      </c>
      <c r="DV102" s="2">
        <v>9</v>
      </c>
      <c r="DW102" s="2" t="s">
        <v>1</v>
      </c>
      <c r="DX102" s="2">
        <v>9</v>
      </c>
      <c r="DY102" s="2">
        <v>2</v>
      </c>
      <c r="DZ102" s="2">
        <v>5</v>
      </c>
      <c r="EA102" s="2">
        <v>3</v>
      </c>
      <c r="EB102" s="2">
        <v>3</v>
      </c>
      <c r="EC102" s="2">
        <v>3</v>
      </c>
      <c r="ED102" s="2">
        <v>2</v>
      </c>
      <c r="EE102" s="2">
        <v>4</v>
      </c>
      <c r="EF102" s="2">
        <v>3</v>
      </c>
      <c r="EG102" s="2">
        <v>4</v>
      </c>
      <c r="EH102" s="2">
        <v>4</v>
      </c>
      <c r="EI102" s="2">
        <v>5</v>
      </c>
      <c r="EJ102" s="2">
        <v>3</v>
      </c>
      <c r="EK102" s="2">
        <v>2</v>
      </c>
      <c r="EL102" s="2">
        <v>2</v>
      </c>
      <c r="EM102" s="2">
        <v>4</v>
      </c>
      <c r="EN102" s="2">
        <v>2</v>
      </c>
      <c r="EO102" s="2">
        <v>3</v>
      </c>
      <c r="EP102" s="2">
        <v>2</v>
      </c>
      <c r="EQ102" s="2">
        <v>3</v>
      </c>
      <c r="ER102" s="2">
        <v>3</v>
      </c>
      <c r="ES102" s="2">
        <v>2</v>
      </c>
      <c r="ET102" s="2">
        <v>4</v>
      </c>
      <c r="EU102" s="2">
        <v>3</v>
      </c>
      <c r="EV102" s="2">
        <v>4</v>
      </c>
      <c r="EW102" s="2">
        <v>3</v>
      </c>
      <c r="EX102" s="2">
        <v>3</v>
      </c>
      <c r="EY102" s="2">
        <v>3</v>
      </c>
      <c r="EZ102" s="2">
        <v>4</v>
      </c>
      <c r="FA102" s="2">
        <v>4</v>
      </c>
      <c r="FB102" s="2">
        <v>5</v>
      </c>
      <c r="FC102" s="2">
        <v>3</v>
      </c>
      <c r="FD102" s="2">
        <v>3</v>
      </c>
      <c r="FE102" s="2">
        <v>3</v>
      </c>
      <c r="FF102" s="2">
        <v>2</v>
      </c>
      <c r="FG102" s="2">
        <v>3</v>
      </c>
      <c r="FH102" s="2">
        <v>3</v>
      </c>
      <c r="FI102" s="2">
        <v>6</v>
      </c>
      <c r="FJ102" s="2">
        <v>3</v>
      </c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</row>
    <row r="103" spans="1:200" x14ac:dyDescent="0.25">
      <c r="A103" s="2" t="s">
        <v>942</v>
      </c>
      <c r="B103" s="2" t="s">
        <v>416</v>
      </c>
      <c r="C103" s="2" t="s">
        <v>942</v>
      </c>
      <c r="D103" s="2">
        <v>8</v>
      </c>
      <c r="E103" s="2">
        <v>0</v>
      </c>
      <c r="F103" s="2">
        <v>6</v>
      </c>
      <c r="G103" s="2">
        <v>2</v>
      </c>
      <c r="H103" s="2">
        <v>8</v>
      </c>
      <c r="I103" s="2">
        <v>8</v>
      </c>
      <c r="J103" s="2">
        <v>62</v>
      </c>
      <c r="K103" s="2">
        <v>62</v>
      </c>
      <c r="L103" s="2">
        <v>0</v>
      </c>
      <c r="M103" s="2">
        <v>0</v>
      </c>
      <c r="N103" s="2">
        <v>0</v>
      </c>
      <c r="O103" s="2">
        <v>124</v>
      </c>
      <c r="P103" s="2">
        <v>124</v>
      </c>
      <c r="Q103" s="2">
        <v>124</v>
      </c>
      <c r="R103" s="2">
        <v>124</v>
      </c>
      <c r="S103" s="2">
        <v>62</v>
      </c>
      <c r="T103" s="2">
        <v>0</v>
      </c>
      <c r="U103" s="2">
        <v>0</v>
      </c>
      <c r="V103" s="2" t="e">
        <v>#DIV/0!</v>
      </c>
      <c r="W103" s="2">
        <v>0</v>
      </c>
      <c r="X103" s="2" t="e">
        <v>#DIV/0!</v>
      </c>
      <c r="Y103" s="2">
        <v>5</v>
      </c>
      <c r="Z103" s="2">
        <v>5</v>
      </c>
      <c r="AA103" s="2">
        <v>3</v>
      </c>
      <c r="AB103" s="2">
        <v>3</v>
      </c>
      <c r="AG103" s="2">
        <v>16</v>
      </c>
      <c r="AH103" s="2">
        <v>13</v>
      </c>
      <c r="AI103" s="2">
        <v>13</v>
      </c>
      <c r="AJ103" s="2">
        <v>13</v>
      </c>
      <c r="AK103" s="2">
        <v>13</v>
      </c>
      <c r="AL103" s="2">
        <v>13</v>
      </c>
      <c r="AM103" s="2">
        <v>941.745</v>
      </c>
      <c r="AN103" s="2">
        <v>974.63900000000001</v>
      </c>
      <c r="AO103" s="2">
        <v>-32.894000000000005</v>
      </c>
      <c r="AP103" s="2">
        <v>124.00103</v>
      </c>
      <c r="AQ103" s="65">
        <v>2</v>
      </c>
      <c r="AR103" s="65">
        <v>2</v>
      </c>
      <c r="AS103" s="65">
        <v>2</v>
      </c>
      <c r="AT103" s="65">
        <v>2</v>
      </c>
      <c r="AU103" s="65">
        <v>2</v>
      </c>
      <c r="AV103" s="65">
        <v>2</v>
      </c>
      <c r="AW103" s="65">
        <v>2</v>
      </c>
      <c r="AX103" s="65">
        <v>2</v>
      </c>
      <c r="AY103" s="65">
        <v>2</v>
      </c>
      <c r="AZ103" s="65">
        <v>2</v>
      </c>
      <c r="BA103" s="65">
        <v>2</v>
      </c>
      <c r="BB103" s="65">
        <v>2</v>
      </c>
      <c r="BC103" s="65">
        <v>2</v>
      </c>
      <c r="BD103" s="65">
        <v>2</v>
      </c>
      <c r="BE103" s="65">
        <v>2</v>
      </c>
      <c r="BF103" s="65">
        <v>2</v>
      </c>
      <c r="BG103" s="65">
        <v>2</v>
      </c>
      <c r="BH103" s="65">
        <v>2</v>
      </c>
      <c r="BI103" s="65">
        <v>2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1</v>
      </c>
      <c r="BS103" s="65">
        <v>1</v>
      </c>
      <c r="BT103" s="65">
        <v>1</v>
      </c>
      <c r="BU103" s="65">
        <v>1</v>
      </c>
      <c r="BV103" s="65">
        <v>0</v>
      </c>
      <c r="BW103" s="65">
        <v>0</v>
      </c>
      <c r="BX103" s="65">
        <v>0</v>
      </c>
      <c r="BY103" s="65">
        <v>1</v>
      </c>
      <c r="BZ103" s="65">
        <v>0</v>
      </c>
      <c r="CA103" s="65">
        <v>0</v>
      </c>
      <c r="CB103" s="65">
        <v>0</v>
      </c>
      <c r="CC103" s="65">
        <v>0</v>
      </c>
      <c r="CD103" s="65">
        <v>0</v>
      </c>
      <c r="CE103" s="65">
        <v>1</v>
      </c>
      <c r="CF103" s="65">
        <v>0</v>
      </c>
      <c r="CG103" s="65">
        <v>1</v>
      </c>
      <c r="CH103" s="65">
        <v>0</v>
      </c>
      <c r="CI103" s="65">
        <v>1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7</v>
      </c>
      <c r="CT103" s="65">
        <v>5</v>
      </c>
      <c r="CU103" s="65">
        <v>5</v>
      </c>
      <c r="CV103" s="65">
        <v>5</v>
      </c>
      <c r="CW103" s="65">
        <v>8</v>
      </c>
      <c r="CX103" s="65">
        <v>7</v>
      </c>
      <c r="CY103" s="65">
        <v>6</v>
      </c>
      <c r="CZ103" s="65">
        <v>6</v>
      </c>
      <c r="DA103" s="65">
        <v>10</v>
      </c>
      <c r="DB103" s="65">
        <v>8</v>
      </c>
      <c r="DC103" s="65">
        <v>10</v>
      </c>
      <c r="DD103" s="65">
        <v>7</v>
      </c>
      <c r="DE103" s="65">
        <v>6</v>
      </c>
      <c r="DF103" s="65">
        <v>5</v>
      </c>
      <c r="DG103" s="65">
        <v>6</v>
      </c>
      <c r="DH103" s="65">
        <v>5</v>
      </c>
      <c r="DI103" s="65">
        <v>6</v>
      </c>
      <c r="DJ103" s="65">
        <v>6</v>
      </c>
      <c r="DK103" s="65">
        <v>6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200</v>
      </c>
      <c r="DU103" s="2" t="s">
        <v>488</v>
      </c>
      <c r="DV103" s="2">
        <v>13</v>
      </c>
      <c r="DW103" s="2" t="s">
        <v>1</v>
      </c>
      <c r="DX103" s="2">
        <v>13</v>
      </c>
      <c r="DY103" s="2">
        <v>2</v>
      </c>
      <c r="DZ103" s="2">
        <v>2</v>
      </c>
      <c r="EA103" s="2">
        <v>2</v>
      </c>
      <c r="EB103" s="2">
        <v>3</v>
      </c>
      <c r="EC103" s="2">
        <v>4</v>
      </c>
      <c r="ED103" s="2">
        <v>4</v>
      </c>
      <c r="EE103" s="2">
        <v>3</v>
      </c>
      <c r="EF103" s="2">
        <v>2</v>
      </c>
      <c r="EG103" s="2">
        <v>6</v>
      </c>
      <c r="EH103" s="2">
        <v>4</v>
      </c>
      <c r="EI103" s="2">
        <v>5</v>
      </c>
      <c r="EJ103" s="2">
        <v>4</v>
      </c>
      <c r="EK103" s="2">
        <v>3</v>
      </c>
      <c r="EL103" s="2">
        <v>3</v>
      </c>
      <c r="EM103" s="2">
        <v>3</v>
      </c>
      <c r="EN103" s="2">
        <v>2</v>
      </c>
      <c r="EO103" s="2">
        <v>3</v>
      </c>
      <c r="EP103" s="2">
        <v>4</v>
      </c>
      <c r="EQ103" s="2">
        <v>3</v>
      </c>
      <c r="ER103" s="2">
        <v>5</v>
      </c>
      <c r="ES103" s="2">
        <v>3</v>
      </c>
      <c r="ET103" s="2">
        <v>3</v>
      </c>
      <c r="EU103" s="2">
        <v>2</v>
      </c>
      <c r="EV103" s="2">
        <v>4</v>
      </c>
      <c r="EW103" s="2">
        <v>3</v>
      </c>
      <c r="EX103" s="2">
        <v>3</v>
      </c>
      <c r="EY103" s="2">
        <v>4</v>
      </c>
      <c r="EZ103" s="2">
        <v>4</v>
      </c>
      <c r="FA103" s="2">
        <v>4</v>
      </c>
      <c r="FB103" s="2">
        <v>5</v>
      </c>
      <c r="FC103" s="2">
        <v>3</v>
      </c>
      <c r="FD103" s="2">
        <v>3</v>
      </c>
      <c r="FE103" s="2">
        <v>2</v>
      </c>
      <c r="FF103" s="2">
        <v>3</v>
      </c>
      <c r="FG103" s="2">
        <v>3</v>
      </c>
      <c r="FH103" s="2">
        <v>3</v>
      </c>
      <c r="FI103" s="2">
        <v>2</v>
      </c>
      <c r="FJ103" s="2">
        <v>3</v>
      </c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</row>
    <row r="104" spans="1:200" x14ac:dyDescent="0.25">
      <c r="A104" s="2" t="s">
        <v>943</v>
      </c>
      <c r="B104" s="2" t="s">
        <v>696</v>
      </c>
      <c r="C104" s="2" t="s">
        <v>942</v>
      </c>
      <c r="D104" s="2">
        <v>12</v>
      </c>
      <c r="E104" s="2">
        <v>0</v>
      </c>
      <c r="F104" s="2">
        <v>6</v>
      </c>
      <c r="G104" s="2">
        <v>4</v>
      </c>
      <c r="H104" s="2">
        <v>12</v>
      </c>
      <c r="I104" s="2">
        <v>10</v>
      </c>
      <c r="J104" s="2">
        <v>61</v>
      </c>
      <c r="K104" s="2">
        <v>63</v>
      </c>
      <c r="L104" s="2">
        <v>0</v>
      </c>
      <c r="M104" s="2">
        <v>0</v>
      </c>
      <c r="N104" s="2">
        <v>0</v>
      </c>
      <c r="O104" s="2">
        <v>124</v>
      </c>
      <c r="P104" s="2">
        <v>124</v>
      </c>
      <c r="Q104" s="2">
        <v>124</v>
      </c>
      <c r="R104" s="2">
        <v>124</v>
      </c>
      <c r="S104" s="2">
        <v>61</v>
      </c>
      <c r="T104" s="2">
        <v>-0.10526315789473673</v>
      </c>
      <c r="U104" s="2">
        <v>0</v>
      </c>
      <c r="V104" s="2" t="e">
        <v>#DIV/0!</v>
      </c>
      <c r="W104" s="2">
        <v>0</v>
      </c>
      <c r="X104" s="2" t="e">
        <v>#DIV/0!</v>
      </c>
      <c r="Y104" s="2">
        <v>7</v>
      </c>
      <c r="Z104" s="2">
        <v>6</v>
      </c>
      <c r="AA104" s="2">
        <v>5</v>
      </c>
      <c r="AB104" s="2">
        <v>4</v>
      </c>
      <c r="AG104" s="2">
        <v>11</v>
      </c>
      <c r="AH104" s="2">
        <v>13</v>
      </c>
      <c r="AI104" s="2">
        <v>13</v>
      </c>
      <c r="AJ104" s="2">
        <v>13</v>
      </c>
      <c r="AK104" s="2">
        <v>13</v>
      </c>
      <c r="AL104" s="2">
        <v>14</v>
      </c>
      <c r="AM104" s="2">
        <v>941.745</v>
      </c>
      <c r="AN104" s="2">
        <v>930.95399999999995</v>
      </c>
      <c r="AO104" s="2">
        <v>10.791000000000054</v>
      </c>
      <c r="AP104" s="2">
        <v>124.00104</v>
      </c>
      <c r="AQ104" s="65">
        <v>2</v>
      </c>
      <c r="AR104" s="65">
        <v>2</v>
      </c>
      <c r="AS104" s="65">
        <v>2</v>
      </c>
      <c r="AT104" s="65">
        <v>2</v>
      </c>
      <c r="AU104" s="65">
        <v>2</v>
      </c>
      <c r="AV104" s="65">
        <v>2</v>
      </c>
      <c r="AW104" s="65">
        <v>2</v>
      </c>
      <c r="AX104" s="65">
        <v>2</v>
      </c>
      <c r="AY104" s="65">
        <v>2</v>
      </c>
      <c r="AZ104" s="65">
        <v>2</v>
      </c>
      <c r="BA104" s="65">
        <v>2</v>
      </c>
      <c r="BB104" s="65">
        <v>2</v>
      </c>
      <c r="BC104" s="65">
        <v>2</v>
      </c>
      <c r="BD104" s="65">
        <v>2</v>
      </c>
      <c r="BE104" s="65">
        <v>2</v>
      </c>
      <c r="BF104" s="65">
        <v>2</v>
      </c>
      <c r="BG104" s="65">
        <v>2</v>
      </c>
      <c r="BH104" s="65">
        <v>2</v>
      </c>
      <c r="BI104" s="65">
        <v>2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1</v>
      </c>
      <c r="BS104" s="65">
        <v>0</v>
      </c>
      <c r="BT104" s="65">
        <v>1</v>
      </c>
      <c r="BU104" s="65">
        <v>2</v>
      </c>
      <c r="BV104" s="65">
        <v>2</v>
      </c>
      <c r="BW104" s="65">
        <v>1</v>
      </c>
      <c r="BX104" s="65">
        <v>0</v>
      </c>
      <c r="BY104" s="65">
        <v>1</v>
      </c>
      <c r="BZ104" s="65">
        <v>0</v>
      </c>
      <c r="CA104" s="65">
        <v>0</v>
      </c>
      <c r="CB104" s="65">
        <v>0</v>
      </c>
      <c r="CC104" s="65">
        <v>0</v>
      </c>
      <c r="CD104" s="65">
        <v>1</v>
      </c>
      <c r="CE104" s="65">
        <v>1</v>
      </c>
      <c r="CF104" s="65">
        <v>0</v>
      </c>
      <c r="CG104" s="65">
        <v>1</v>
      </c>
      <c r="CH104" s="65">
        <v>0</v>
      </c>
      <c r="CI104" s="65">
        <v>1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6</v>
      </c>
      <c r="CT104" s="65">
        <v>7</v>
      </c>
      <c r="CU104" s="65">
        <v>5</v>
      </c>
      <c r="CV104" s="65">
        <v>4</v>
      </c>
      <c r="CW104" s="65">
        <v>6</v>
      </c>
      <c r="CX104" s="65">
        <v>5</v>
      </c>
      <c r="CY104" s="65">
        <v>6</v>
      </c>
      <c r="CZ104" s="65">
        <v>5</v>
      </c>
      <c r="DA104" s="65">
        <v>8</v>
      </c>
      <c r="DB104" s="65">
        <v>9</v>
      </c>
      <c r="DC104" s="65">
        <v>11</v>
      </c>
      <c r="DD104" s="65">
        <v>9</v>
      </c>
      <c r="DE104" s="65">
        <v>6</v>
      </c>
      <c r="DF104" s="65">
        <v>5</v>
      </c>
      <c r="DG104" s="65">
        <v>10</v>
      </c>
      <c r="DH104" s="65">
        <v>5</v>
      </c>
      <c r="DI104" s="65">
        <v>6</v>
      </c>
      <c r="DJ104" s="65">
        <v>5</v>
      </c>
      <c r="DK104" s="65">
        <v>6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699</v>
      </c>
      <c r="DU104" s="2" t="s">
        <v>488</v>
      </c>
      <c r="DV104" s="2">
        <v>13</v>
      </c>
      <c r="DW104" s="2" t="s">
        <v>1</v>
      </c>
      <c r="DX104" s="2">
        <v>13</v>
      </c>
      <c r="DY104" s="2">
        <v>2</v>
      </c>
      <c r="DZ104" s="2">
        <v>4</v>
      </c>
      <c r="EA104" s="2">
        <v>3</v>
      </c>
      <c r="EB104" s="2">
        <v>2</v>
      </c>
      <c r="EC104" s="2">
        <v>3</v>
      </c>
      <c r="ED104" s="2">
        <v>3</v>
      </c>
      <c r="EE104" s="2">
        <v>3</v>
      </c>
      <c r="EF104" s="2">
        <v>2</v>
      </c>
      <c r="EG104" s="2">
        <v>4</v>
      </c>
      <c r="EH104" s="2">
        <v>5</v>
      </c>
      <c r="EI104" s="2">
        <v>5</v>
      </c>
      <c r="EJ104" s="2">
        <v>4</v>
      </c>
      <c r="EK104" s="2">
        <v>4</v>
      </c>
      <c r="EL104" s="2">
        <v>2</v>
      </c>
      <c r="EM104" s="2">
        <v>5</v>
      </c>
      <c r="EN104" s="2">
        <v>2</v>
      </c>
      <c r="EO104" s="2">
        <v>3</v>
      </c>
      <c r="EP104" s="2">
        <v>2</v>
      </c>
      <c r="EQ104" s="2">
        <v>3</v>
      </c>
      <c r="ER104" s="2">
        <v>4</v>
      </c>
      <c r="ES104" s="2">
        <v>3</v>
      </c>
      <c r="ET104" s="2">
        <v>2</v>
      </c>
      <c r="EU104" s="2">
        <v>2</v>
      </c>
      <c r="EV104" s="2">
        <v>3</v>
      </c>
      <c r="EW104" s="2">
        <v>2</v>
      </c>
      <c r="EX104" s="2">
        <v>3</v>
      </c>
      <c r="EY104" s="2">
        <v>3</v>
      </c>
      <c r="EZ104" s="2">
        <v>4</v>
      </c>
      <c r="FA104" s="2">
        <v>4</v>
      </c>
      <c r="FB104" s="2">
        <v>6</v>
      </c>
      <c r="FC104" s="2">
        <v>5</v>
      </c>
      <c r="FD104" s="2">
        <v>2</v>
      </c>
      <c r="FE104" s="2">
        <v>3</v>
      </c>
      <c r="FF104" s="2">
        <v>5</v>
      </c>
      <c r="FG104" s="2">
        <v>3</v>
      </c>
      <c r="FH104" s="2">
        <v>3</v>
      </c>
      <c r="FI104" s="2">
        <v>3</v>
      </c>
      <c r="FJ104" s="2">
        <v>3</v>
      </c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</row>
    <row r="105" spans="1:200" x14ac:dyDescent="0.25">
      <c r="A105" s="2" t="s">
        <v>944</v>
      </c>
      <c r="B105" s="2" t="s">
        <v>10</v>
      </c>
      <c r="C105" s="2" t="s">
        <v>944</v>
      </c>
      <c r="D105" s="2">
        <v>4</v>
      </c>
      <c r="E105" s="2">
        <v>0</v>
      </c>
      <c r="F105" s="2">
        <v>6</v>
      </c>
      <c r="G105" s="2">
        <v>1</v>
      </c>
      <c r="H105" s="2">
        <v>4</v>
      </c>
      <c r="I105" s="2">
        <v>7</v>
      </c>
      <c r="J105" s="2">
        <v>63</v>
      </c>
      <c r="K105" s="2">
        <v>63</v>
      </c>
      <c r="L105" s="2">
        <v>0</v>
      </c>
      <c r="M105" s="2">
        <v>0</v>
      </c>
      <c r="N105" s="2">
        <v>0</v>
      </c>
      <c r="O105" s="2">
        <v>126</v>
      </c>
      <c r="P105" s="2">
        <v>126</v>
      </c>
      <c r="Q105" s="2">
        <v>126</v>
      </c>
      <c r="R105" s="2">
        <v>126</v>
      </c>
      <c r="S105" s="2">
        <v>63</v>
      </c>
      <c r="T105" s="2">
        <v>0</v>
      </c>
      <c r="U105" s="2">
        <v>0</v>
      </c>
      <c r="V105" s="2" t="e">
        <v>#DIV/0!</v>
      </c>
      <c r="W105" s="2">
        <v>0</v>
      </c>
      <c r="X105" s="2" t="e">
        <v>#DIV/0!</v>
      </c>
      <c r="Y105" s="2">
        <v>2</v>
      </c>
      <c r="Z105" s="2">
        <v>3</v>
      </c>
      <c r="AA105" s="2">
        <v>2</v>
      </c>
      <c r="AB105" s="2">
        <v>4</v>
      </c>
      <c r="AG105" s="2">
        <v>18</v>
      </c>
      <c r="AH105" s="2">
        <v>15</v>
      </c>
      <c r="AI105" s="2">
        <v>15</v>
      </c>
      <c r="AJ105" s="2">
        <v>15</v>
      </c>
      <c r="AK105" s="2">
        <v>15</v>
      </c>
      <c r="AL105" s="2">
        <v>15</v>
      </c>
      <c r="AM105" s="2">
        <v>924.56</v>
      </c>
      <c r="AN105" s="2">
        <v>995.83399999999995</v>
      </c>
      <c r="AO105" s="2">
        <v>-71.274000000000001</v>
      </c>
      <c r="AP105" s="2">
        <v>126.00105000000001</v>
      </c>
      <c r="AQ105" s="65">
        <v>2</v>
      </c>
      <c r="AR105" s="65">
        <v>2</v>
      </c>
      <c r="AS105" s="65">
        <v>2</v>
      </c>
      <c r="AT105" s="65">
        <v>2</v>
      </c>
      <c r="AU105" s="65">
        <v>2</v>
      </c>
      <c r="AV105" s="65">
        <v>2</v>
      </c>
      <c r="AW105" s="65">
        <v>2</v>
      </c>
      <c r="AX105" s="65">
        <v>2</v>
      </c>
      <c r="AY105" s="65">
        <v>2</v>
      </c>
      <c r="AZ105" s="65">
        <v>2</v>
      </c>
      <c r="BA105" s="65">
        <v>2</v>
      </c>
      <c r="BB105" s="65">
        <v>2</v>
      </c>
      <c r="BC105" s="65">
        <v>2</v>
      </c>
      <c r="BD105" s="65">
        <v>2</v>
      </c>
      <c r="BE105" s="65">
        <v>2</v>
      </c>
      <c r="BF105" s="65">
        <v>2</v>
      </c>
      <c r="BG105" s="65">
        <v>2</v>
      </c>
      <c r="BH105" s="65">
        <v>2</v>
      </c>
      <c r="BI105" s="65">
        <v>2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0</v>
      </c>
      <c r="BT105" s="65">
        <v>0</v>
      </c>
      <c r="BU105" s="65">
        <v>0</v>
      </c>
      <c r="BV105" s="65">
        <v>0</v>
      </c>
      <c r="BW105" s="65">
        <v>0</v>
      </c>
      <c r="BX105" s="65">
        <v>0</v>
      </c>
      <c r="BY105" s="65">
        <v>1</v>
      </c>
      <c r="BZ105" s="65">
        <v>0</v>
      </c>
      <c r="CA105" s="65">
        <v>1</v>
      </c>
      <c r="CB105" s="65">
        <v>0</v>
      </c>
      <c r="CC105" s="65">
        <v>1</v>
      </c>
      <c r="CD105" s="65">
        <v>0</v>
      </c>
      <c r="CE105" s="65">
        <v>0</v>
      </c>
      <c r="CF105" s="65">
        <v>0</v>
      </c>
      <c r="CG105" s="65">
        <v>1</v>
      </c>
      <c r="CH105" s="65">
        <v>0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6</v>
      </c>
      <c r="CT105" s="65">
        <v>6</v>
      </c>
      <c r="CU105" s="65">
        <v>6</v>
      </c>
      <c r="CV105" s="65">
        <v>6</v>
      </c>
      <c r="CW105" s="65">
        <v>8</v>
      </c>
      <c r="CX105" s="65">
        <v>6</v>
      </c>
      <c r="CY105" s="65">
        <v>7</v>
      </c>
      <c r="CZ105" s="65">
        <v>5</v>
      </c>
      <c r="DA105" s="65">
        <v>8</v>
      </c>
      <c r="DB105" s="65">
        <v>7</v>
      </c>
      <c r="DC105" s="65">
        <v>9</v>
      </c>
      <c r="DD105" s="65">
        <v>5</v>
      </c>
      <c r="DE105" s="65">
        <v>6</v>
      </c>
      <c r="DF105" s="65">
        <v>6</v>
      </c>
      <c r="DG105" s="65">
        <v>6</v>
      </c>
      <c r="DH105" s="65">
        <v>5</v>
      </c>
      <c r="DI105" s="65">
        <v>7</v>
      </c>
      <c r="DJ105" s="65">
        <v>9</v>
      </c>
      <c r="DK105" s="65">
        <v>8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197</v>
      </c>
      <c r="DU105" s="2" t="s">
        <v>488</v>
      </c>
      <c r="DV105" s="2">
        <v>15</v>
      </c>
      <c r="DW105" s="2" t="s">
        <v>1</v>
      </c>
      <c r="DX105" s="2">
        <v>15</v>
      </c>
      <c r="DY105" s="2">
        <v>3</v>
      </c>
      <c r="DZ105" s="2">
        <v>3</v>
      </c>
      <c r="EA105" s="2">
        <v>3</v>
      </c>
      <c r="EB105" s="2">
        <v>3</v>
      </c>
      <c r="EC105" s="2">
        <v>4</v>
      </c>
      <c r="ED105" s="2">
        <v>3</v>
      </c>
      <c r="EE105" s="2">
        <v>4</v>
      </c>
      <c r="EF105" s="2">
        <v>3</v>
      </c>
      <c r="EG105" s="2">
        <v>4</v>
      </c>
      <c r="EH105" s="2">
        <v>3</v>
      </c>
      <c r="EI105" s="2">
        <v>4</v>
      </c>
      <c r="EJ105" s="2">
        <v>3</v>
      </c>
      <c r="EK105" s="2">
        <v>3</v>
      </c>
      <c r="EL105" s="2">
        <v>3</v>
      </c>
      <c r="EM105" s="2">
        <v>3</v>
      </c>
      <c r="EN105" s="2">
        <v>2</v>
      </c>
      <c r="EO105" s="2">
        <v>3</v>
      </c>
      <c r="EP105" s="2">
        <v>5</v>
      </c>
      <c r="EQ105" s="2">
        <v>4</v>
      </c>
      <c r="ER105" s="2">
        <v>3</v>
      </c>
      <c r="ES105" s="2">
        <v>3</v>
      </c>
      <c r="ET105" s="2">
        <v>3</v>
      </c>
      <c r="EU105" s="2">
        <v>3</v>
      </c>
      <c r="EV105" s="2">
        <v>4</v>
      </c>
      <c r="EW105" s="2">
        <v>3</v>
      </c>
      <c r="EX105" s="2">
        <v>3</v>
      </c>
      <c r="EY105" s="2">
        <v>2</v>
      </c>
      <c r="EZ105" s="2">
        <v>4</v>
      </c>
      <c r="FA105" s="2">
        <v>4</v>
      </c>
      <c r="FB105" s="2">
        <v>5</v>
      </c>
      <c r="FC105" s="2">
        <v>2</v>
      </c>
      <c r="FD105" s="2">
        <v>3</v>
      </c>
      <c r="FE105" s="2">
        <v>3</v>
      </c>
      <c r="FF105" s="2">
        <v>3</v>
      </c>
      <c r="FG105" s="2">
        <v>3</v>
      </c>
      <c r="FH105" s="2">
        <v>4</v>
      </c>
      <c r="FI105" s="2">
        <v>4</v>
      </c>
      <c r="FJ105" s="2">
        <v>4</v>
      </c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</row>
    <row r="106" spans="1:200" x14ac:dyDescent="0.25">
      <c r="A106" s="2" t="s">
        <v>945</v>
      </c>
      <c r="B106" s="2" t="s">
        <v>698</v>
      </c>
      <c r="C106" s="2" t="s">
        <v>944</v>
      </c>
      <c r="D106" s="2">
        <v>6</v>
      </c>
      <c r="E106" s="2">
        <v>0</v>
      </c>
      <c r="F106" s="2">
        <v>8</v>
      </c>
      <c r="G106" s="2">
        <v>1</v>
      </c>
      <c r="H106" s="2">
        <v>6</v>
      </c>
      <c r="I106" s="2">
        <v>9</v>
      </c>
      <c r="J106" s="2">
        <v>60</v>
      </c>
      <c r="K106" s="2">
        <v>66</v>
      </c>
      <c r="L106" s="2">
        <v>0</v>
      </c>
      <c r="M106" s="2">
        <v>0</v>
      </c>
      <c r="N106" s="2">
        <v>0</v>
      </c>
      <c r="O106" s="2">
        <v>126</v>
      </c>
      <c r="P106" s="2">
        <v>126</v>
      </c>
      <c r="Q106" s="2">
        <v>126</v>
      </c>
      <c r="R106" s="2">
        <v>126</v>
      </c>
      <c r="S106" s="2">
        <v>60</v>
      </c>
      <c r="T106" s="2">
        <v>-0.31578947368421062</v>
      </c>
      <c r="U106" s="2">
        <v>0</v>
      </c>
      <c r="V106" s="2" t="e">
        <v>#DIV/0!</v>
      </c>
      <c r="W106" s="2">
        <v>0</v>
      </c>
      <c r="X106" s="2" t="e">
        <v>#DIV/0!</v>
      </c>
      <c r="Y106" s="2">
        <v>4</v>
      </c>
      <c r="Z106" s="2">
        <v>3</v>
      </c>
      <c r="AA106" s="2">
        <v>2</v>
      </c>
      <c r="AB106" s="2">
        <v>6</v>
      </c>
      <c r="AG106" s="2">
        <v>9</v>
      </c>
      <c r="AH106" s="2">
        <v>15</v>
      </c>
      <c r="AI106" s="2">
        <v>15</v>
      </c>
      <c r="AJ106" s="2">
        <v>15</v>
      </c>
      <c r="AK106" s="2">
        <v>15</v>
      </c>
      <c r="AL106" s="2">
        <v>16</v>
      </c>
      <c r="AM106" s="2">
        <v>924.56</v>
      </c>
      <c r="AN106" s="2">
        <v>0</v>
      </c>
      <c r="AP106" s="2">
        <v>126.00106</v>
      </c>
      <c r="AQ106" s="65">
        <v>2</v>
      </c>
      <c r="AR106" s="65">
        <v>2</v>
      </c>
      <c r="AS106" s="65">
        <v>2</v>
      </c>
      <c r="AT106" s="65">
        <v>2</v>
      </c>
      <c r="AU106" s="65">
        <v>2</v>
      </c>
      <c r="AV106" s="65">
        <v>2</v>
      </c>
      <c r="AW106" s="65">
        <v>2</v>
      </c>
      <c r="AX106" s="65">
        <v>2</v>
      </c>
      <c r="AY106" s="65">
        <v>2</v>
      </c>
      <c r="AZ106" s="65">
        <v>2</v>
      </c>
      <c r="BA106" s="65">
        <v>2</v>
      </c>
      <c r="BB106" s="65">
        <v>2</v>
      </c>
      <c r="BC106" s="65">
        <v>2</v>
      </c>
      <c r="BD106" s="65">
        <v>2</v>
      </c>
      <c r="BE106" s="65">
        <v>2</v>
      </c>
      <c r="BF106" s="65">
        <v>2</v>
      </c>
      <c r="BG106" s="65">
        <v>2</v>
      </c>
      <c r="BH106" s="65">
        <v>2</v>
      </c>
      <c r="BI106" s="65">
        <v>2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1</v>
      </c>
      <c r="BS106" s="65">
        <v>0</v>
      </c>
      <c r="BT106" s="65">
        <v>0</v>
      </c>
      <c r="BU106" s="65">
        <v>0</v>
      </c>
      <c r="BV106" s="65">
        <v>1</v>
      </c>
      <c r="BW106" s="65">
        <v>1</v>
      </c>
      <c r="BX106" s="65">
        <v>0</v>
      </c>
      <c r="BY106" s="65">
        <v>0</v>
      </c>
      <c r="BZ106" s="65">
        <v>0</v>
      </c>
      <c r="CA106" s="65">
        <v>0</v>
      </c>
      <c r="CB106" s="65">
        <v>0</v>
      </c>
      <c r="CC106" s="65">
        <v>0</v>
      </c>
      <c r="CD106" s="65">
        <v>2</v>
      </c>
      <c r="CE106" s="65">
        <v>0</v>
      </c>
      <c r="CF106" s="65">
        <v>1</v>
      </c>
      <c r="CG106" s="65">
        <v>0</v>
      </c>
      <c r="CH106" s="65">
        <v>0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5</v>
      </c>
      <c r="CT106" s="65">
        <v>6</v>
      </c>
      <c r="CU106" s="65">
        <v>9</v>
      </c>
      <c r="CV106" s="65">
        <v>6</v>
      </c>
      <c r="CW106" s="65">
        <v>7</v>
      </c>
      <c r="CX106" s="65">
        <v>5</v>
      </c>
      <c r="CY106" s="65">
        <v>8</v>
      </c>
      <c r="CZ106" s="65">
        <v>7</v>
      </c>
      <c r="DA106" s="65">
        <v>8</v>
      </c>
      <c r="DB106" s="65">
        <v>9</v>
      </c>
      <c r="DC106" s="65">
        <v>9</v>
      </c>
      <c r="DD106" s="65">
        <v>6</v>
      </c>
      <c r="DE106" s="65">
        <v>4</v>
      </c>
      <c r="DF106" s="65">
        <v>6</v>
      </c>
      <c r="DG106" s="65">
        <v>5</v>
      </c>
      <c r="DH106" s="65">
        <v>6</v>
      </c>
      <c r="DI106" s="65">
        <v>6</v>
      </c>
      <c r="DJ106" s="65">
        <v>7</v>
      </c>
      <c r="DK106" s="65">
        <v>7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700</v>
      </c>
      <c r="DU106" s="2" t="s">
        <v>488</v>
      </c>
      <c r="DV106" s="2">
        <v>15</v>
      </c>
      <c r="DW106" s="2" t="s">
        <v>1</v>
      </c>
      <c r="DX106" s="2">
        <v>15</v>
      </c>
      <c r="DY106" s="2">
        <v>3</v>
      </c>
      <c r="DZ106" s="2">
        <v>3</v>
      </c>
      <c r="EA106" s="2">
        <v>4</v>
      </c>
      <c r="EB106" s="2">
        <v>3</v>
      </c>
      <c r="EC106" s="2">
        <v>3</v>
      </c>
      <c r="ED106" s="2">
        <v>2</v>
      </c>
      <c r="EE106" s="2">
        <v>4</v>
      </c>
      <c r="EF106" s="2">
        <v>4</v>
      </c>
      <c r="EG106" s="2">
        <v>4</v>
      </c>
      <c r="EH106" s="2">
        <v>4</v>
      </c>
      <c r="EI106" s="2">
        <v>4</v>
      </c>
      <c r="EJ106" s="2">
        <v>3</v>
      </c>
      <c r="EK106" s="2">
        <v>2</v>
      </c>
      <c r="EL106" s="2">
        <v>3</v>
      </c>
      <c r="EM106" s="2">
        <v>2</v>
      </c>
      <c r="EN106" s="2">
        <v>3</v>
      </c>
      <c r="EO106" s="2">
        <v>3</v>
      </c>
      <c r="EP106" s="2">
        <v>3</v>
      </c>
      <c r="EQ106" s="2">
        <v>3</v>
      </c>
      <c r="ER106" s="2">
        <v>2</v>
      </c>
      <c r="ES106" s="2">
        <v>3</v>
      </c>
      <c r="ET106" s="2">
        <v>5</v>
      </c>
      <c r="EU106" s="2">
        <v>3</v>
      </c>
      <c r="EV106" s="2">
        <v>4</v>
      </c>
      <c r="EW106" s="2">
        <v>3</v>
      </c>
      <c r="EX106" s="2">
        <v>4</v>
      </c>
      <c r="EY106" s="2">
        <v>3</v>
      </c>
      <c r="EZ106" s="2">
        <v>4</v>
      </c>
      <c r="FA106" s="2">
        <v>5</v>
      </c>
      <c r="FB106" s="2">
        <v>5</v>
      </c>
      <c r="FC106" s="2">
        <v>3</v>
      </c>
      <c r="FD106" s="2">
        <v>2</v>
      </c>
      <c r="FE106" s="2">
        <v>3</v>
      </c>
      <c r="FF106" s="2">
        <v>3</v>
      </c>
      <c r="FG106" s="2">
        <v>3</v>
      </c>
      <c r="FH106" s="2">
        <v>3</v>
      </c>
      <c r="FI106" s="2">
        <v>4</v>
      </c>
      <c r="FJ106" s="2">
        <v>4</v>
      </c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</row>
    <row r="107" spans="1:200" x14ac:dyDescent="0.25">
      <c r="A107" s="2" t="s">
        <v>946</v>
      </c>
      <c r="B107" s="2" t="s">
        <v>340</v>
      </c>
      <c r="C107" s="2" t="s">
        <v>944</v>
      </c>
      <c r="D107" s="2">
        <v>12</v>
      </c>
      <c r="E107" s="2">
        <v>0</v>
      </c>
      <c r="F107" s="2">
        <v>7</v>
      </c>
      <c r="G107" s="2">
        <v>4</v>
      </c>
      <c r="H107" s="2">
        <v>12</v>
      </c>
      <c r="I107" s="2">
        <v>11</v>
      </c>
      <c r="J107" s="2">
        <v>59</v>
      </c>
      <c r="K107" s="2">
        <v>67</v>
      </c>
      <c r="L107" s="2">
        <v>0</v>
      </c>
      <c r="M107" s="2">
        <v>0</v>
      </c>
      <c r="N107" s="2">
        <v>0</v>
      </c>
      <c r="O107" s="2">
        <v>126</v>
      </c>
      <c r="P107" s="2">
        <v>126</v>
      </c>
      <c r="Q107" s="2">
        <v>126</v>
      </c>
      <c r="R107" s="2">
        <v>126</v>
      </c>
      <c r="S107" s="2">
        <v>59</v>
      </c>
      <c r="T107" s="2">
        <v>-0.42105263157894735</v>
      </c>
      <c r="U107" s="2">
        <v>0</v>
      </c>
      <c r="V107" s="2" t="e">
        <v>#DIV/0!</v>
      </c>
      <c r="W107" s="2">
        <v>0</v>
      </c>
      <c r="X107" s="2" t="e">
        <v>#DIV/0!</v>
      </c>
      <c r="Y107" s="2">
        <v>8</v>
      </c>
      <c r="Z107" s="2">
        <v>4</v>
      </c>
      <c r="AA107" s="2">
        <v>4</v>
      </c>
      <c r="AB107" s="2">
        <v>7</v>
      </c>
      <c r="AG107" s="2">
        <v>6</v>
      </c>
      <c r="AH107" s="2">
        <v>15</v>
      </c>
      <c r="AI107" s="2">
        <v>15</v>
      </c>
      <c r="AJ107" s="2">
        <v>15</v>
      </c>
      <c r="AK107" s="2">
        <v>15</v>
      </c>
      <c r="AL107" s="2">
        <v>17</v>
      </c>
      <c r="AM107" s="2">
        <v>924.56</v>
      </c>
      <c r="AN107" s="2">
        <v>972.34799999999996</v>
      </c>
      <c r="AO107" s="2">
        <v>-47.788000000000011</v>
      </c>
      <c r="AP107" s="2">
        <v>126.00107</v>
      </c>
      <c r="AQ107" s="65">
        <v>2</v>
      </c>
      <c r="AR107" s="65">
        <v>2</v>
      </c>
      <c r="AS107" s="65">
        <v>2</v>
      </c>
      <c r="AT107" s="65">
        <v>2</v>
      </c>
      <c r="AU107" s="65">
        <v>2</v>
      </c>
      <c r="AV107" s="65">
        <v>2</v>
      </c>
      <c r="AW107" s="65">
        <v>2</v>
      </c>
      <c r="AX107" s="65">
        <v>2</v>
      </c>
      <c r="AY107" s="65">
        <v>2</v>
      </c>
      <c r="AZ107" s="65">
        <v>2</v>
      </c>
      <c r="BA107" s="65">
        <v>2</v>
      </c>
      <c r="BB107" s="65">
        <v>2</v>
      </c>
      <c r="BC107" s="65">
        <v>2</v>
      </c>
      <c r="BD107" s="65">
        <v>2</v>
      </c>
      <c r="BE107" s="65">
        <v>2</v>
      </c>
      <c r="BF107" s="65">
        <v>2</v>
      </c>
      <c r="BG107" s="65">
        <v>2</v>
      </c>
      <c r="BH107" s="65">
        <v>2</v>
      </c>
      <c r="BI107" s="65">
        <v>2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2</v>
      </c>
      <c r="BS107" s="65">
        <v>0</v>
      </c>
      <c r="BT107" s="65">
        <v>0</v>
      </c>
      <c r="BU107" s="65">
        <v>0</v>
      </c>
      <c r="BV107" s="65">
        <v>0</v>
      </c>
      <c r="BW107" s="65">
        <v>0</v>
      </c>
      <c r="BX107" s="65">
        <v>0</v>
      </c>
      <c r="BY107" s="65">
        <v>1</v>
      </c>
      <c r="BZ107" s="65">
        <v>0</v>
      </c>
      <c r="CA107" s="65">
        <v>1</v>
      </c>
      <c r="CB107" s="65">
        <v>0</v>
      </c>
      <c r="CC107" s="65">
        <v>1</v>
      </c>
      <c r="CD107" s="65">
        <v>1</v>
      </c>
      <c r="CE107" s="65">
        <v>1</v>
      </c>
      <c r="CF107" s="65">
        <v>1</v>
      </c>
      <c r="CG107" s="65">
        <v>2</v>
      </c>
      <c r="CH107" s="65">
        <v>0</v>
      </c>
      <c r="CI107" s="65">
        <v>2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4</v>
      </c>
      <c r="CT107" s="65">
        <v>6</v>
      </c>
      <c r="CU107" s="65">
        <v>8</v>
      </c>
      <c r="CV107" s="65">
        <v>8</v>
      </c>
      <c r="CW107" s="65">
        <v>9</v>
      </c>
      <c r="CX107" s="65">
        <v>6</v>
      </c>
      <c r="CY107" s="65">
        <v>8</v>
      </c>
      <c r="CZ107" s="65">
        <v>5</v>
      </c>
      <c r="DA107" s="65">
        <v>8</v>
      </c>
      <c r="DB107" s="65">
        <v>7</v>
      </c>
      <c r="DC107" s="65">
        <v>12</v>
      </c>
      <c r="DD107" s="65">
        <v>5</v>
      </c>
      <c r="DE107" s="65">
        <v>6</v>
      </c>
      <c r="DF107" s="65">
        <v>5</v>
      </c>
      <c r="DG107" s="65">
        <v>5</v>
      </c>
      <c r="DH107" s="65">
        <v>4</v>
      </c>
      <c r="DI107" s="65">
        <v>7</v>
      </c>
      <c r="DJ107" s="65">
        <v>4</v>
      </c>
      <c r="DK107" s="65">
        <v>9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3</v>
      </c>
      <c r="DU107" s="2" t="s">
        <v>488</v>
      </c>
      <c r="DV107" s="2">
        <v>15</v>
      </c>
      <c r="DW107" s="2" t="s">
        <v>1</v>
      </c>
      <c r="DX107" s="2">
        <v>15</v>
      </c>
      <c r="DY107" s="2">
        <v>2</v>
      </c>
      <c r="DZ107" s="2">
        <v>3</v>
      </c>
      <c r="EA107" s="2">
        <v>4</v>
      </c>
      <c r="EB107" s="2">
        <v>3</v>
      </c>
      <c r="EC107" s="2">
        <v>4</v>
      </c>
      <c r="ED107" s="2">
        <v>3</v>
      </c>
      <c r="EE107" s="2">
        <v>5</v>
      </c>
      <c r="EF107" s="2">
        <v>2</v>
      </c>
      <c r="EG107" s="2">
        <v>4</v>
      </c>
      <c r="EH107" s="2">
        <v>3</v>
      </c>
      <c r="EI107" s="2">
        <v>5</v>
      </c>
      <c r="EJ107" s="2">
        <v>2</v>
      </c>
      <c r="EK107" s="2">
        <v>2</v>
      </c>
      <c r="EL107" s="2">
        <v>3</v>
      </c>
      <c r="EM107" s="2">
        <v>2</v>
      </c>
      <c r="EN107" s="2">
        <v>2</v>
      </c>
      <c r="EO107" s="2">
        <v>3</v>
      </c>
      <c r="EP107" s="2">
        <v>2</v>
      </c>
      <c r="EQ107" s="2">
        <v>5</v>
      </c>
      <c r="ER107" s="2">
        <v>2</v>
      </c>
      <c r="ES107" s="2">
        <v>3</v>
      </c>
      <c r="ET107" s="2">
        <v>4</v>
      </c>
      <c r="EU107" s="2">
        <v>5</v>
      </c>
      <c r="EV107" s="2">
        <v>5</v>
      </c>
      <c r="EW107" s="2">
        <v>3</v>
      </c>
      <c r="EX107" s="2">
        <v>3</v>
      </c>
      <c r="EY107" s="2">
        <v>3</v>
      </c>
      <c r="EZ107" s="2">
        <v>4</v>
      </c>
      <c r="FA107" s="2">
        <v>4</v>
      </c>
      <c r="FB107" s="2">
        <v>7</v>
      </c>
      <c r="FC107" s="2">
        <v>3</v>
      </c>
      <c r="FD107" s="2">
        <v>4</v>
      </c>
      <c r="FE107" s="2">
        <v>2</v>
      </c>
      <c r="FF107" s="2">
        <v>3</v>
      </c>
      <c r="FG107" s="2">
        <v>2</v>
      </c>
      <c r="FH107" s="2">
        <v>4</v>
      </c>
      <c r="FI107" s="2">
        <v>2</v>
      </c>
      <c r="FJ107" s="2">
        <v>4</v>
      </c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</row>
    <row r="108" spans="1:200" x14ac:dyDescent="0.25">
      <c r="A108" s="2" t="s">
        <v>947</v>
      </c>
      <c r="B108" s="2" t="s">
        <v>577</v>
      </c>
      <c r="C108" s="2" t="s">
        <v>944</v>
      </c>
      <c r="D108" s="2">
        <v>9</v>
      </c>
      <c r="E108" s="2">
        <v>0</v>
      </c>
      <c r="F108" s="2">
        <v>5</v>
      </c>
      <c r="G108" s="2">
        <v>4</v>
      </c>
      <c r="H108" s="2">
        <v>9</v>
      </c>
      <c r="I108" s="2">
        <v>9</v>
      </c>
      <c r="J108" s="2">
        <v>57</v>
      </c>
      <c r="K108" s="2">
        <v>69</v>
      </c>
      <c r="L108" s="2">
        <v>0</v>
      </c>
      <c r="M108" s="2">
        <v>0</v>
      </c>
      <c r="N108" s="2">
        <v>0</v>
      </c>
      <c r="O108" s="2">
        <v>126</v>
      </c>
      <c r="P108" s="2">
        <v>126</v>
      </c>
      <c r="Q108" s="2">
        <v>126</v>
      </c>
      <c r="R108" s="2">
        <v>126</v>
      </c>
      <c r="S108" s="2">
        <v>57</v>
      </c>
      <c r="T108" s="2">
        <v>-0.63157894736842124</v>
      </c>
      <c r="U108" s="2">
        <v>0</v>
      </c>
      <c r="V108" s="2" t="e">
        <v>#DIV/0!</v>
      </c>
      <c r="W108" s="2">
        <v>0</v>
      </c>
      <c r="X108" s="2" t="e">
        <v>#DIV/0!</v>
      </c>
      <c r="Y108" s="2">
        <v>6</v>
      </c>
      <c r="Z108" s="2">
        <v>2</v>
      </c>
      <c r="AA108" s="2">
        <v>3</v>
      </c>
      <c r="AB108" s="2">
        <v>7</v>
      </c>
      <c r="AG108" s="2">
        <v>3</v>
      </c>
      <c r="AH108" s="2">
        <v>15</v>
      </c>
      <c r="AI108" s="2">
        <v>15</v>
      </c>
      <c r="AJ108" s="2">
        <v>15</v>
      </c>
      <c r="AK108" s="2">
        <v>15</v>
      </c>
      <c r="AL108" s="2">
        <v>18</v>
      </c>
      <c r="AM108" s="2">
        <v>924.56</v>
      </c>
      <c r="AN108" s="2">
        <v>817.61900000000003</v>
      </c>
      <c r="AO108" s="2">
        <v>106.94099999999992</v>
      </c>
      <c r="AP108" s="2">
        <v>126.00108</v>
      </c>
      <c r="AQ108" s="65">
        <v>2</v>
      </c>
      <c r="AR108" s="65">
        <v>2</v>
      </c>
      <c r="AS108" s="65">
        <v>2</v>
      </c>
      <c r="AT108" s="65">
        <v>2</v>
      </c>
      <c r="AU108" s="65">
        <v>2</v>
      </c>
      <c r="AV108" s="65">
        <v>2</v>
      </c>
      <c r="AW108" s="65">
        <v>2</v>
      </c>
      <c r="AX108" s="65">
        <v>2</v>
      </c>
      <c r="AY108" s="65">
        <v>2</v>
      </c>
      <c r="AZ108" s="65">
        <v>2</v>
      </c>
      <c r="BA108" s="65">
        <v>2</v>
      </c>
      <c r="BB108" s="65">
        <v>2</v>
      </c>
      <c r="BC108" s="65">
        <v>2</v>
      </c>
      <c r="BD108" s="65">
        <v>2</v>
      </c>
      <c r="BE108" s="65">
        <v>2</v>
      </c>
      <c r="BF108" s="65">
        <v>2</v>
      </c>
      <c r="BG108" s="65">
        <v>2</v>
      </c>
      <c r="BH108" s="65">
        <v>2</v>
      </c>
      <c r="BI108" s="65">
        <v>2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1</v>
      </c>
      <c r="BS108" s="65">
        <v>1</v>
      </c>
      <c r="BT108" s="65">
        <v>1</v>
      </c>
      <c r="BU108" s="65">
        <v>1</v>
      </c>
      <c r="BV108" s="65">
        <v>0</v>
      </c>
      <c r="BW108" s="65">
        <v>0</v>
      </c>
      <c r="BX108" s="65">
        <v>0</v>
      </c>
      <c r="BY108" s="65">
        <v>0</v>
      </c>
      <c r="BZ108" s="65">
        <v>0</v>
      </c>
      <c r="CA108" s="65">
        <v>0</v>
      </c>
      <c r="CB108" s="65">
        <v>0</v>
      </c>
      <c r="CC108" s="65">
        <v>0</v>
      </c>
      <c r="CD108" s="65">
        <v>2</v>
      </c>
      <c r="CE108" s="65">
        <v>1</v>
      </c>
      <c r="CF108" s="65">
        <v>1</v>
      </c>
      <c r="CG108" s="65">
        <v>0</v>
      </c>
      <c r="CH108" s="65">
        <v>0</v>
      </c>
      <c r="CI108" s="65">
        <v>1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5</v>
      </c>
      <c r="CT108" s="65">
        <v>5</v>
      </c>
      <c r="CU108" s="65">
        <v>7</v>
      </c>
      <c r="CV108" s="65">
        <v>5</v>
      </c>
      <c r="CW108" s="65">
        <v>8</v>
      </c>
      <c r="CX108" s="65">
        <v>7</v>
      </c>
      <c r="CY108" s="65">
        <v>7</v>
      </c>
      <c r="CZ108" s="65">
        <v>7</v>
      </c>
      <c r="DA108" s="65">
        <v>8</v>
      </c>
      <c r="DB108" s="65">
        <v>8</v>
      </c>
      <c r="DC108" s="65">
        <v>10</v>
      </c>
      <c r="DD108" s="65">
        <v>9</v>
      </c>
      <c r="DE108" s="65">
        <v>4</v>
      </c>
      <c r="DF108" s="65">
        <v>6</v>
      </c>
      <c r="DG108" s="65">
        <v>5</v>
      </c>
      <c r="DH108" s="65">
        <v>6</v>
      </c>
      <c r="DI108" s="65">
        <v>6</v>
      </c>
      <c r="DJ108" s="65">
        <v>7</v>
      </c>
      <c r="DK108" s="65">
        <v>6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701</v>
      </c>
      <c r="DU108" s="2" t="s">
        <v>488</v>
      </c>
      <c r="DV108" s="2">
        <v>15</v>
      </c>
      <c r="DW108" s="2" t="s">
        <v>1</v>
      </c>
      <c r="DX108" s="2">
        <v>15</v>
      </c>
      <c r="DY108" s="2">
        <v>2</v>
      </c>
      <c r="DZ108" s="2">
        <v>3</v>
      </c>
      <c r="EA108" s="2">
        <v>2</v>
      </c>
      <c r="EB108" s="2">
        <v>2</v>
      </c>
      <c r="EC108" s="2">
        <v>4</v>
      </c>
      <c r="ED108" s="2">
        <v>3</v>
      </c>
      <c r="EE108" s="2">
        <v>3</v>
      </c>
      <c r="EF108" s="2">
        <v>4</v>
      </c>
      <c r="EG108" s="2">
        <v>4</v>
      </c>
      <c r="EH108" s="2">
        <v>4</v>
      </c>
      <c r="EI108" s="2">
        <v>4</v>
      </c>
      <c r="EJ108" s="2">
        <v>4</v>
      </c>
      <c r="EK108" s="2">
        <v>2</v>
      </c>
      <c r="EL108" s="2">
        <v>2</v>
      </c>
      <c r="EM108" s="2">
        <v>3</v>
      </c>
      <c r="EN108" s="2">
        <v>3</v>
      </c>
      <c r="EO108" s="2">
        <v>3</v>
      </c>
      <c r="EP108" s="2">
        <v>2</v>
      </c>
      <c r="EQ108" s="2">
        <v>3</v>
      </c>
      <c r="ER108" s="2">
        <v>3</v>
      </c>
      <c r="ES108" s="2">
        <v>2</v>
      </c>
      <c r="ET108" s="2">
        <v>5</v>
      </c>
      <c r="EU108" s="2">
        <v>3</v>
      </c>
      <c r="EV108" s="2">
        <v>4</v>
      </c>
      <c r="EW108" s="2">
        <v>4</v>
      </c>
      <c r="EX108" s="2">
        <v>4</v>
      </c>
      <c r="EY108" s="2">
        <v>3</v>
      </c>
      <c r="EZ108" s="2">
        <v>4</v>
      </c>
      <c r="FA108" s="2">
        <v>4</v>
      </c>
      <c r="FB108" s="2">
        <v>6</v>
      </c>
      <c r="FC108" s="2">
        <v>5</v>
      </c>
      <c r="FD108" s="2">
        <v>2</v>
      </c>
      <c r="FE108" s="2">
        <v>4</v>
      </c>
      <c r="FF108" s="2">
        <v>2</v>
      </c>
      <c r="FG108" s="2">
        <v>3</v>
      </c>
      <c r="FH108" s="2">
        <v>3</v>
      </c>
      <c r="FI108" s="2">
        <v>5</v>
      </c>
      <c r="FJ108" s="2">
        <v>3</v>
      </c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</row>
    <row r="109" spans="1:200" x14ac:dyDescent="0.25">
      <c r="A109" s="2" t="s">
        <v>948</v>
      </c>
      <c r="B109" s="2" t="s">
        <v>418</v>
      </c>
      <c r="C109" s="2" t="s">
        <v>948</v>
      </c>
      <c r="D109" s="2">
        <v>8</v>
      </c>
      <c r="E109" s="2">
        <v>0</v>
      </c>
      <c r="F109" s="2">
        <v>11</v>
      </c>
      <c r="G109" s="2">
        <v>1</v>
      </c>
      <c r="H109" s="2">
        <v>8</v>
      </c>
      <c r="I109" s="2">
        <v>12</v>
      </c>
      <c r="J109" s="2">
        <v>63</v>
      </c>
      <c r="K109" s="2">
        <v>64</v>
      </c>
      <c r="L109" s="2">
        <v>0</v>
      </c>
      <c r="M109" s="2">
        <v>0</v>
      </c>
      <c r="N109" s="2">
        <v>0</v>
      </c>
      <c r="O109" s="2">
        <v>127</v>
      </c>
      <c r="P109" s="2">
        <v>127</v>
      </c>
      <c r="Q109" s="2">
        <v>127</v>
      </c>
      <c r="R109" s="2">
        <v>127</v>
      </c>
      <c r="S109" s="2">
        <v>63</v>
      </c>
      <c r="T109" s="2">
        <v>-5.2631578947368141E-2</v>
      </c>
      <c r="U109" s="2">
        <v>0</v>
      </c>
      <c r="V109" s="2" t="e">
        <v>#DIV/0!</v>
      </c>
      <c r="W109" s="2">
        <v>0</v>
      </c>
      <c r="X109" s="2" t="e">
        <v>#DIV/0!</v>
      </c>
      <c r="Y109" s="2">
        <v>4</v>
      </c>
      <c r="Z109" s="2">
        <v>6</v>
      </c>
      <c r="AA109" s="2">
        <v>4</v>
      </c>
      <c r="AB109" s="2">
        <v>6</v>
      </c>
      <c r="AG109" s="2">
        <v>18</v>
      </c>
      <c r="AH109" s="2">
        <v>19</v>
      </c>
      <c r="AI109" s="2">
        <v>19</v>
      </c>
      <c r="AJ109" s="2">
        <v>19</v>
      </c>
      <c r="AK109" s="2">
        <v>19</v>
      </c>
      <c r="AL109" s="2">
        <v>19</v>
      </c>
      <c r="AM109" s="2">
        <v>915.96699999999998</v>
      </c>
      <c r="AN109" s="2">
        <v>916.51900000000001</v>
      </c>
      <c r="AO109" s="2">
        <v>-0.55200000000002092</v>
      </c>
      <c r="AP109" s="2">
        <v>127.00109</v>
      </c>
      <c r="AQ109" s="65">
        <v>2</v>
      </c>
      <c r="AR109" s="65">
        <v>2</v>
      </c>
      <c r="AS109" s="65">
        <v>2</v>
      </c>
      <c r="AT109" s="65">
        <v>2</v>
      </c>
      <c r="AU109" s="65">
        <v>2</v>
      </c>
      <c r="AV109" s="65">
        <v>2</v>
      </c>
      <c r="AW109" s="65">
        <v>2</v>
      </c>
      <c r="AX109" s="65">
        <v>2</v>
      </c>
      <c r="AY109" s="65">
        <v>2</v>
      </c>
      <c r="AZ109" s="65">
        <v>2</v>
      </c>
      <c r="BA109" s="65">
        <v>2</v>
      </c>
      <c r="BB109" s="65">
        <v>2</v>
      </c>
      <c r="BC109" s="65">
        <v>2</v>
      </c>
      <c r="BD109" s="65">
        <v>2</v>
      </c>
      <c r="BE109" s="65">
        <v>2</v>
      </c>
      <c r="BF109" s="65">
        <v>2</v>
      </c>
      <c r="BG109" s="65">
        <v>2</v>
      </c>
      <c r="BH109" s="65">
        <v>2</v>
      </c>
      <c r="BI109" s="65">
        <v>2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1</v>
      </c>
      <c r="BS109" s="65">
        <v>0</v>
      </c>
      <c r="BT109" s="65">
        <v>0</v>
      </c>
      <c r="BU109" s="65">
        <v>1</v>
      </c>
      <c r="BV109" s="65">
        <v>0</v>
      </c>
      <c r="BW109" s="65">
        <v>0</v>
      </c>
      <c r="BX109" s="65">
        <v>0</v>
      </c>
      <c r="BY109" s="65">
        <v>1</v>
      </c>
      <c r="BZ109" s="65">
        <v>0</v>
      </c>
      <c r="CA109" s="65">
        <v>1</v>
      </c>
      <c r="CB109" s="65">
        <v>0</v>
      </c>
      <c r="CC109" s="65">
        <v>0</v>
      </c>
      <c r="CD109" s="65">
        <v>0</v>
      </c>
      <c r="CE109" s="65">
        <v>0</v>
      </c>
      <c r="CF109" s="65">
        <v>1</v>
      </c>
      <c r="CG109" s="65">
        <v>1</v>
      </c>
      <c r="CH109" s="65">
        <v>1</v>
      </c>
      <c r="CI109" s="65">
        <v>1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5</v>
      </c>
      <c r="CT109" s="65">
        <v>6</v>
      </c>
      <c r="CU109" s="65">
        <v>6</v>
      </c>
      <c r="CV109" s="65">
        <v>6</v>
      </c>
      <c r="CW109" s="65">
        <v>10</v>
      </c>
      <c r="CX109" s="65">
        <v>7</v>
      </c>
      <c r="CY109" s="65">
        <v>6</v>
      </c>
      <c r="CZ109" s="65">
        <v>5</v>
      </c>
      <c r="DA109" s="65">
        <v>9</v>
      </c>
      <c r="DB109" s="65">
        <v>7</v>
      </c>
      <c r="DC109" s="65">
        <v>9</v>
      </c>
      <c r="DD109" s="65">
        <v>8</v>
      </c>
      <c r="DE109" s="65">
        <v>6</v>
      </c>
      <c r="DF109" s="65">
        <v>7</v>
      </c>
      <c r="DG109" s="65">
        <v>5</v>
      </c>
      <c r="DH109" s="65">
        <v>5</v>
      </c>
      <c r="DI109" s="65">
        <v>6</v>
      </c>
      <c r="DJ109" s="65">
        <v>7</v>
      </c>
      <c r="DK109" s="65">
        <v>7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341</v>
      </c>
      <c r="DU109" s="2" t="s">
        <v>488</v>
      </c>
      <c r="DV109" s="2">
        <v>19</v>
      </c>
      <c r="DW109" s="2" t="s">
        <v>1</v>
      </c>
      <c r="DX109" s="2">
        <v>19</v>
      </c>
      <c r="DY109" s="2">
        <v>3</v>
      </c>
      <c r="DZ109" s="2">
        <v>3</v>
      </c>
      <c r="EA109" s="2">
        <v>3</v>
      </c>
      <c r="EB109" s="2">
        <v>4</v>
      </c>
      <c r="EC109" s="2">
        <v>5</v>
      </c>
      <c r="ED109" s="2">
        <v>3</v>
      </c>
      <c r="EE109" s="2">
        <v>3</v>
      </c>
      <c r="EF109" s="2">
        <v>2</v>
      </c>
      <c r="EG109" s="2">
        <v>5</v>
      </c>
      <c r="EH109" s="2">
        <v>4</v>
      </c>
      <c r="EI109" s="2">
        <v>4</v>
      </c>
      <c r="EJ109" s="2">
        <v>4</v>
      </c>
      <c r="EK109" s="2">
        <v>3</v>
      </c>
      <c r="EL109" s="2">
        <v>4</v>
      </c>
      <c r="EM109" s="2">
        <v>2</v>
      </c>
      <c r="EN109" s="2">
        <v>3</v>
      </c>
      <c r="EO109" s="2">
        <v>2</v>
      </c>
      <c r="EP109" s="2">
        <v>2</v>
      </c>
      <c r="EQ109" s="2">
        <v>4</v>
      </c>
      <c r="ER109" s="2">
        <v>2</v>
      </c>
      <c r="ES109" s="2">
        <v>3</v>
      </c>
      <c r="ET109" s="2">
        <v>3</v>
      </c>
      <c r="EU109" s="2">
        <v>2</v>
      </c>
      <c r="EV109" s="2">
        <v>5</v>
      </c>
      <c r="EW109" s="2">
        <v>4</v>
      </c>
      <c r="EX109" s="2">
        <v>3</v>
      </c>
      <c r="EY109" s="2">
        <v>3</v>
      </c>
      <c r="EZ109" s="2">
        <v>4</v>
      </c>
      <c r="FA109" s="2">
        <v>3</v>
      </c>
      <c r="FB109" s="2">
        <v>5</v>
      </c>
      <c r="FC109" s="2">
        <v>4</v>
      </c>
      <c r="FD109" s="2">
        <v>3</v>
      </c>
      <c r="FE109" s="2">
        <v>3</v>
      </c>
      <c r="FF109" s="2">
        <v>3</v>
      </c>
      <c r="FG109" s="2">
        <v>2</v>
      </c>
      <c r="FH109" s="2">
        <v>4</v>
      </c>
      <c r="FI109" s="2">
        <v>5</v>
      </c>
      <c r="FJ109" s="2">
        <v>3</v>
      </c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</row>
    <row r="110" spans="1:200" x14ac:dyDescent="0.25">
      <c r="A110" s="2" t="s">
        <v>949</v>
      </c>
      <c r="B110" s="2" t="s">
        <v>341</v>
      </c>
      <c r="C110" s="2" t="s">
        <v>949</v>
      </c>
      <c r="D110" s="2">
        <v>4</v>
      </c>
      <c r="E110" s="2">
        <v>0</v>
      </c>
      <c r="F110" s="2">
        <v>8</v>
      </c>
      <c r="G110" s="2">
        <v>1</v>
      </c>
      <c r="H110" s="2">
        <v>4</v>
      </c>
      <c r="I110" s="2">
        <v>9</v>
      </c>
      <c r="J110" s="2">
        <v>65</v>
      </c>
      <c r="K110" s="2">
        <v>63</v>
      </c>
      <c r="L110" s="2">
        <v>0</v>
      </c>
      <c r="M110" s="2">
        <v>0</v>
      </c>
      <c r="N110" s="2">
        <v>0</v>
      </c>
      <c r="O110" s="2">
        <v>128</v>
      </c>
      <c r="P110" s="2">
        <v>128</v>
      </c>
      <c r="Q110" s="2">
        <v>128</v>
      </c>
      <c r="R110" s="2">
        <v>128</v>
      </c>
      <c r="S110" s="2">
        <v>65</v>
      </c>
      <c r="T110" s="2">
        <v>0.10526315789473673</v>
      </c>
      <c r="U110" s="2">
        <v>0</v>
      </c>
      <c r="V110" s="2" t="e">
        <v>#DIV/0!</v>
      </c>
      <c r="W110" s="2">
        <v>0</v>
      </c>
      <c r="X110" s="2" t="e">
        <v>#DIV/0!</v>
      </c>
      <c r="Y110" s="2">
        <v>0</v>
      </c>
      <c r="Z110" s="2">
        <v>4</v>
      </c>
      <c r="AA110" s="2">
        <v>4</v>
      </c>
      <c r="AB110" s="2">
        <v>5</v>
      </c>
      <c r="AG110" s="2">
        <v>29</v>
      </c>
      <c r="AH110" s="2">
        <v>20</v>
      </c>
      <c r="AI110" s="2">
        <v>20</v>
      </c>
      <c r="AJ110" s="2">
        <v>20</v>
      </c>
      <c r="AK110" s="2">
        <v>20</v>
      </c>
      <c r="AL110" s="2">
        <v>20</v>
      </c>
      <c r="AM110" s="2">
        <v>907.375</v>
      </c>
      <c r="AN110" s="2">
        <v>834.09299999999996</v>
      </c>
      <c r="AO110" s="2">
        <v>73.282000000000039</v>
      </c>
      <c r="AP110" s="2">
        <v>128.00110000000001</v>
      </c>
      <c r="AQ110" s="65">
        <v>2</v>
      </c>
      <c r="AR110" s="65">
        <v>2</v>
      </c>
      <c r="AS110" s="65">
        <v>2</v>
      </c>
      <c r="AT110" s="65">
        <v>2</v>
      </c>
      <c r="AU110" s="65">
        <v>2</v>
      </c>
      <c r="AV110" s="65">
        <v>2</v>
      </c>
      <c r="AW110" s="65">
        <v>2</v>
      </c>
      <c r="AX110" s="65">
        <v>2</v>
      </c>
      <c r="AY110" s="65">
        <v>2</v>
      </c>
      <c r="AZ110" s="65">
        <v>2</v>
      </c>
      <c r="BA110" s="65">
        <v>2</v>
      </c>
      <c r="BB110" s="65">
        <v>2</v>
      </c>
      <c r="BC110" s="65">
        <v>2</v>
      </c>
      <c r="BD110" s="65">
        <v>2</v>
      </c>
      <c r="BE110" s="65">
        <v>2</v>
      </c>
      <c r="BF110" s="65">
        <v>2</v>
      </c>
      <c r="BG110" s="65">
        <v>2</v>
      </c>
      <c r="BH110" s="65">
        <v>2</v>
      </c>
      <c r="BI110" s="65">
        <v>2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0</v>
      </c>
      <c r="BT110" s="65">
        <v>0</v>
      </c>
      <c r="BU110" s="65">
        <v>0</v>
      </c>
      <c r="BV110" s="65">
        <v>1</v>
      </c>
      <c r="BW110" s="65">
        <v>0</v>
      </c>
      <c r="BX110" s="65">
        <v>0</v>
      </c>
      <c r="BY110" s="65">
        <v>0</v>
      </c>
      <c r="BZ110" s="65">
        <v>0</v>
      </c>
      <c r="CA110" s="65">
        <v>0</v>
      </c>
      <c r="CB110" s="65">
        <v>0</v>
      </c>
      <c r="CC110" s="65">
        <v>1</v>
      </c>
      <c r="CD110" s="65">
        <v>0</v>
      </c>
      <c r="CE110" s="65">
        <v>0</v>
      </c>
      <c r="CF110" s="65">
        <v>0</v>
      </c>
      <c r="CG110" s="65">
        <v>1</v>
      </c>
      <c r="CH110" s="65">
        <v>0</v>
      </c>
      <c r="CI110" s="65">
        <v>1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6</v>
      </c>
      <c r="CT110" s="65">
        <v>6</v>
      </c>
      <c r="CU110" s="65">
        <v>6</v>
      </c>
      <c r="CV110" s="65">
        <v>8</v>
      </c>
      <c r="CW110" s="65">
        <v>7</v>
      </c>
      <c r="CX110" s="65">
        <v>7</v>
      </c>
      <c r="CY110" s="65">
        <v>6</v>
      </c>
      <c r="CZ110" s="65">
        <v>6</v>
      </c>
      <c r="DA110" s="65">
        <v>9</v>
      </c>
      <c r="DB110" s="65">
        <v>8</v>
      </c>
      <c r="DC110" s="65">
        <v>11</v>
      </c>
      <c r="DD110" s="65">
        <v>6</v>
      </c>
      <c r="DE110" s="65">
        <v>6</v>
      </c>
      <c r="DF110" s="65">
        <v>6</v>
      </c>
      <c r="DG110" s="65">
        <v>6</v>
      </c>
      <c r="DH110" s="65">
        <v>5</v>
      </c>
      <c r="DI110" s="65">
        <v>6</v>
      </c>
      <c r="DJ110" s="65">
        <v>6</v>
      </c>
      <c r="DK110" s="65">
        <v>7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702</v>
      </c>
      <c r="DU110" s="2" t="s">
        <v>488</v>
      </c>
      <c r="DV110" s="2">
        <v>20</v>
      </c>
      <c r="DW110" s="2" t="s">
        <v>1</v>
      </c>
      <c r="DX110" s="2">
        <v>20</v>
      </c>
      <c r="DY110" s="2">
        <v>3</v>
      </c>
      <c r="DZ110" s="2">
        <v>3</v>
      </c>
      <c r="EA110" s="2">
        <v>3</v>
      </c>
      <c r="EB110" s="2">
        <v>4</v>
      </c>
      <c r="EC110" s="2">
        <v>4</v>
      </c>
      <c r="ED110" s="2">
        <v>3</v>
      </c>
      <c r="EE110" s="2">
        <v>3</v>
      </c>
      <c r="EF110" s="2">
        <v>3</v>
      </c>
      <c r="EG110" s="2">
        <v>4</v>
      </c>
      <c r="EH110" s="2">
        <v>4</v>
      </c>
      <c r="EI110" s="2">
        <v>5</v>
      </c>
      <c r="EJ110" s="2">
        <v>4</v>
      </c>
      <c r="EK110" s="2">
        <v>3</v>
      </c>
      <c r="EL110" s="2">
        <v>3</v>
      </c>
      <c r="EM110" s="2">
        <v>3</v>
      </c>
      <c r="EN110" s="2">
        <v>3</v>
      </c>
      <c r="EO110" s="2">
        <v>3</v>
      </c>
      <c r="EP110" s="2">
        <v>4</v>
      </c>
      <c r="EQ110" s="2">
        <v>3</v>
      </c>
      <c r="ER110" s="2">
        <v>3</v>
      </c>
      <c r="ES110" s="2">
        <v>3</v>
      </c>
      <c r="ET110" s="2">
        <v>3</v>
      </c>
      <c r="EU110" s="2">
        <v>4</v>
      </c>
      <c r="EV110" s="2">
        <v>3</v>
      </c>
      <c r="EW110" s="2">
        <v>4</v>
      </c>
      <c r="EX110" s="2">
        <v>3</v>
      </c>
      <c r="EY110" s="2">
        <v>3</v>
      </c>
      <c r="EZ110" s="2">
        <v>5</v>
      </c>
      <c r="FA110" s="2">
        <v>4</v>
      </c>
      <c r="FB110" s="2">
        <v>6</v>
      </c>
      <c r="FC110" s="2">
        <v>2</v>
      </c>
      <c r="FD110" s="2">
        <v>3</v>
      </c>
      <c r="FE110" s="2">
        <v>3</v>
      </c>
      <c r="FF110" s="2">
        <v>3</v>
      </c>
      <c r="FG110" s="2">
        <v>2</v>
      </c>
      <c r="FH110" s="2">
        <v>3</v>
      </c>
      <c r="FI110" s="2">
        <v>2</v>
      </c>
      <c r="FJ110" s="2">
        <v>4</v>
      </c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</row>
    <row r="111" spans="1:200" x14ac:dyDescent="0.25">
      <c r="A111" s="2" t="s">
        <v>950</v>
      </c>
      <c r="B111" s="2" t="s">
        <v>348</v>
      </c>
      <c r="C111" s="2" t="s">
        <v>949</v>
      </c>
      <c r="D111" s="2">
        <v>8</v>
      </c>
      <c r="E111" s="2">
        <v>0</v>
      </c>
      <c r="F111" s="2">
        <v>10</v>
      </c>
      <c r="G111" s="2">
        <v>2</v>
      </c>
      <c r="H111" s="2">
        <v>8</v>
      </c>
      <c r="I111" s="2">
        <v>12</v>
      </c>
      <c r="J111" s="2">
        <v>64</v>
      </c>
      <c r="K111" s="2">
        <v>64</v>
      </c>
      <c r="L111" s="2">
        <v>0</v>
      </c>
      <c r="M111" s="2">
        <v>0</v>
      </c>
      <c r="N111" s="2">
        <v>0</v>
      </c>
      <c r="O111" s="2">
        <v>128</v>
      </c>
      <c r="P111" s="2">
        <v>128</v>
      </c>
      <c r="Q111" s="2">
        <v>128</v>
      </c>
      <c r="R111" s="2">
        <v>128</v>
      </c>
      <c r="S111" s="2">
        <v>64</v>
      </c>
      <c r="T111" s="2">
        <v>0</v>
      </c>
      <c r="U111" s="2">
        <v>0</v>
      </c>
      <c r="V111" s="2" t="e">
        <v>#DIV/0!</v>
      </c>
      <c r="W111" s="2">
        <v>0</v>
      </c>
      <c r="X111" s="2" t="e">
        <v>#DIV/0!</v>
      </c>
      <c r="Y111" s="2">
        <v>4</v>
      </c>
      <c r="Z111" s="2">
        <v>6</v>
      </c>
      <c r="AA111" s="2">
        <v>4</v>
      </c>
      <c r="AB111" s="2">
        <v>6</v>
      </c>
      <c r="AG111" s="2">
        <v>25</v>
      </c>
      <c r="AH111" s="2">
        <v>20</v>
      </c>
      <c r="AI111" s="2">
        <v>20</v>
      </c>
      <c r="AJ111" s="2">
        <v>20</v>
      </c>
      <c r="AK111" s="2">
        <v>20</v>
      </c>
      <c r="AL111" s="2">
        <v>21</v>
      </c>
      <c r="AM111" s="2">
        <v>907.375</v>
      </c>
      <c r="AN111" s="2">
        <v>947.26900000000001</v>
      </c>
      <c r="AO111" s="2">
        <v>-39.894000000000005</v>
      </c>
      <c r="AP111" s="2">
        <v>128.00111000000001</v>
      </c>
      <c r="AQ111" s="65">
        <v>2</v>
      </c>
      <c r="AR111" s="65">
        <v>2</v>
      </c>
      <c r="AS111" s="65">
        <v>2</v>
      </c>
      <c r="AT111" s="65">
        <v>2</v>
      </c>
      <c r="AU111" s="65">
        <v>2</v>
      </c>
      <c r="AV111" s="65">
        <v>2</v>
      </c>
      <c r="AW111" s="65">
        <v>2</v>
      </c>
      <c r="AX111" s="65">
        <v>2</v>
      </c>
      <c r="AY111" s="65">
        <v>2</v>
      </c>
      <c r="AZ111" s="65">
        <v>2</v>
      </c>
      <c r="BA111" s="65">
        <v>2</v>
      </c>
      <c r="BB111" s="65">
        <v>2</v>
      </c>
      <c r="BC111" s="65">
        <v>2</v>
      </c>
      <c r="BD111" s="65">
        <v>2</v>
      </c>
      <c r="BE111" s="65">
        <v>2</v>
      </c>
      <c r="BF111" s="65">
        <v>2</v>
      </c>
      <c r="BG111" s="65">
        <v>2</v>
      </c>
      <c r="BH111" s="65">
        <v>2</v>
      </c>
      <c r="BI111" s="65">
        <v>2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0</v>
      </c>
      <c r="BT111" s="65">
        <v>0</v>
      </c>
      <c r="BU111" s="65">
        <v>0</v>
      </c>
      <c r="BV111" s="65">
        <v>0</v>
      </c>
      <c r="BW111" s="65">
        <v>1</v>
      </c>
      <c r="BX111" s="65">
        <v>1</v>
      </c>
      <c r="BY111" s="65">
        <v>0</v>
      </c>
      <c r="BZ111" s="65">
        <v>0</v>
      </c>
      <c r="CA111" s="65">
        <v>0</v>
      </c>
      <c r="CB111" s="65">
        <v>0</v>
      </c>
      <c r="CC111" s="65">
        <v>0</v>
      </c>
      <c r="CD111" s="65">
        <v>0</v>
      </c>
      <c r="CE111" s="65">
        <v>1</v>
      </c>
      <c r="CF111" s="65">
        <v>0</v>
      </c>
      <c r="CG111" s="65">
        <v>2</v>
      </c>
      <c r="CH111" s="65">
        <v>1</v>
      </c>
      <c r="CI111" s="65">
        <v>2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9</v>
      </c>
      <c r="CT111" s="65">
        <v>7</v>
      </c>
      <c r="CU111" s="65">
        <v>6</v>
      </c>
      <c r="CV111" s="65">
        <v>7</v>
      </c>
      <c r="CW111" s="65">
        <v>9</v>
      </c>
      <c r="CX111" s="65">
        <v>5</v>
      </c>
      <c r="CY111" s="65">
        <v>5</v>
      </c>
      <c r="CZ111" s="65">
        <v>7</v>
      </c>
      <c r="DA111" s="65">
        <v>9</v>
      </c>
      <c r="DB111" s="65">
        <v>8</v>
      </c>
      <c r="DC111" s="65">
        <v>11</v>
      </c>
      <c r="DD111" s="65">
        <v>7</v>
      </c>
      <c r="DE111" s="65">
        <v>7</v>
      </c>
      <c r="DF111" s="65">
        <v>5</v>
      </c>
      <c r="DG111" s="65">
        <v>6</v>
      </c>
      <c r="DH111" s="65">
        <v>4</v>
      </c>
      <c r="DI111" s="65">
        <v>5</v>
      </c>
      <c r="DJ111" s="65">
        <v>4</v>
      </c>
      <c r="DK111" s="65">
        <v>7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11</v>
      </c>
      <c r="DU111" s="2" t="s">
        <v>488</v>
      </c>
      <c r="DV111" s="2">
        <v>20</v>
      </c>
      <c r="DW111" s="2" t="s">
        <v>1</v>
      </c>
      <c r="DX111" s="2">
        <v>20</v>
      </c>
      <c r="DY111" s="2">
        <v>5</v>
      </c>
      <c r="DZ111" s="2">
        <v>4</v>
      </c>
      <c r="EA111" s="2">
        <v>3</v>
      </c>
      <c r="EB111" s="2">
        <v>3</v>
      </c>
      <c r="EC111" s="2">
        <v>5</v>
      </c>
      <c r="ED111" s="2">
        <v>2</v>
      </c>
      <c r="EE111" s="2">
        <v>3</v>
      </c>
      <c r="EF111" s="2">
        <v>3</v>
      </c>
      <c r="EG111" s="2">
        <v>5</v>
      </c>
      <c r="EH111" s="2">
        <v>4</v>
      </c>
      <c r="EI111" s="2">
        <v>5</v>
      </c>
      <c r="EJ111" s="2">
        <v>4</v>
      </c>
      <c r="EK111" s="2">
        <v>3</v>
      </c>
      <c r="EL111" s="2">
        <v>3</v>
      </c>
      <c r="EM111" s="2">
        <v>3</v>
      </c>
      <c r="EN111" s="2">
        <v>2</v>
      </c>
      <c r="EO111" s="2">
        <v>2</v>
      </c>
      <c r="EP111" s="2">
        <v>2</v>
      </c>
      <c r="EQ111" s="2">
        <v>3</v>
      </c>
      <c r="ER111" s="2">
        <v>4</v>
      </c>
      <c r="ES111" s="2">
        <v>3</v>
      </c>
      <c r="ET111" s="2">
        <v>3</v>
      </c>
      <c r="EU111" s="2">
        <v>4</v>
      </c>
      <c r="EV111" s="2">
        <v>4</v>
      </c>
      <c r="EW111" s="2">
        <v>3</v>
      </c>
      <c r="EX111" s="2">
        <v>2</v>
      </c>
      <c r="EY111" s="2">
        <v>4</v>
      </c>
      <c r="EZ111" s="2">
        <v>4</v>
      </c>
      <c r="FA111" s="2">
        <v>4</v>
      </c>
      <c r="FB111" s="2">
        <v>6</v>
      </c>
      <c r="FC111" s="2">
        <v>3</v>
      </c>
      <c r="FD111" s="2">
        <v>4</v>
      </c>
      <c r="FE111" s="2">
        <v>2</v>
      </c>
      <c r="FF111" s="2">
        <v>3</v>
      </c>
      <c r="FG111" s="2">
        <v>2</v>
      </c>
      <c r="FH111" s="2">
        <v>3</v>
      </c>
      <c r="FI111" s="2">
        <v>2</v>
      </c>
      <c r="FJ111" s="2">
        <v>4</v>
      </c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</row>
    <row r="112" spans="1:200" x14ac:dyDescent="0.25">
      <c r="A112" s="2" t="s">
        <v>951</v>
      </c>
      <c r="B112" s="2" t="s">
        <v>591</v>
      </c>
      <c r="C112" s="2" t="s">
        <v>949</v>
      </c>
      <c r="D112" s="2">
        <v>7</v>
      </c>
      <c r="E112" s="2">
        <v>0</v>
      </c>
      <c r="F112" s="2">
        <v>8</v>
      </c>
      <c r="G112" s="2">
        <v>2</v>
      </c>
      <c r="H112" s="2">
        <v>7</v>
      </c>
      <c r="I112" s="2">
        <v>10</v>
      </c>
      <c r="J112" s="2">
        <v>63</v>
      </c>
      <c r="K112" s="2">
        <v>65</v>
      </c>
      <c r="L112" s="2">
        <v>0</v>
      </c>
      <c r="M112" s="2">
        <v>0</v>
      </c>
      <c r="N112" s="2">
        <v>0</v>
      </c>
      <c r="O112" s="2">
        <v>128</v>
      </c>
      <c r="P112" s="2">
        <v>128</v>
      </c>
      <c r="Q112" s="2">
        <v>128</v>
      </c>
      <c r="R112" s="2">
        <v>128</v>
      </c>
      <c r="S112" s="2">
        <v>63</v>
      </c>
      <c r="T112" s="2">
        <v>-0.10526315789473673</v>
      </c>
      <c r="U112" s="2">
        <v>0</v>
      </c>
      <c r="V112" s="2" t="e">
        <v>#DIV/0!</v>
      </c>
      <c r="W112" s="2">
        <v>0</v>
      </c>
      <c r="X112" s="2" t="e">
        <v>#DIV/0!</v>
      </c>
      <c r="Y112" s="2">
        <v>3</v>
      </c>
      <c r="Z112" s="2">
        <v>3</v>
      </c>
      <c r="AA112" s="2">
        <v>4</v>
      </c>
      <c r="AB112" s="2">
        <v>7</v>
      </c>
      <c r="AG112" s="2">
        <v>18</v>
      </c>
      <c r="AH112" s="2">
        <v>20</v>
      </c>
      <c r="AI112" s="2">
        <v>20</v>
      </c>
      <c r="AJ112" s="2">
        <v>20</v>
      </c>
      <c r="AK112" s="2">
        <v>20</v>
      </c>
      <c r="AL112" s="2">
        <v>22</v>
      </c>
      <c r="AM112" s="2">
        <v>907.375</v>
      </c>
      <c r="AN112" s="2">
        <v>872.96100000000001</v>
      </c>
      <c r="AO112" s="2">
        <v>34.413999999999987</v>
      </c>
      <c r="AP112" s="2">
        <v>128.00111999999999</v>
      </c>
      <c r="AQ112" s="65">
        <v>2</v>
      </c>
      <c r="AR112" s="65">
        <v>2</v>
      </c>
      <c r="AS112" s="65">
        <v>2</v>
      </c>
      <c r="AT112" s="65">
        <v>2</v>
      </c>
      <c r="AU112" s="65">
        <v>2</v>
      </c>
      <c r="AV112" s="65">
        <v>2</v>
      </c>
      <c r="AW112" s="65">
        <v>2</v>
      </c>
      <c r="AX112" s="65">
        <v>2</v>
      </c>
      <c r="AY112" s="65">
        <v>2</v>
      </c>
      <c r="AZ112" s="65">
        <v>2</v>
      </c>
      <c r="BA112" s="65">
        <v>2</v>
      </c>
      <c r="BB112" s="65">
        <v>2</v>
      </c>
      <c r="BC112" s="65">
        <v>2</v>
      </c>
      <c r="BD112" s="65">
        <v>2</v>
      </c>
      <c r="BE112" s="65">
        <v>2</v>
      </c>
      <c r="BF112" s="65">
        <v>2</v>
      </c>
      <c r="BG112" s="65">
        <v>2</v>
      </c>
      <c r="BH112" s="65">
        <v>2</v>
      </c>
      <c r="BI112" s="65">
        <v>2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0</v>
      </c>
      <c r="BT112" s="65">
        <v>1</v>
      </c>
      <c r="BU112" s="65">
        <v>0</v>
      </c>
      <c r="BV112" s="65">
        <v>0</v>
      </c>
      <c r="BW112" s="65">
        <v>1</v>
      </c>
      <c r="BX112" s="65">
        <v>0</v>
      </c>
      <c r="BY112" s="65">
        <v>0</v>
      </c>
      <c r="BZ112" s="65">
        <v>1</v>
      </c>
      <c r="CA112" s="65">
        <v>1</v>
      </c>
      <c r="CB112" s="65">
        <v>0</v>
      </c>
      <c r="CC112" s="65">
        <v>0</v>
      </c>
      <c r="CD112" s="65">
        <v>0</v>
      </c>
      <c r="CE112" s="65">
        <v>0</v>
      </c>
      <c r="CF112" s="65">
        <v>0</v>
      </c>
      <c r="CG112" s="65">
        <v>2</v>
      </c>
      <c r="CH112" s="65">
        <v>0</v>
      </c>
      <c r="CI112" s="65">
        <v>1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7</v>
      </c>
      <c r="CT112" s="65">
        <v>6</v>
      </c>
      <c r="CU112" s="65">
        <v>5</v>
      </c>
      <c r="CV112" s="65">
        <v>7</v>
      </c>
      <c r="CW112" s="65">
        <v>8</v>
      </c>
      <c r="CX112" s="65">
        <v>5</v>
      </c>
      <c r="CY112" s="65">
        <v>6</v>
      </c>
      <c r="CZ112" s="65">
        <v>6</v>
      </c>
      <c r="DA112" s="65">
        <v>8</v>
      </c>
      <c r="DB112" s="65">
        <v>7</v>
      </c>
      <c r="DC112" s="65">
        <v>9</v>
      </c>
      <c r="DD112" s="65">
        <v>7</v>
      </c>
      <c r="DE112" s="65">
        <v>9</v>
      </c>
      <c r="DF112" s="65">
        <v>6</v>
      </c>
      <c r="DG112" s="65">
        <v>7</v>
      </c>
      <c r="DH112" s="65">
        <v>4</v>
      </c>
      <c r="DI112" s="65">
        <v>6</v>
      </c>
      <c r="DJ112" s="65">
        <v>8</v>
      </c>
      <c r="DK112" s="65">
        <v>7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458</v>
      </c>
      <c r="DU112" s="2" t="s">
        <v>488</v>
      </c>
      <c r="DV112" s="2">
        <v>20</v>
      </c>
      <c r="DW112" s="2" t="s">
        <v>1</v>
      </c>
      <c r="DX112" s="2">
        <v>20</v>
      </c>
      <c r="DY112" s="2">
        <v>3</v>
      </c>
      <c r="DZ112" s="2">
        <v>3</v>
      </c>
      <c r="EA112" s="2">
        <v>3</v>
      </c>
      <c r="EB112" s="2">
        <v>4</v>
      </c>
      <c r="EC112" s="2">
        <v>4</v>
      </c>
      <c r="ED112" s="2">
        <v>3</v>
      </c>
      <c r="EE112" s="2">
        <v>3</v>
      </c>
      <c r="EF112" s="2">
        <v>3</v>
      </c>
      <c r="EG112" s="2">
        <v>3</v>
      </c>
      <c r="EH112" s="2">
        <v>3</v>
      </c>
      <c r="EI112" s="2">
        <v>4</v>
      </c>
      <c r="EJ112" s="2">
        <v>3</v>
      </c>
      <c r="EK112" s="2">
        <v>4</v>
      </c>
      <c r="EL112" s="2">
        <v>3</v>
      </c>
      <c r="EM112" s="2">
        <v>3</v>
      </c>
      <c r="EN112" s="2">
        <v>2</v>
      </c>
      <c r="EO112" s="2">
        <v>3</v>
      </c>
      <c r="EP112" s="2">
        <v>6</v>
      </c>
      <c r="EQ112" s="2">
        <v>3</v>
      </c>
      <c r="ER112" s="2">
        <v>4</v>
      </c>
      <c r="ES112" s="2">
        <v>3</v>
      </c>
      <c r="ET112" s="2">
        <v>2</v>
      </c>
      <c r="EU112" s="2">
        <v>3</v>
      </c>
      <c r="EV112" s="2">
        <v>4</v>
      </c>
      <c r="EW112" s="2">
        <v>2</v>
      </c>
      <c r="EX112" s="2">
        <v>3</v>
      </c>
      <c r="EY112" s="2">
        <v>3</v>
      </c>
      <c r="EZ112" s="2">
        <v>5</v>
      </c>
      <c r="FA112" s="2">
        <v>4</v>
      </c>
      <c r="FB112" s="2">
        <v>5</v>
      </c>
      <c r="FC112" s="2">
        <v>4</v>
      </c>
      <c r="FD112" s="2">
        <v>5</v>
      </c>
      <c r="FE112" s="2">
        <v>3</v>
      </c>
      <c r="FF112" s="2">
        <v>4</v>
      </c>
      <c r="FG112" s="2">
        <v>2</v>
      </c>
      <c r="FH112" s="2">
        <v>3</v>
      </c>
      <c r="FI112" s="2">
        <v>2</v>
      </c>
      <c r="FJ112" s="2">
        <v>4</v>
      </c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</row>
    <row r="113" spans="1:200" x14ac:dyDescent="0.25">
      <c r="A113" s="2" t="s">
        <v>952</v>
      </c>
      <c r="B113" s="2" t="s">
        <v>688</v>
      </c>
      <c r="C113" s="2" t="s">
        <v>949</v>
      </c>
      <c r="D113" s="2">
        <v>7</v>
      </c>
      <c r="E113" s="2">
        <v>0</v>
      </c>
      <c r="F113" s="2">
        <v>9</v>
      </c>
      <c r="G113" s="2">
        <v>2</v>
      </c>
      <c r="H113" s="2">
        <v>7</v>
      </c>
      <c r="I113" s="2">
        <v>11</v>
      </c>
      <c r="J113" s="2">
        <v>63</v>
      </c>
      <c r="K113" s="2">
        <v>65</v>
      </c>
      <c r="L113" s="2">
        <v>0</v>
      </c>
      <c r="M113" s="2">
        <v>0</v>
      </c>
      <c r="N113" s="2">
        <v>0</v>
      </c>
      <c r="O113" s="2">
        <v>128</v>
      </c>
      <c r="P113" s="2">
        <v>128</v>
      </c>
      <c r="Q113" s="2">
        <v>128</v>
      </c>
      <c r="R113" s="2">
        <v>128</v>
      </c>
      <c r="S113" s="2">
        <v>63</v>
      </c>
      <c r="T113" s="2">
        <v>-0.10526315789473673</v>
      </c>
      <c r="U113" s="2">
        <v>0</v>
      </c>
      <c r="V113" s="2" t="e">
        <v>#DIV/0!</v>
      </c>
      <c r="W113" s="2">
        <v>0</v>
      </c>
      <c r="X113" s="2" t="e">
        <v>#DIV/0!</v>
      </c>
      <c r="Y113" s="2">
        <v>4</v>
      </c>
      <c r="Z113" s="2">
        <v>5</v>
      </c>
      <c r="AA113" s="2">
        <v>3</v>
      </c>
      <c r="AB113" s="2">
        <v>6</v>
      </c>
      <c r="AG113" s="2">
        <v>18</v>
      </c>
      <c r="AH113" s="2">
        <v>20</v>
      </c>
      <c r="AI113" s="2">
        <v>20</v>
      </c>
      <c r="AJ113" s="2">
        <v>20</v>
      </c>
      <c r="AK113" s="2">
        <v>20</v>
      </c>
      <c r="AL113" s="2">
        <v>23</v>
      </c>
      <c r="AM113" s="2">
        <v>907.375</v>
      </c>
      <c r="AN113" s="2">
        <v>932.39400000000001</v>
      </c>
      <c r="AO113" s="2">
        <v>-25.019000000000005</v>
      </c>
      <c r="AP113" s="2">
        <v>128.00112999999999</v>
      </c>
      <c r="AQ113" s="65">
        <v>2</v>
      </c>
      <c r="AR113" s="65">
        <v>2</v>
      </c>
      <c r="AS113" s="65">
        <v>2</v>
      </c>
      <c r="AT113" s="65">
        <v>2</v>
      </c>
      <c r="AU113" s="65">
        <v>2</v>
      </c>
      <c r="AV113" s="65">
        <v>2</v>
      </c>
      <c r="AW113" s="65">
        <v>2</v>
      </c>
      <c r="AX113" s="65">
        <v>2</v>
      </c>
      <c r="AY113" s="65">
        <v>2</v>
      </c>
      <c r="AZ113" s="65">
        <v>2</v>
      </c>
      <c r="BA113" s="65">
        <v>2</v>
      </c>
      <c r="BB113" s="65">
        <v>2</v>
      </c>
      <c r="BC113" s="65">
        <v>2</v>
      </c>
      <c r="BD113" s="65">
        <v>2</v>
      </c>
      <c r="BE113" s="65">
        <v>2</v>
      </c>
      <c r="BF113" s="65">
        <v>2</v>
      </c>
      <c r="BG113" s="65">
        <v>2</v>
      </c>
      <c r="BH113" s="65">
        <v>2</v>
      </c>
      <c r="BI113" s="65">
        <v>2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0</v>
      </c>
      <c r="BT113" s="65">
        <v>0</v>
      </c>
      <c r="BU113" s="65">
        <v>1</v>
      </c>
      <c r="BV113" s="65">
        <v>2</v>
      </c>
      <c r="BW113" s="65">
        <v>0</v>
      </c>
      <c r="BX113" s="65">
        <v>0</v>
      </c>
      <c r="BY113" s="65">
        <v>1</v>
      </c>
      <c r="BZ113" s="65">
        <v>0</v>
      </c>
      <c r="CA113" s="65">
        <v>0</v>
      </c>
      <c r="CB113" s="65">
        <v>0</v>
      </c>
      <c r="CC113" s="65">
        <v>0</v>
      </c>
      <c r="CD113" s="65">
        <v>2</v>
      </c>
      <c r="CE113" s="65">
        <v>0</v>
      </c>
      <c r="CF113" s="65">
        <v>1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6</v>
      </c>
      <c r="CT113" s="65">
        <v>6</v>
      </c>
      <c r="CU113" s="65">
        <v>6</v>
      </c>
      <c r="CV113" s="65">
        <v>5</v>
      </c>
      <c r="CW113" s="65">
        <v>6</v>
      </c>
      <c r="CX113" s="65">
        <v>6</v>
      </c>
      <c r="CY113" s="65">
        <v>7</v>
      </c>
      <c r="CZ113" s="65">
        <v>5</v>
      </c>
      <c r="DA113" s="65">
        <v>10</v>
      </c>
      <c r="DB113" s="65">
        <v>8</v>
      </c>
      <c r="DC113" s="65">
        <v>11</v>
      </c>
      <c r="DD113" s="65">
        <v>7</v>
      </c>
      <c r="DE113" s="65">
        <v>4</v>
      </c>
      <c r="DF113" s="65">
        <v>7</v>
      </c>
      <c r="DG113" s="65">
        <v>5</v>
      </c>
      <c r="DH113" s="65">
        <v>6</v>
      </c>
      <c r="DI113" s="65">
        <v>6</v>
      </c>
      <c r="DJ113" s="65">
        <v>9</v>
      </c>
      <c r="DK113" s="65">
        <v>8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334</v>
      </c>
      <c r="DU113" s="2" t="s">
        <v>488</v>
      </c>
      <c r="DV113" s="2">
        <v>20</v>
      </c>
      <c r="DW113" s="2" t="s">
        <v>1</v>
      </c>
      <c r="DX113" s="2">
        <v>20</v>
      </c>
      <c r="DY113" s="2">
        <v>3</v>
      </c>
      <c r="DZ113" s="2">
        <v>3</v>
      </c>
      <c r="EA113" s="2">
        <v>3</v>
      </c>
      <c r="EB113" s="2">
        <v>2</v>
      </c>
      <c r="EC113" s="2">
        <v>3</v>
      </c>
      <c r="ED113" s="2">
        <v>3</v>
      </c>
      <c r="EE113" s="2">
        <v>3</v>
      </c>
      <c r="EF113" s="2">
        <v>2</v>
      </c>
      <c r="EG113" s="2">
        <v>5</v>
      </c>
      <c r="EH113" s="2">
        <v>4</v>
      </c>
      <c r="EI113" s="2">
        <v>5</v>
      </c>
      <c r="EJ113" s="2">
        <v>4</v>
      </c>
      <c r="EK113" s="2">
        <v>2</v>
      </c>
      <c r="EL113" s="2">
        <v>3</v>
      </c>
      <c r="EM113" s="2">
        <v>3</v>
      </c>
      <c r="EN113" s="2">
        <v>3</v>
      </c>
      <c r="EO113" s="2">
        <v>3</v>
      </c>
      <c r="EP113" s="2">
        <v>5</v>
      </c>
      <c r="EQ113" s="2">
        <v>4</v>
      </c>
      <c r="ER113" s="2">
        <v>3</v>
      </c>
      <c r="ES113" s="2">
        <v>3</v>
      </c>
      <c r="ET113" s="2">
        <v>3</v>
      </c>
      <c r="EU113" s="2">
        <v>3</v>
      </c>
      <c r="EV113" s="2">
        <v>3</v>
      </c>
      <c r="EW113" s="2">
        <v>3</v>
      </c>
      <c r="EX113" s="2">
        <v>4</v>
      </c>
      <c r="EY113" s="2">
        <v>3</v>
      </c>
      <c r="EZ113" s="2">
        <v>5</v>
      </c>
      <c r="FA113" s="2">
        <v>4</v>
      </c>
      <c r="FB113" s="2">
        <v>6</v>
      </c>
      <c r="FC113" s="2">
        <v>3</v>
      </c>
      <c r="FD113" s="2">
        <v>2</v>
      </c>
      <c r="FE113" s="2">
        <v>4</v>
      </c>
      <c r="FF113" s="2">
        <v>2</v>
      </c>
      <c r="FG113" s="2">
        <v>3</v>
      </c>
      <c r="FH113" s="2">
        <v>3</v>
      </c>
      <c r="FI113" s="2">
        <v>4</v>
      </c>
      <c r="FJ113" s="2">
        <v>4</v>
      </c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</row>
    <row r="114" spans="1:200" x14ac:dyDescent="0.25">
      <c r="A114" s="2" t="s">
        <v>953</v>
      </c>
      <c r="B114" s="2" t="s">
        <v>197</v>
      </c>
      <c r="C114" s="2" t="s">
        <v>953</v>
      </c>
      <c r="D114" s="2">
        <v>3</v>
      </c>
      <c r="E114" s="2">
        <v>0</v>
      </c>
      <c r="F114" s="2">
        <v>4</v>
      </c>
      <c r="G114" s="2">
        <v>3</v>
      </c>
      <c r="H114" s="2">
        <v>3</v>
      </c>
      <c r="I114" s="2">
        <v>7</v>
      </c>
      <c r="J114" s="2">
        <v>64</v>
      </c>
      <c r="K114" s="2">
        <v>65</v>
      </c>
      <c r="L114" s="2">
        <v>0</v>
      </c>
      <c r="M114" s="2">
        <v>0</v>
      </c>
      <c r="N114" s="2">
        <v>0</v>
      </c>
      <c r="O114" s="2">
        <v>129</v>
      </c>
      <c r="P114" s="2">
        <v>129</v>
      </c>
      <c r="Q114" s="2">
        <v>129</v>
      </c>
      <c r="R114" s="2">
        <v>129</v>
      </c>
      <c r="S114" s="2">
        <v>64</v>
      </c>
      <c r="T114" s="2">
        <v>-5.2631578947368585E-2</v>
      </c>
      <c r="U114" s="2">
        <v>0</v>
      </c>
      <c r="V114" s="2" t="e">
        <v>#DIV/0!</v>
      </c>
      <c r="W114" s="2">
        <v>0</v>
      </c>
      <c r="X114" s="2" t="e">
        <v>#DIV/0!</v>
      </c>
      <c r="Y114" s="2">
        <v>1</v>
      </c>
      <c r="Z114" s="2">
        <v>3</v>
      </c>
      <c r="AA114" s="2">
        <v>2</v>
      </c>
      <c r="AB114" s="2">
        <v>4</v>
      </c>
      <c r="AG114" s="2">
        <v>25</v>
      </c>
      <c r="AH114" s="2">
        <v>24</v>
      </c>
      <c r="AI114" s="2">
        <v>24</v>
      </c>
      <c r="AJ114" s="2">
        <v>24</v>
      </c>
      <c r="AK114" s="2">
        <v>24</v>
      </c>
      <c r="AL114" s="2">
        <v>24</v>
      </c>
      <c r="AM114" s="2">
        <v>898.78200000000004</v>
      </c>
      <c r="AN114" s="2">
        <v>0</v>
      </c>
      <c r="AP114" s="2">
        <v>129.00113999999999</v>
      </c>
      <c r="AQ114" s="65">
        <v>2</v>
      </c>
      <c r="AR114" s="65">
        <v>2</v>
      </c>
      <c r="AS114" s="65">
        <v>2</v>
      </c>
      <c r="AT114" s="65">
        <v>2</v>
      </c>
      <c r="AU114" s="65">
        <v>2</v>
      </c>
      <c r="AV114" s="65">
        <v>2</v>
      </c>
      <c r="AW114" s="65">
        <v>2</v>
      </c>
      <c r="AX114" s="65">
        <v>2</v>
      </c>
      <c r="AY114" s="65">
        <v>2</v>
      </c>
      <c r="AZ114" s="65">
        <v>2</v>
      </c>
      <c r="BA114" s="65">
        <v>2</v>
      </c>
      <c r="BB114" s="65">
        <v>2</v>
      </c>
      <c r="BC114" s="65">
        <v>2</v>
      </c>
      <c r="BD114" s="65">
        <v>2</v>
      </c>
      <c r="BE114" s="65">
        <v>2</v>
      </c>
      <c r="BF114" s="65">
        <v>2</v>
      </c>
      <c r="BG114" s="65">
        <v>2</v>
      </c>
      <c r="BH114" s="65">
        <v>2</v>
      </c>
      <c r="BI114" s="65">
        <v>2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0</v>
      </c>
      <c r="BT114" s="65">
        <v>0</v>
      </c>
      <c r="BU114" s="65">
        <v>0</v>
      </c>
      <c r="BV114" s="65">
        <v>0</v>
      </c>
      <c r="BW114" s="65">
        <v>0</v>
      </c>
      <c r="BX114" s="65">
        <v>0</v>
      </c>
      <c r="BY114" s="65">
        <v>1</v>
      </c>
      <c r="BZ114" s="65">
        <v>0</v>
      </c>
      <c r="CA114" s="65">
        <v>0</v>
      </c>
      <c r="CB114" s="65">
        <v>0</v>
      </c>
      <c r="CC114" s="65">
        <v>0</v>
      </c>
      <c r="CD114" s="65">
        <v>0</v>
      </c>
      <c r="CE114" s="65">
        <v>0</v>
      </c>
      <c r="CF114" s="65">
        <v>0</v>
      </c>
      <c r="CG114" s="65">
        <v>0</v>
      </c>
      <c r="CH114" s="65">
        <v>0</v>
      </c>
      <c r="CI114" s="65">
        <v>2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8</v>
      </c>
      <c r="CT114" s="65">
        <v>6</v>
      </c>
      <c r="CU114" s="65">
        <v>6</v>
      </c>
      <c r="CV114" s="65">
        <v>6</v>
      </c>
      <c r="CW114" s="65">
        <v>8</v>
      </c>
      <c r="CX114" s="65">
        <v>7</v>
      </c>
      <c r="CY114" s="65">
        <v>6</v>
      </c>
      <c r="CZ114" s="65">
        <v>5</v>
      </c>
      <c r="DA114" s="65">
        <v>9</v>
      </c>
      <c r="DB114" s="65">
        <v>10</v>
      </c>
      <c r="DC114" s="65">
        <v>9</v>
      </c>
      <c r="DD114" s="65">
        <v>8</v>
      </c>
      <c r="DE114" s="65">
        <v>6</v>
      </c>
      <c r="DF114" s="65">
        <v>6</v>
      </c>
      <c r="DG114" s="65">
        <v>6</v>
      </c>
      <c r="DH114" s="65">
        <v>6</v>
      </c>
      <c r="DI114" s="65">
        <v>6</v>
      </c>
      <c r="DJ114" s="65">
        <v>4</v>
      </c>
      <c r="DK114" s="65">
        <v>7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703</v>
      </c>
      <c r="DU114" s="2" t="s">
        <v>488</v>
      </c>
      <c r="DV114" s="2">
        <v>24</v>
      </c>
      <c r="DW114" s="2" t="s">
        <v>1</v>
      </c>
      <c r="DX114" s="2">
        <v>24</v>
      </c>
      <c r="DY114" s="2">
        <v>3</v>
      </c>
      <c r="DZ114" s="2">
        <v>3</v>
      </c>
      <c r="EA114" s="2">
        <v>3</v>
      </c>
      <c r="EB114" s="2">
        <v>3</v>
      </c>
      <c r="EC114" s="2">
        <v>4</v>
      </c>
      <c r="ED114" s="2">
        <v>4</v>
      </c>
      <c r="EE114" s="2">
        <v>3</v>
      </c>
      <c r="EF114" s="2">
        <v>3</v>
      </c>
      <c r="EG114" s="2">
        <v>4</v>
      </c>
      <c r="EH114" s="2">
        <v>4</v>
      </c>
      <c r="EI114" s="2">
        <v>5</v>
      </c>
      <c r="EJ114" s="2">
        <v>5</v>
      </c>
      <c r="EK114" s="2">
        <v>3</v>
      </c>
      <c r="EL114" s="2">
        <v>3</v>
      </c>
      <c r="EM114" s="2">
        <v>3</v>
      </c>
      <c r="EN114" s="2">
        <v>3</v>
      </c>
      <c r="EO114" s="2">
        <v>3</v>
      </c>
      <c r="EP114" s="2">
        <v>2</v>
      </c>
      <c r="EQ114" s="2">
        <v>3</v>
      </c>
      <c r="ER114" s="2">
        <v>5</v>
      </c>
      <c r="ES114" s="2">
        <v>3</v>
      </c>
      <c r="ET114" s="2">
        <v>3</v>
      </c>
      <c r="EU114" s="2">
        <v>3</v>
      </c>
      <c r="EV114" s="2">
        <v>4</v>
      </c>
      <c r="EW114" s="2">
        <v>3</v>
      </c>
      <c r="EX114" s="2">
        <v>3</v>
      </c>
      <c r="EY114" s="2">
        <v>2</v>
      </c>
      <c r="EZ114" s="2">
        <v>5</v>
      </c>
      <c r="FA114" s="2">
        <v>6</v>
      </c>
      <c r="FB114" s="2">
        <v>4</v>
      </c>
      <c r="FC114" s="2">
        <v>3</v>
      </c>
      <c r="FD114" s="2">
        <v>3</v>
      </c>
      <c r="FE114" s="2">
        <v>3</v>
      </c>
      <c r="FF114" s="2">
        <v>3</v>
      </c>
      <c r="FG114" s="2">
        <v>3</v>
      </c>
      <c r="FH114" s="2">
        <v>3</v>
      </c>
      <c r="FI114" s="2">
        <v>2</v>
      </c>
      <c r="FJ114" s="2">
        <v>4</v>
      </c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</row>
    <row r="115" spans="1:200" x14ac:dyDescent="0.25">
      <c r="A115" s="2" t="s">
        <v>954</v>
      </c>
      <c r="B115" s="2" t="s">
        <v>210</v>
      </c>
      <c r="C115" s="2" t="s">
        <v>953</v>
      </c>
      <c r="D115" s="2">
        <v>6</v>
      </c>
      <c r="E115" s="2">
        <v>0</v>
      </c>
      <c r="F115" s="2">
        <v>10</v>
      </c>
      <c r="G115" s="2">
        <v>1</v>
      </c>
      <c r="H115" s="2">
        <v>6</v>
      </c>
      <c r="I115" s="2">
        <v>11</v>
      </c>
      <c r="J115" s="2">
        <v>62</v>
      </c>
      <c r="K115" s="2">
        <v>67</v>
      </c>
      <c r="L115" s="2">
        <v>0</v>
      </c>
      <c r="M115" s="2">
        <v>0</v>
      </c>
      <c r="N115" s="2">
        <v>0</v>
      </c>
      <c r="O115" s="2">
        <v>129</v>
      </c>
      <c r="P115" s="2">
        <v>129</v>
      </c>
      <c r="Q115" s="2">
        <v>129</v>
      </c>
      <c r="R115" s="2">
        <v>129</v>
      </c>
      <c r="S115" s="2">
        <v>62</v>
      </c>
      <c r="T115" s="2">
        <v>-0.26315789473684204</v>
      </c>
      <c r="U115" s="2">
        <v>0</v>
      </c>
      <c r="V115" s="2" t="e">
        <v>#DIV/0!</v>
      </c>
      <c r="W115" s="2">
        <v>0</v>
      </c>
      <c r="X115" s="2" t="e">
        <v>#DIV/0!</v>
      </c>
      <c r="Y115" s="2">
        <v>3</v>
      </c>
      <c r="Z115" s="2">
        <v>4</v>
      </c>
      <c r="AA115" s="2">
        <v>3</v>
      </c>
      <c r="AB115" s="2">
        <v>7</v>
      </c>
      <c r="AG115" s="2">
        <v>16</v>
      </c>
      <c r="AH115" s="2">
        <v>24</v>
      </c>
      <c r="AI115" s="2">
        <v>24</v>
      </c>
      <c r="AJ115" s="2">
        <v>24</v>
      </c>
      <c r="AK115" s="2">
        <v>24</v>
      </c>
      <c r="AL115" s="2">
        <v>25</v>
      </c>
      <c r="AM115" s="2">
        <v>898.78200000000004</v>
      </c>
      <c r="AN115" s="2">
        <v>927.04100000000005</v>
      </c>
      <c r="AO115" s="2">
        <v>-28.259000000000015</v>
      </c>
      <c r="AP115" s="2">
        <v>129.00115</v>
      </c>
      <c r="AQ115" s="65">
        <v>2</v>
      </c>
      <c r="AR115" s="65">
        <v>2</v>
      </c>
      <c r="AS115" s="65">
        <v>2</v>
      </c>
      <c r="AT115" s="65">
        <v>2</v>
      </c>
      <c r="AU115" s="65">
        <v>2</v>
      </c>
      <c r="AV115" s="65">
        <v>2</v>
      </c>
      <c r="AW115" s="65">
        <v>2</v>
      </c>
      <c r="AX115" s="65">
        <v>2</v>
      </c>
      <c r="AY115" s="65">
        <v>2</v>
      </c>
      <c r="AZ115" s="65">
        <v>2</v>
      </c>
      <c r="BA115" s="65">
        <v>2</v>
      </c>
      <c r="BB115" s="65">
        <v>2</v>
      </c>
      <c r="BC115" s="65">
        <v>2</v>
      </c>
      <c r="BD115" s="65">
        <v>2</v>
      </c>
      <c r="BE115" s="65">
        <v>2</v>
      </c>
      <c r="BF115" s="65">
        <v>2</v>
      </c>
      <c r="BG115" s="65">
        <v>2</v>
      </c>
      <c r="BH115" s="65">
        <v>2</v>
      </c>
      <c r="BI115" s="65">
        <v>2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0</v>
      </c>
      <c r="BT115" s="65">
        <v>0</v>
      </c>
      <c r="BU115" s="65">
        <v>0</v>
      </c>
      <c r="BV115" s="65">
        <v>1</v>
      </c>
      <c r="BW115" s="65">
        <v>1</v>
      </c>
      <c r="BX115" s="65">
        <v>0</v>
      </c>
      <c r="BY115" s="65">
        <v>1</v>
      </c>
      <c r="BZ115" s="65">
        <v>0</v>
      </c>
      <c r="CA115" s="65">
        <v>0</v>
      </c>
      <c r="CB115" s="65">
        <v>0</v>
      </c>
      <c r="CC115" s="65">
        <v>1</v>
      </c>
      <c r="CD115" s="65">
        <v>0</v>
      </c>
      <c r="CE115" s="65">
        <v>0</v>
      </c>
      <c r="CF115" s="65">
        <v>0</v>
      </c>
      <c r="CG115" s="65">
        <v>1</v>
      </c>
      <c r="CH115" s="65">
        <v>0</v>
      </c>
      <c r="CI115" s="65">
        <v>1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6</v>
      </c>
      <c r="CT115" s="65">
        <v>6</v>
      </c>
      <c r="CU115" s="65">
        <v>7</v>
      </c>
      <c r="CV115" s="65">
        <v>6</v>
      </c>
      <c r="CW115" s="65">
        <v>7</v>
      </c>
      <c r="CX115" s="65">
        <v>6</v>
      </c>
      <c r="CY115" s="65">
        <v>7</v>
      </c>
      <c r="CZ115" s="65">
        <v>5</v>
      </c>
      <c r="DA115" s="65">
        <v>8</v>
      </c>
      <c r="DB115" s="65">
        <v>9</v>
      </c>
      <c r="DC115" s="65">
        <v>9</v>
      </c>
      <c r="DD115" s="65">
        <v>6</v>
      </c>
      <c r="DE115" s="65">
        <v>6</v>
      </c>
      <c r="DF115" s="65">
        <v>6</v>
      </c>
      <c r="DG115" s="65">
        <v>8</v>
      </c>
      <c r="DH115" s="65">
        <v>5</v>
      </c>
      <c r="DI115" s="65">
        <v>6</v>
      </c>
      <c r="DJ115" s="65">
        <v>8</v>
      </c>
      <c r="DK115" s="65">
        <v>8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410</v>
      </c>
      <c r="DU115" s="2" t="s">
        <v>488</v>
      </c>
      <c r="DV115" s="2">
        <v>24</v>
      </c>
      <c r="DW115" s="2" t="s">
        <v>1</v>
      </c>
      <c r="DX115" s="2">
        <v>24</v>
      </c>
      <c r="DY115" s="2">
        <v>3</v>
      </c>
      <c r="DZ115" s="2">
        <v>3</v>
      </c>
      <c r="EA115" s="2">
        <v>3</v>
      </c>
      <c r="EB115" s="2">
        <v>3</v>
      </c>
      <c r="EC115" s="2">
        <v>3</v>
      </c>
      <c r="ED115" s="2">
        <v>4</v>
      </c>
      <c r="EE115" s="2">
        <v>3</v>
      </c>
      <c r="EF115" s="2">
        <v>3</v>
      </c>
      <c r="EG115" s="2">
        <v>4</v>
      </c>
      <c r="EH115" s="2">
        <v>4</v>
      </c>
      <c r="EI115" s="2">
        <v>4</v>
      </c>
      <c r="EJ115" s="2">
        <v>4</v>
      </c>
      <c r="EK115" s="2">
        <v>3</v>
      </c>
      <c r="EL115" s="2">
        <v>3</v>
      </c>
      <c r="EM115" s="2">
        <v>4</v>
      </c>
      <c r="EN115" s="2">
        <v>2</v>
      </c>
      <c r="EO115" s="2">
        <v>3</v>
      </c>
      <c r="EP115" s="2">
        <v>2</v>
      </c>
      <c r="EQ115" s="2">
        <v>4</v>
      </c>
      <c r="ER115" s="2">
        <v>3</v>
      </c>
      <c r="ES115" s="2">
        <v>3</v>
      </c>
      <c r="ET115" s="2">
        <v>4</v>
      </c>
      <c r="EU115" s="2">
        <v>3</v>
      </c>
      <c r="EV115" s="2">
        <v>4</v>
      </c>
      <c r="EW115" s="2">
        <v>2</v>
      </c>
      <c r="EX115" s="2">
        <v>4</v>
      </c>
      <c r="EY115" s="2">
        <v>2</v>
      </c>
      <c r="EZ115" s="2">
        <v>4</v>
      </c>
      <c r="FA115" s="2">
        <v>5</v>
      </c>
      <c r="FB115" s="2">
        <v>5</v>
      </c>
      <c r="FC115" s="2">
        <v>2</v>
      </c>
      <c r="FD115" s="2">
        <v>3</v>
      </c>
      <c r="FE115" s="2">
        <v>3</v>
      </c>
      <c r="FF115" s="2">
        <v>4</v>
      </c>
      <c r="FG115" s="2">
        <v>3</v>
      </c>
      <c r="FH115" s="2">
        <v>3</v>
      </c>
      <c r="FI115" s="2">
        <v>6</v>
      </c>
      <c r="FJ115" s="2">
        <v>4</v>
      </c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</row>
    <row r="116" spans="1:200" x14ac:dyDescent="0.25">
      <c r="A116" s="2" t="s">
        <v>955</v>
      </c>
      <c r="B116" s="2" t="s">
        <v>212</v>
      </c>
      <c r="C116" s="2" t="s">
        <v>955</v>
      </c>
      <c r="D116" s="2">
        <v>4</v>
      </c>
      <c r="E116" s="2">
        <v>0</v>
      </c>
      <c r="F116" s="2">
        <v>8</v>
      </c>
      <c r="G116" s="2">
        <v>2</v>
      </c>
      <c r="H116" s="2">
        <v>4</v>
      </c>
      <c r="I116" s="2">
        <v>10</v>
      </c>
      <c r="J116" s="2">
        <v>64</v>
      </c>
      <c r="K116" s="2">
        <v>66</v>
      </c>
      <c r="L116" s="2">
        <v>0</v>
      </c>
      <c r="M116" s="2">
        <v>0</v>
      </c>
      <c r="N116" s="2">
        <v>0</v>
      </c>
      <c r="O116" s="2">
        <v>130</v>
      </c>
      <c r="P116" s="2">
        <v>130</v>
      </c>
      <c r="Q116" s="2">
        <v>130</v>
      </c>
      <c r="R116" s="2">
        <v>130</v>
      </c>
      <c r="S116" s="2">
        <v>64</v>
      </c>
      <c r="T116" s="2">
        <v>-0.10526315789473717</v>
      </c>
      <c r="U116" s="2">
        <v>0</v>
      </c>
      <c r="V116" s="2" t="e">
        <v>#DIV/0!</v>
      </c>
      <c r="W116" s="2">
        <v>0</v>
      </c>
      <c r="X116" s="2" t="e">
        <v>#DIV/0!</v>
      </c>
      <c r="Y116" s="2">
        <v>2</v>
      </c>
      <c r="Z116" s="2">
        <v>4</v>
      </c>
      <c r="AA116" s="2">
        <v>2</v>
      </c>
      <c r="AB116" s="2">
        <v>6</v>
      </c>
      <c r="AG116" s="2">
        <v>25</v>
      </c>
      <c r="AH116" s="2">
        <v>26</v>
      </c>
      <c r="AI116" s="2">
        <v>26</v>
      </c>
      <c r="AJ116" s="2">
        <v>26</v>
      </c>
      <c r="AK116" s="2">
        <v>26</v>
      </c>
      <c r="AL116" s="2">
        <v>26</v>
      </c>
      <c r="AM116" s="2">
        <v>890.19</v>
      </c>
      <c r="AN116" s="2">
        <v>859.93399999999997</v>
      </c>
      <c r="AO116" s="2">
        <v>30.256000000000085</v>
      </c>
      <c r="AP116" s="2">
        <v>130.00116</v>
      </c>
      <c r="AQ116" s="65">
        <v>2</v>
      </c>
      <c r="AR116" s="65">
        <v>2</v>
      </c>
      <c r="AS116" s="65">
        <v>2</v>
      </c>
      <c r="AT116" s="65">
        <v>2</v>
      </c>
      <c r="AU116" s="65">
        <v>2</v>
      </c>
      <c r="AV116" s="65">
        <v>2</v>
      </c>
      <c r="AW116" s="65">
        <v>2</v>
      </c>
      <c r="AX116" s="65">
        <v>2</v>
      </c>
      <c r="AY116" s="65">
        <v>2</v>
      </c>
      <c r="AZ116" s="65">
        <v>2</v>
      </c>
      <c r="BA116" s="65">
        <v>2</v>
      </c>
      <c r="BB116" s="65">
        <v>2</v>
      </c>
      <c r="BC116" s="65">
        <v>2</v>
      </c>
      <c r="BD116" s="65">
        <v>2</v>
      </c>
      <c r="BE116" s="65">
        <v>2</v>
      </c>
      <c r="BF116" s="65">
        <v>2</v>
      </c>
      <c r="BG116" s="65">
        <v>2</v>
      </c>
      <c r="BH116" s="65">
        <v>2</v>
      </c>
      <c r="BI116" s="65">
        <v>2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0</v>
      </c>
      <c r="BT116" s="65">
        <v>0</v>
      </c>
      <c r="BU116" s="65">
        <v>0</v>
      </c>
      <c r="BV116" s="65">
        <v>0</v>
      </c>
      <c r="BW116" s="65">
        <v>0</v>
      </c>
      <c r="BX116" s="65">
        <v>0</v>
      </c>
      <c r="BY116" s="65">
        <v>1</v>
      </c>
      <c r="BZ116" s="65">
        <v>0</v>
      </c>
      <c r="CA116" s="65">
        <v>0</v>
      </c>
      <c r="CB116" s="65">
        <v>0</v>
      </c>
      <c r="CC116" s="65">
        <v>0</v>
      </c>
      <c r="CD116" s="65">
        <v>1</v>
      </c>
      <c r="CE116" s="65">
        <v>0</v>
      </c>
      <c r="CF116" s="65">
        <v>0</v>
      </c>
      <c r="CG116" s="65">
        <v>0</v>
      </c>
      <c r="CH116" s="65">
        <v>1</v>
      </c>
      <c r="CI116" s="65">
        <v>1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7</v>
      </c>
      <c r="CT116" s="65">
        <v>7</v>
      </c>
      <c r="CU116" s="65">
        <v>7</v>
      </c>
      <c r="CV116" s="65">
        <v>6</v>
      </c>
      <c r="CW116" s="65">
        <v>8</v>
      </c>
      <c r="CX116" s="65">
        <v>6</v>
      </c>
      <c r="CY116" s="65">
        <v>6</v>
      </c>
      <c r="CZ116" s="65">
        <v>5</v>
      </c>
      <c r="DA116" s="65">
        <v>8</v>
      </c>
      <c r="DB116" s="65">
        <v>8</v>
      </c>
      <c r="DC116" s="65">
        <v>10</v>
      </c>
      <c r="DD116" s="65">
        <v>9</v>
      </c>
      <c r="DE116" s="65">
        <v>5</v>
      </c>
      <c r="DF116" s="65">
        <v>7</v>
      </c>
      <c r="DG116" s="65">
        <v>6</v>
      </c>
      <c r="DH116" s="65">
        <v>6</v>
      </c>
      <c r="DI116" s="65">
        <v>5</v>
      </c>
      <c r="DJ116" s="65">
        <v>6</v>
      </c>
      <c r="DK116" s="65">
        <v>8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455</v>
      </c>
      <c r="DU116" s="2" t="s">
        <v>488</v>
      </c>
      <c r="DV116" s="2">
        <v>26</v>
      </c>
      <c r="DW116" s="2" t="s">
        <v>1</v>
      </c>
      <c r="DX116" s="2">
        <v>26</v>
      </c>
      <c r="DY116" s="2">
        <v>4</v>
      </c>
      <c r="DZ116" s="2">
        <v>4</v>
      </c>
      <c r="EA116" s="2">
        <v>3</v>
      </c>
      <c r="EB116" s="2">
        <v>3</v>
      </c>
      <c r="EC116" s="2">
        <v>4</v>
      </c>
      <c r="ED116" s="2">
        <v>3</v>
      </c>
      <c r="EE116" s="2">
        <v>3</v>
      </c>
      <c r="EF116" s="2">
        <v>3</v>
      </c>
      <c r="EG116" s="2">
        <v>4</v>
      </c>
      <c r="EH116" s="2">
        <v>4</v>
      </c>
      <c r="EI116" s="2">
        <v>4</v>
      </c>
      <c r="EJ116" s="2">
        <v>5</v>
      </c>
      <c r="EK116" s="2">
        <v>2</v>
      </c>
      <c r="EL116" s="2">
        <v>3</v>
      </c>
      <c r="EM116" s="2">
        <v>3</v>
      </c>
      <c r="EN116" s="2">
        <v>3</v>
      </c>
      <c r="EO116" s="2">
        <v>3</v>
      </c>
      <c r="EP116" s="2">
        <v>2</v>
      </c>
      <c r="EQ116" s="2">
        <v>4</v>
      </c>
      <c r="ER116" s="2">
        <v>3</v>
      </c>
      <c r="ES116" s="2">
        <v>3</v>
      </c>
      <c r="ET116" s="2">
        <v>4</v>
      </c>
      <c r="EU116" s="2">
        <v>3</v>
      </c>
      <c r="EV116" s="2">
        <v>4</v>
      </c>
      <c r="EW116" s="2">
        <v>3</v>
      </c>
      <c r="EX116" s="2">
        <v>3</v>
      </c>
      <c r="EY116" s="2">
        <v>2</v>
      </c>
      <c r="EZ116" s="2">
        <v>4</v>
      </c>
      <c r="FA116" s="2">
        <v>4</v>
      </c>
      <c r="FB116" s="2">
        <v>6</v>
      </c>
      <c r="FC116" s="2">
        <v>4</v>
      </c>
      <c r="FD116" s="2">
        <v>3</v>
      </c>
      <c r="FE116" s="2">
        <v>4</v>
      </c>
      <c r="FF116" s="2">
        <v>3</v>
      </c>
      <c r="FG116" s="2">
        <v>3</v>
      </c>
      <c r="FH116" s="2">
        <v>2</v>
      </c>
      <c r="FI116" s="2">
        <v>4</v>
      </c>
      <c r="FJ116" s="2">
        <v>4</v>
      </c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</row>
    <row r="117" spans="1:200" x14ac:dyDescent="0.25">
      <c r="A117" s="2" t="s">
        <v>956</v>
      </c>
      <c r="B117" s="2" t="s">
        <v>353</v>
      </c>
      <c r="C117" s="2" t="s">
        <v>955</v>
      </c>
      <c r="D117" s="2">
        <v>4</v>
      </c>
      <c r="E117" s="2">
        <v>0</v>
      </c>
      <c r="F117" s="2">
        <v>10</v>
      </c>
      <c r="G117" s="2">
        <v>1</v>
      </c>
      <c r="H117" s="2">
        <v>4</v>
      </c>
      <c r="I117" s="2">
        <v>11</v>
      </c>
      <c r="J117" s="2">
        <v>61</v>
      </c>
      <c r="K117" s="2">
        <v>69</v>
      </c>
      <c r="L117" s="2">
        <v>0</v>
      </c>
      <c r="M117" s="2">
        <v>0</v>
      </c>
      <c r="N117" s="2">
        <v>0</v>
      </c>
      <c r="O117" s="2">
        <v>130</v>
      </c>
      <c r="P117" s="2">
        <v>130</v>
      </c>
      <c r="Q117" s="2">
        <v>130</v>
      </c>
      <c r="R117" s="2">
        <v>130</v>
      </c>
      <c r="S117" s="2">
        <v>61</v>
      </c>
      <c r="T117" s="2">
        <v>-0.42105263157894735</v>
      </c>
      <c r="U117" s="2">
        <v>0</v>
      </c>
      <c r="V117" s="2" t="e">
        <v>#DIV/0!</v>
      </c>
      <c r="W117" s="2">
        <v>0</v>
      </c>
      <c r="X117" s="2" t="e">
        <v>#DIV/0!</v>
      </c>
      <c r="Y117" s="2">
        <v>3</v>
      </c>
      <c r="Z117" s="2">
        <v>3</v>
      </c>
      <c r="AA117" s="2">
        <v>1</v>
      </c>
      <c r="AB117" s="2">
        <v>8</v>
      </c>
      <c r="AG117" s="2">
        <v>11</v>
      </c>
      <c r="AH117" s="2">
        <v>26</v>
      </c>
      <c r="AI117" s="2">
        <v>26</v>
      </c>
      <c r="AJ117" s="2">
        <v>26</v>
      </c>
      <c r="AK117" s="2">
        <v>26</v>
      </c>
      <c r="AL117" s="2">
        <v>27</v>
      </c>
      <c r="AM117" s="2">
        <v>890.19</v>
      </c>
      <c r="AN117" s="2">
        <v>890.21600000000001</v>
      </c>
      <c r="AO117" s="2">
        <v>-2.5999999999953616E-2</v>
      </c>
      <c r="AP117" s="2">
        <v>130.00117</v>
      </c>
      <c r="AQ117" s="65">
        <v>2</v>
      </c>
      <c r="AR117" s="65">
        <v>2</v>
      </c>
      <c r="AS117" s="65">
        <v>2</v>
      </c>
      <c r="AT117" s="65">
        <v>2</v>
      </c>
      <c r="AU117" s="65">
        <v>2</v>
      </c>
      <c r="AV117" s="65">
        <v>2</v>
      </c>
      <c r="AW117" s="65">
        <v>2</v>
      </c>
      <c r="AX117" s="65">
        <v>2</v>
      </c>
      <c r="AY117" s="65">
        <v>2</v>
      </c>
      <c r="AZ117" s="65">
        <v>2</v>
      </c>
      <c r="BA117" s="65">
        <v>2</v>
      </c>
      <c r="BB117" s="65">
        <v>2</v>
      </c>
      <c r="BC117" s="65">
        <v>2</v>
      </c>
      <c r="BD117" s="65">
        <v>2</v>
      </c>
      <c r="BE117" s="65">
        <v>2</v>
      </c>
      <c r="BF117" s="65">
        <v>2</v>
      </c>
      <c r="BG117" s="65">
        <v>2</v>
      </c>
      <c r="BH117" s="65">
        <v>2</v>
      </c>
      <c r="BI117" s="65">
        <v>2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1</v>
      </c>
      <c r="BT117" s="65">
        <v>0</v>
      </c>
      <c r="BU117" s="65">
        <v>0</v>
      </c>
      <c r="BV117" s="65">
        <v>0</v>
      </c>
      <c r="BW117" s="65">
        <v>0</v>
      </c>
      <c r="BX117" s="65">
        <v>0</v>
      </c>
      <c r="BY117" s="65">
        <v>0</v>
      </c>
      <c r="BZ117" s="65">
        <v>0</v>
      </c>
      <c r="CA117" s="65">
        <v>0</v>
      </c>
      <c r="CB117" s="65">
        <v>0</v>
      </c>
      <c r="CC117" s="65">
        <v>0</v>
      </c>
      <c r="CD117" s="65">
        <v>0</v>
      </c>
      <c r="CE117" s="65">
        <v>1</v>
      </c>
      <c r="CF117" s="65">
        <v>0</v>
      </c>
      <c r="CG117" s="65">
        <v>1</v>
      </c>
      <c r="CH117" s="65">
        <v>0</v>
      </c>
      <c r="CI117" s="65">
        <v>1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7</v>
      </c>
      <c r="CT117" s="65">
        <v>5</v>
      </c>
      <c r="CU117" s="65">
        <v>7</v>
      </c>
      <c r="CV117" s="65">
        <v>6</v>
      </c>
      <c r="CW117" s="65">
        <v>8</v>
      </c>
      <c r="CX117" s="65">
        <v>6</v>
      </c>
      <c r="CY117" s="65">
        <v>7</v>
      </c>
      <c r="CZ117" s="65">
        <v>6</v>
      </c>
      <c r="DA117" s="65">
        <v>8</v>
      </c>
      <c r="DB117" s="65">
        <v>9</v>
      </c>
      <c r="DC117" s="65">
        <v>8</v>
      </c>
      <c r="DD117" s="65">
        <v>7</v>
      </c>
      <c r="DE117" s="65">
        <v>9</v>
      </c>
      <c r="DF117" s="65">
        <v>6</v>
      </c>
      <c r="DG117" s="65">
        <v>7</v>
      </c>
      <c r="DH117" s="65">
        <v>6</v>
      </c>
      <c r="DI117" s="65">
        <v>6</v>
      </c>
      <c r="DJ117" s="65">
        <v>6</v>
      </c>
      <c r="DK117" s="65">
        <v>6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704</v>
      </c>
      <c r="DU117" s="2" t="s">
        <v>488</v>
      </c>
      <c r="DV117" s="2">
        <v>26</v>
      </c>
      <c r="DW117" s="2" t="s">
        <v>1</v>
      </c>
      <c r="DX117" s="2">
        <v>26</v>
      </c>
      <c r="DY117" s="2">
        <v>3</v>
      </c>
      <c r="DZ117" s="2">
        <v>2</v>
      </c>
      <c r="EA117" s="2">
        <v>3</v>
      </c>
      <c r="EB117" s="2">
        <v>3</v>
      </c>
      <c r="EC117" s="2">
        <v>4</v>
      </c>
      <c r="ED117" s="2">
        <v>3</v>
      </c>
      <c r="EE117" s="2">
        <v>3</v>
      </c>
      <c r="EF117" s="2">
        <v>3</v>
      </c>
      <c r="EG117" s="2">
        <v>4</v>
      </c>
      <c r="EH117" s="2">
        <v>5</v>
      </c>
      <c r="EI117" s="2">
        <v>4</v>
      </c>
      <c r="EJ117" s="2">
        <v>3</v>
      </c>
      <c r="EK117" s="2">
        <v>4</v>
      </c>
      <c r="EL117" s="2">
        <v>2</v>
      </c>
      <c r="EM117" s="2">
        <v>3</v>
      </c>
      <c r="EN117" s="2">
        <v>2</v>
      </c>
      <c r="EO117" s="2">
        <v>3</v>
      </c>
      <c r="EP117" s="2">
        <v>4</v>
      </c>
      <c r="EQ117" s="2">
        <v>3</v>
      </c>
      <c r="ER117" s="2">
        <v>4</v>
      </c>
      <c r="ES117" s="2">
        <v>3</v>
      </c>
      <c r="ET117" s="2">
        <v>4</v>
      </c>
      <c r="EU117" s="2">
        <v>3</v>
      </c>
      <c r="EV117" s="2">
        <v>4</v>
      </c>
      <c r="EW117" s="2">
        <v>3</v>
      </c>
      <c r="EX117" s="2">
        <v>4</v>
      </c>
      <c r="EY117" s="2">
        <v>3</v>
      </c>
      <c r="EZ117" s="2">
        <v>4</v>
      </c>
      <c r="FA117" s="2">
        <v>4</v>
      </c>
      <c r="FB117" s="2">
        <v>4</v>
      </c>
      <c r="FC117" s="2">
        <v>4</v>
      </c>
      <c r="FD117" s="2">
        <v>5</v>
      </c>
      <c r="FE117" s="2">
        <v>4</v>
      </c>
      <c r="FF117" s="2">
        <v>4</v>
      </c>
      <c r="FG117" s="2">
        <v>4</v>
      </c>
      <c r="FH117" s="2">
        <v>3</v>
      </c>
      <c r="FI117" s="2">
        <v>2</v>
      </c>
      <c r="FJ117" s="2">
        <v>3</v>
      </c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</row>
    <row r="118" spans="1:200" x14ac:dyDescent="0.25">
      <c r="A118" s="2" t="s">
        <v>957</v>
      </c>
      <c r="B118" s="2" t="s">
        <v>701</v>
      </c>
      <c r="C118" s="2" t="s">
        <v>957</v>
      </c>
      <c r="D118" s="2">
        <v>4</v>
      </c>
      <c r="E118" s="2">
        <v>0</v>
      </c>
      <c r="F118" s="2">
        <v>9</v>
      </c>
      <c r="G118" s="2">
        <v>2</v>
      </c>
      <c r="H118" s="2">
        <v>4</v>
      </c>
      <c r="I118" s="2">
        <v>11</v>
      </c>
      <c r="J118" s="2">
        <v>67</v>
      </c>
      <c r="K118" s="2">
        <v>64</v>
      </c>
      <c r="L118" s="2">
        <v>0</v>
      </c>
      <c r="M118" s="2">
        <v>0</v>
      </c>
      <c r="N118" s="2">
        <v>0</v>
      </c>
      <c r="O118" s="2">
        <v>131</v>
      </c>
      <c r="P118" s="2">
        <v>131</v>
      </c>
      <c r="Q118" s="2">
        <v>131</v>
      </c>
      <c r="R118" s="2">
        <v>131</v>
      </c>
      <c r="S118" s="2">
        <v>67</v>
      </c>
      <c r="T118" s="2">
        <v>0.15789473684210531</v>
      </c>
      <c r="U118" s="2">
        <v>0</v>
      </c>
      <c r="V118" s="2" t="e">
        <v>#DIV/0!</v>
      </c>
      <c r="W118" s="2">
        <v>0</v>
      </c>
      <c r="X118" s="2" t="e">
        <v>#DIV/0!</v>
      </c>
      <c r="Y118" s="2">
        <v>3</v>
      </c>
      <c r="Z118" s="2">
        <v>7</v>
      </c>
      <c r="AA118" s="2">
        <v>1</v>
      </c>
      <c r="AB118" s="2">
        <v>4</v>
      </c>
      <c r="AG118" s="2">
        <v>35</v>
      </c>
      <c r="AH118" s="2">
        <v>28</v>
      </c>
      <c r="AI118" s="2">
        <v>28</v>
      </c>
      <c r="AJ118" s="2">
        <v>28</v>
      </c>
      <c r="AK118" s="2">
        <v>28</v>
      </c>
      <c r="AL118" s="2">
        <v>28</v>
      </c>
      <c r="AM118" s="2">
        <v>881.59699999999998</v>
      </c>
      <c r="AN118" s="2">
        <v>918.42200000000003</v>
      </c>
      <c r="AO118" s="2">
        <v>-36.825000000000045</v>
      </c>
      <c r="AP118" s="2">
        <v>131.00118000000001</v>
      </c>
      <c r="AQ118" s="65">
        <v>2</v>
      </c>
      <c r="AR118" s="65">
        <v>2</v>
      </c>
      <c r="AS118" s="65">
        <v>2</v>
      </c>
      <c r="AT118" s="65">
        <v>2</v>
      </c>
      <c r="AU118" s="65">
        <v>2</v>
      </c>
      <c r="AV118" s="65">
        <v>2</v>
      </c>
      <c r="AW118" s="65">
        <v>2</v>
      </c>
      <c r="AX118" s="65">
        <v>2</v>
      </c>
      <c r="AY118" s="65">
        <v>2</v>
      </c>
      <c r="AZ118" s="65">
        <v>2</v>
      </c>
      <c r="BA118" s="65">
        <v>2</v>
      </c>
      <c r="BB118" s="65">
        <v>2</v>
      </c>
      <c r="BC118" s="65">
        <v>2</v>
      </c>
      <c r="BD118" s="65">
        <v>2</v>
      </c>
      <c r="BE118" s="65">
        <v>2</v>
      </c>
      <c r="BF118" s="65">
        <v>2</v>
      </c>
      <c r="BG118" s="65">
        <v>2</v>
      </c>
      <c r="BH118" s="65">
        <v>2</v>
      </c>
      <c r="BI118" s="65">
        <v>2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1</v>
      </c>
      <c r="BS118" s="65">
        <v>0</v>
      </c>
      <c r="BT118" s="65">
        <v>0</v>
      </c>
      <c r="BU118" s="65">
        <v>0</v>
      </c>
      <c r="BV118" s="65">
        <v>1</v>
      </c>
      <c r="BW118" s="65">
        <v>0</v>
      </c>
      <c r="BX118" s="65">
        <v>0</v>
      </c>
      <c r="BY118" s="65">
        <v>1</v>
      </c>
      <c r="BZ118" s="65">
        <v>0</v>
      </c>
      <c r="CA118" s="65">
        <v>0</v>
      </c>
      <c r="CB118" s="65">
        <v>0</v>
      </c>
      <c r="CC118" s="65">
        <v>0</v>
      </c>
      <c r="CD118" s="65">
        <v>0</v>
      </c>
      <c r="CE118" s="65">
        <v>0</v>
      </c>
      <c r="CF118" s="65">
        <v>0</v>
      </c>
      <c r="CG118" s="65">
        <v>0</v>
      </c>
      <c r="CH118" s="65">
        <v>0</v>
      </c>
      <c r="CI118" s="65">
        <v>1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5</v>
      </c>
      <c r="CT118" s="65">
        <v>7</v>
      </c>
      <c r="CU118" s="65">
        <v>6</v>
      </c>
      <c r="CV118" s="65">
        <v>8</v>
      </c>
      <c r="CW118" s="65">
        <v>7</v>
      </c>
      <c r="CX118" s="65">
        <v>7</v>
      </c>
      <c r="CY118" s="65">
        <v>6</v>
      </c>
      <c r="CZ118" s="65">
        <v>5</v>
      </c>
      <c r="DA118" s="65">
        <v>9</v>
      </c>
      <c r="DB118" s="65">
        <v>9</v>
      </c>
      <c r="DC118" s="65">
        <v>10</v>
      </c>
      <c r="DD118" s="65">
        <v>6</v>
      </c>
      <c r="DE118" s="65">
        <v>7</v>
      </c>
      <c r="DF118" s="65">
        <v>7</v>
      </c>
      <c r="DG118" s="65">
        <v>8</v>
      </c>
      <c r="DH118" s="65">
        <v>6</v>
      </c>
      <c r="DI118" s="65">
        <v>6</v>
      </c>
      <c r="DJ118" s="65">
        <v>5</v>
      </c>
      <c r="DK118" s="65">
        <v>7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19</v>
      </c>
      <c r="DU118" s="2" t="s">
        <v>488</v>
      </c>
      <c r="DV118" s="2">
        <v>28</v>
      </c>
      <c r="DW118" s="2" t="s">
        <v>1</v>
      </c>
      <c r="DX118" s="2">
        <v>28</v>
      </c>
      <c r="DY118" s="2">
        <v>3</v>
      </c>
      <c r="DZ118" s="2">
        <v>4</v>
      </c>
      <c r="EA118" s="2">
        <v>3</v>
      </c>
      <c r="EB118" s="2">
        <v>4</v>
      </c>
      <c r="EC118" s="2">
        <v>3</v>
      </c>
      <c r="ED118" s="2">
        <v>4</v>
      </c>
      <c r="EE118" s="2">
        <v>3</v>
      </c>
      <c r="EF118" s="2">
        <v>2</v>
      </c>
      <c r="EG118" s="2">
        <v>5</v>
      </c>
      <c r="EH118" s="2">
        <v>4</v>
      </c>
      <c r="EI118" s="2">
        <v>6</v>
      </c>
      <c r="EJ118" s="2">
        <v>3</v>
      </c>
      <c r="EK118" s="2">
        <v>4</v>
      </c>
      <c r="EL118" s="2">
        <v>3</v>
      </c>
      <c r="EM118" s="2">
        <v>5</v>
      </c>
      <c r="EN118" s="2">
        <v>3</v>
      </c>
      <c r="EO118" s="2">
        <v>3</v>
      </c>
      <c r="EP118" s="2">
        <v>2</v>
      </c>
      <c r="EQ118" s="2">
        <v>3</v>
      </c>
      <c r="ER118" s="2">
        <v>2</v>
      </c>
      <c r="ES118" s="2">
        <v>3</v>
      </c>
      <c r="ET118" s="2">
        <v>3</v>
      </c>
      <c r="EU118" s="2">
        <v>4</v>
      </c>
      <c r="EV118" s="2">
        <v>4</v>
      </c>
      <c r="EW118" s="2">
        <v>3</v>
      </c>
      <c r="EX118" s="2">
        <v>3</v>
      </c>
      <c r="EY118" s="2">
        <v>3</v>
      </c>
      <c r="EZ118" s="2">
        <v>4</v>
      </c>
      <c r="FA118" s="2">
        <v>5</v>
      </c>
      <c r="FB118" s="2">
        <v>4</v>
      </c>
      <c r="FC118" s="2">
        <v>3</v>
      </c>
      <c r="FD118" s="2">
        <v>3</v>
      </c>
      <c r="FE118" s="2">
        <v>4</v>
      </c>
      <c r="FF118" s="2">
        <v>3</v>
      </c>
      <c r="FG118" s="2">
        <v>3</v>
      </c>
      <c r="FH118" s="2">
        <v>3</v>
      </c>
      <c r="FI118" s="2">
        <v>3</v>
      </c>
      <c r="FJ118" s="2">
        <v>4</v>
      </c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</row>
    <row r="119" spans="1:200" x14ac:dyDescent="0.25">
      <c r="A119" s="2" t="s">
        <v>958</v>
      </c>
      <c r="B119" s="2" t="s">
        <v>200</v>
      </c>
      <c r="C119" s="2" t="s">
        <v>958</v>
      </c>
      <c r="D119" s="2">
        <v>2</v>
      </c>
      <c r="E119" s="2">
        <v>0</v>
      </c>
      <c r="F119" s="2">
        <v>9</v>
      </c>
      <c r="G119" s="2">
        <v>1</v>
      </c>
      <c r="H119" s="2">
        <v>2</v>
      </c>
      <c r="I119" s="2">
        <v>10</v>
      </c>
      <c r="J119" s="2">
        <v>63</v>
      </c>
      <c r="K119" s="2">
        <v>68</v>
      </c>
      <c r="L119" s="2">
        <v>0</v>
      </c>
      <c r="M119" s="2">
        <v>0</v>
      </c>
      <c r="N119" s="2">
        <v>0</v>
      </c>
      <c r="O119" s="2">
        <v>131</v>
      </c>
      <c r="P119" s="2">
        <v>131</v>
      </c>
      <c r="Q119" s="2">
        <v>131</v>
      </c>
      <c r="R119" s="2">
        <v>131</v>
      </c>
      <c r="S119" s="2">
        <v>63</v>
      </c>
      <c r="T119" s="2">
        <v>-0.26315789473684204</v>
      </c>
      <c r="U119" s="2">
        <v>0</v>
      </c>
      <c r="V119" s="2" t="e">
        <v>#DIV/0!</v>
      </c>
      <c r="W119" s="2">
        <v>0</v>
      </c>
      <c r="X119" s="2" t="e">
        <v>#DIV/0!</v>
      </c>
      <c r="Y119" s="2">
        <v>2</v>
      </c>
      <c r="Z119" s="2">
        <v>4</v>
      </c>
      <c r="AA119" s="2">
        <v>0</v>
      </c>
      <c r="AB119" s="2">
        <v>6</v>
      </c>
      <c r="AG119" s="2">
        <v>1</v>
      </c>
      <c r="AH119" s="2">
        <v>1</v>
      </c>
      <c r="AI119" s="2">
        <v>1</v>
      </c>
      <c r="AJ119" s="2">
        <v>1</v>
      </c>
      <c r="AK119" s="2">
        <v>1</v>
      </c>
      <c r="AL119" s="2">
        <v>29</v>
      </c>
      <c r="AM119" s="2">
        <v>881.59699999999998</v>
      </c>
      <c r="AN119" s="2">
        <v>877.71400000000006</v>
      </c>
      <c r="AO119" s="2">
        <v>3.8829999999999245</v>
      </c>
      <c r="AP119" s="2">
        <v>131.00119000000001</v>
      </c>
      <c r="AQ119" s="65">
        <v>2</v>
      </c>
      <c r="AR119" s="65">
        <v>2</v>
      </c>
      <c r="AS119" s="65">
        <v>2</v>
      </c>
      <c r="AT119" s="65">
        <v>2</v>
      </c>
      <c r="AU119" s="65">
        <v>2</v>
      </c>
      <c r="AV119" s="65">
        <v>2</v>
      </c>
      <c r="AW119" s="65">
        <v>2</v>
      </c>
      <c r="AX119" s="65">
        <v>2</v>
      </c>
      <c r="AY119" s="65">
        <v>2</v>
      </c>
      <c r="AZ119" s="65">
        <v>2</v>
      </c>
      <c r="BA119" s="65">
        <v>2</v>
      </c>
      <c r="BB119" s="65">
        <v>2</v>
      </c>
      <c r="BC119" s="65">
        <v>2</v>
      </c>
      <c r="BD119" s="65">
        <v>2</v>
      </c>
      <c r="BE119" s="65">
        <v>2</v>
      </c>
      <c r="BF119" s="65">
        <v>2</v>
      </c>
      <c r="BG119" s="65">
        <v>2</v>
      </c>
      <c r="BH119" s="65">
        <v>2</v>
      </c>
      <c r="BI119" s="65">
        <v>2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0</v>
      </c>
      <c r="BT119" s="65">
        <v>0</v>
      </c>
      <c r="BU119" s="65">
        <v>0</v>
      </c>
      <c r="BV119" s="65">
        <v>0</v>
      </c>
      <c r="BW119" s="65">
        <v>0</v>
      </c>
      <c r="BX119" s="65">
        <v>0</v>
      </c>
      <c r="BY119" s="65">
        <v>0</v>
      </c>
      <c r="BZ119" s="65">
        <v>0</v>
      </c>
      <c r="CA119" s="65">
        <v>0</v>
      </c>
      <c r="CB119" s="65">
        <v>0</v>
      </c>
      <c r="CC119" s="65">
        <v>0</v>
      </c>
      <c r="CD119" s="65">
        <v>0</v>
      </c>
      <c r="CE119" s="65">
        <v>0</v>
      </c>
      <c r="CF119" s="65">
        <v>0</v>
      </c>
      <c r="CG119" s="65">
        <v>1</v>
      </c>
      <c r="CH119" s="65">
        <v>0</v>
      </c>
      <c r="CI119" s="65">
        <v>1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7</v>
      </c>
      <c r="CT119" s="65">
        <v>6</v>
      </c>
      <c r="CU119" s="65">
        <v>8</v>
      </c>
      <c r="CV119" s="65">
        <v>7</v>
      </c>
      <c r="CW119" s="65">
        <v>8</v>
      </c>
      <c r="CX119" s="65">
        <v>7</v>
      </c>
      <c r="CY119" s="65">
        <v>6</v>
      </c>
      <c r="CZ119" s="65">
        <v>6</v>
      </c>
      <c r="DA119" s="65">
        <v>9</v>
      </c>
      <c r="DB119" s="65">
        <v>8</v>
      </c>
      <c r="DC119" s="65">
        <v>10</v>
      </c>
      <c r="DD119" s="65">
        <v>6</v>
      </c>
      <c r="DE119" s="65">
        <v>6</v>
      </c>
      <c r="DF119" s="65">
        <v>7</v>
      </c>
      <c r="DG119" s="65">
        <v>7</v>
      </c>
      <c r="DH119" s="65">
        <v>5</v>
      </c>
      <c r="DI119" s="65">
        <v>6</v>
      </c>
      <c r="DJ119" s="65">
        <v>6</v>
      </c>
      <c r="DK119" s="65">
        <v>6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705</v>
      </c>
      <c r="DU119" s="2" t="s">
        <v>490</v>
      </c>
      <c r="DV119" s="2">
        <v>1</v>
      </c>
      <c r="DW119" s="2" t="s">
        <v>16</v>
      </c>
      <c r="DX119" s="2">
        <v>1</v>
      </c>
      <c r="DY119" s="2">
        <v>4</v>
      </c>
      <c r="DZ119" s="2">
        <v>3</v>
      </c>
      <c r="EA119" s="2">
        <v>4</v>
      </c>
      <c r="EB119" s="2">
        <v>4</v>
      </c>
      <c r="EC119" s="2">
        <v>4</v>
      </c>
      <c r="ED119" s="2">
        <v>3</v>
      </c>
      <c r="EE119" s="2">
        <v>3</v>
      </c>
      <c r="EF119" s="2">
        <v>3</v>
      </c>
      <c r="EG119" s="2">
        <v>4</v>
      </c>
      <c r="EH119" s="2">
        <v>4</v>
      </c>
      <c r="EI119" s="2">
        <v>4</v>
      </c>
      <c r="EJ119" s="2">
        <v>3</v>
      </c>
      <c r="EK119" s="2">
        <v>3</v>
      </c>
      <c r="EL119" s="2">
        <v>4</v>
      </c>
      <c r="EM119" s="2">
        <v>3</v>
      </c>
      <c r="EN119" s="2">
        <v>2</v>
      </c>
      <c r="EO119" s="2">
        <v>3</v>
      </c>
      <c r="EP119" s="2">
        <v>2</v>
      </c>
      <c r="EQ119" s="2">
        <v>3</v>
      </c>
      <c r="ER119" s="2">
        <v>3</v>
      </c>
      <c r="ES119" s="2">
        <v>3</v>
      </c>
      <c r="ET119" s="2">
        <v>4</v>
      </c>
      <c r="EU119" s="2">
        <v>3</v>
      </c>
      <c r="EV119" s="2">
        <v>4</v>
      </c>
      <c r="EW119" s="2">
        <v>4</v>
      </c>
      <c r="EX119" s="2">
        <v>3</v>
      </c>
      <c r="EY119" s="2">
        <v>3</v>
      </c>
      <c r="EZ119" s="2">
        <v>5</v>
      </c>
      <c r="FA119" s="2">
        <v>4</v>
      </c>
      <c r="FB119" s="2">
        <v>6</v>
      </c>
      <c r="FC119" s="2">
        <v>3</v>
      </c>
      <c r="FD119" s="2">
        <v>3</v>
      </c>
      <c r="FE119" s="2">
        <v>3</v>
      </c>
      <c r="FF119" s="2">
        <v>4</v>
      </c>
      <c r="FG119" s="2">
        <v>3</v>
      </c>
      <c r="FH119" s="2">
        <v>3</v>
      </c>
      <c r="FI119" s="2">
        <v>4</v>
      </c>
      <c r="FJ119" s="2">
        <v>3</v>
      </c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</row>
    <row r="120" spans="1:200" x14ac:dyDescent="0.25">
      <c r="A120" s="2" t="s">
        <v>959</v>
      </c>
      <c r="B120" s="2" t="s">
        <v>3</v>
      </c>
      <c r="C120" s="2" t="s">
        <v>959</v>
      </c>
      <c r="D120" s="2">
        <v>5</v>
      </c>
      <c r="E120" s="2">
        <v>0</v>
      </c>
      <c r="F120" s="2">
        <v>7</v>
      </c>
      <c r="G120" s="2">
        <v>4</v>
      </c>
      <c r="H120" s="2">
        <v>5</v>
      </c>
      <c r="I120" s="2">
        <v>11</v>
      </c>
      <c r="J120" s="2">
        <v>66</v>
      </c>
      <c r="K120" s="2">
        <v>66</v>
      </c>
      <c r="L120" s="2">
        <v>0</v>
      </c>
      <c r="M120" s="2">
        <v>0</v>
      </c>
      <c r="N120" s="2">
        <v>0</v>
      </c>
      <c r="O120" s="2">
        <v>132</v>
      </c>
      <c r="P120" s="2">
        <v>132</v>
      </c>
      <c r="Q120" s="2">
        <v>132</v>
      </c>
      <c r="R120" s="2">
        <v>132</v>
      </c>
      <c r="S120" s="2">
        <v>66</v>
      </c>
      <c r="T120" s="2">
        <v>0</v>
      </c>
      <c r="U120" s="2">
        <v>0</v>
      </c>
      <c r="V120" s="2" t="e">
        <v>#DIV/0!</v>
      </c>
      <c r="W120" s="2">
        <v>0</v>
      </c>
      <c r="X120" s="2" t="e">
        <v>#DIV/0!</v>
      </c>
      <c r="Y120" s="2">
        <v>3</v>
      </c>
      <c r="Z120" s="2">
        <v>6</v>
      </c>
      <c r="AA120" s="2">
        <v>2</v>
      </c>
      <c r="AB120" s="2">
        <v>5</v>
      </c>
      <c r="AG120" s="2">
        <v>32</v>
      </c>
      <c r="AH120" s="2">
        <v>29</v>
      </c>
      <c r="AI120" s="2">
        <v>29</v>
      </c>
      <c r="AJ120" s="2">
        <v>29</v>
      </c>
      <c r="AK120" s="2">
        <v>29</v>
      </c>
      <c r="AL120" s="2">
        <v>30</v>
      </c>
      <c r="AM120" s="2">
        <v>873.00400000000002</v>
      </c>
      <c r="AN120" s="2">
        <v>885.18799999999999</v>
      </c>
      <c r="AO120" s="2">
        <v>-12.183999999999969</v>
      </c>
      <c r="AP120" s="2">
        <v>132.00120000000001</v>
      </c>
      <c r="AQ120" s="65">
        <v>2</v>
      </c>
      <c r="AR120" s="65">
        <v>2</v>
      </c>
      <c r="AS120" s="65">
        <v>2</v>
      </c>
      <c r="AT120" s="65">
        <v>2</v>
      </c>
      <c r="AU120" s="65">
        <v>2</v>
      </c>
      <c r="AV120" s="65">
        <v>2</v>
      </c>
      <c r="AW120" s="65">
        <v>2</v>
      </c>
      <c r="AX120" s="65">
        <v>2</v>
      </c>
      <c r="AY120" s="65">
        <v>2</v>
      </c>
      <c r="AZ120" s="65">
        <v>2</v>
      </c>
      <c r="BA120" s="65">
        <v>2</v>
      </c>
      <c r="BB120" s="65">
        <v>2</v>
      </c>
      <c r="BC120" s="65">
        <v>2</v>
      </c>
      <c r="BD120" s="65">
        <v>2</v>
      </c>
      <c r="BE120" s="65">
        <v>2</v>
      </c>
      <c r="BF120" s="65">
        <v>2</v>
      </c>
      <c r="BG120" s="65">
        <v>2</v>
      </c>
      <c r="BH120" s="65">
        <v>2</v>
      </c>
      <c r="BI120" s="65">
        <v>2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0</v>
      </c>
      <c r="BT120" s="65">
        <v>0</v>
      </c>
      <c r="BU120" s="65">
        <v>1</v>
      </c>
      <c r="BV120" s="65">
        <v>1</v>
      </c>
      <c r="BW120" s="65">
        <v>0</v>
      </c>
      <c r="BX120" s="65">
        <v>0</v>
      </c>
      <c r="BY120" s="65">
        <v>0</v>
      </c>
      <c r="BZ120" s="65">
        <v>1</v>
      </c>
      <c r="CA120" s="65">
        <v>0</v>
      </c>
      <c r="CB120" s="65">
        <v>0</v>
      </c>
      <c r="CC120" s="65">
        <v>0</v>
      </c>
      <c r="CD120" s="65">
        <v>1</v>
      </c>
      <c r="CE120" s="65">
        <v>0</v>
      </c>
      <c r="CF120" s="65">
        <v>0</v>
      </c>
      <c r="CG120" s="65">
        <v>0</v>
      </c>
      <c r="CH120" s="65">
        <v>0</v>
      </c>
      <c r="CI120" s="65">
        <v>1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8</v>
      </c>
      <c r="CT120" s="65">
        <v>6</v>
      </c>
      <c r="CU120" s="65">
        <v>8</v>
      </c>
      <c r="CV120" s="65">
        <v>6</v>
      </c>
      <c r="CW120" s="65">
        <v>7</v>
      </c>
      <c r="CX120" s="65">
        <v>7</v>
      </c>
      <c r="CY120" s="65">
        <v>7</v>
      </c>
      <c r="CZ120" s="65">
        <v>6</v>
      </c>
      <c r="DA120" s="65">
        <v>7</v>
      </c>
      <c r="DB120" s="65">
        <v>9</v>
      </c>
      <c r="DC120" s="65">
        <v>8</v>
      </c>
      <c r="DD120" s="65">
        <v>8</v>
      </c>
      <c r="DE120" s="65">
        <v>5</v>
      </c>
      <c r="DF120" s="65">
        <v>7</v>
      </c>
      <c r="DG120" s="65">
        <v>8</v>
      </c>
      <c r="DH120" s="65">
        <v>6</v>
      </c>
      <c r="DI120" s="65">
        <v>6</v>
      </c>
      <c r="DJ120" s="65">
        <v>6</v>
      </c>
      <c r="DK120" s="65">
        <v>7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348</v>
      </c>
      <c r="DU120" s="2" t="s">
        <v>488</v>
      </c>
      <c r="DV120" s="2">
        <v>29</v>
      </c>
      <c r="DW120" s="2" t="s">
        <v>1</v>
      </c>
      <c r="DX120" s="2">
        <v>29</v>
      </c>
      <c r="DY120" s="2">
        <v>3</v>
      </c>
      <c r="DZ120" s="2">
        <v>3</v>
      </c>
      <c r="EA120" s="2">
        <v>3</v>
      </c>
      <c r="EB120" s="2">
        <v>4</v>
      </c>
      <c r="EC120" s="2">
        <v>3</v>
      </c>
      <c r="ED120" s="2">
        <v>3</v>
      </c>
      <c r="EE120" s="2">
        <v>4</v>
      </c>
      <c r="EF120" s="2">
        <v>3</v>
      </c>
      <c r="EG120" s="2">
        <v>3</v>
      </c>
      <c r="EH120" s="2">
        <v>5</v>
      </c>
      <c r="EI120" s="2">
        <v>4</v>
      </c>
      <c r="EJ120" s="2">
        <v>5</v>
      </c>
      <c r="EK120" s="2">
        <v>2</v>
      </c>
      <c r="EL120" s="2">
        <v>3</v>
      </c>
      <c r="EM120" s="2">
        <v>5</v>
      </c>
      <c r="EN120" s="2">
        <v>3</v>
      </c>
      <c r="EO120" s="2">
        <v>3</v>
      </c>
      <c r="EP120" s="2">
        <v>4</v>
      </c>
      <c r="EQ120" s="2">
        <v>3</v>
      </c>
      <c r="ER120" s="2">
        <v>5</v>
      </c>
      <c r="ES120" s="2">
        <v>3</v>
      </c>
      <c r="ET120" s="2">
        <v>5</v>
      </c>
      <c r="EU120" s="2">
        <v>2</v>
      </c>
      <c r="EV120" s="2">
        <v>4</v>
      </c>
      <c r="EW120" s="2">
        <v>4</v>
      </c>
      <c r="EX120" s="2">
        <v>3</v>
      </c>
      <c r="EY120" s="2">
        <v>3</v>
      </c>
      <c r="EZ120" s="2">
        <v>4</v>
      </c>
      <c r="FA120" s="2">
        <v>4</v>
      </c>
      <c r="FB120" s="2">
        <v>4</v>
      </c>
      <c r="FC120" s="2">
        <v>3</v>
      </c>
      <c r="FD120" s="2">
        <v>3</v>
      </c>
      <c r="FE120" s="2">
        <v>4</v>
      </c>
      <c r="FF120" s="2">
        <v>3</v>
      </c>
      <c r="FG120" s="2">
        <v>3</v>
      </c>
      <c r="FH120" s="2">
        <v>3</v>
      </c>
      <c r="FI120" s="2">
        <v>2</v>
      </c>
      <c r="FJ120" s="2">
        <v>4</v>
      </c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</row>
    <row r="121" spans="1:200" x14ac:dyDescent="0.25">
      <c r="A121" s="2" t="s">
        <v>960</v>
      </c>
      <c r="B121" s="2" t="s">
        <v>207</v>
      </c>
      <c r="C121" s="2" t="s">
        <v>959</v>
      </c>
      <c r="D121" s="2">
        <v>5</v>
      </c>
      <c r="E121" s="2">
        <v>0</v>
      </c>
      <c r="F121" s="2">
        <v>9</v>
      </c>
      <c r="G121" s="2">
        <v>3</v>
      </c>
      <c r="H121" s="2">
        <v>5</v>
      </c>
      <c r="I121" s="2">
        <v>12</v>
      </c>
      <c r="J121" s="2">
        <v>65</v>
      </c>
      <c r="K121" s="2">
        <v>67</v>
      </c>
      <c r="L121" s="2">
        <v>0</v>
      </c>
      <c r="M121" s="2">
        <v>0</v>
      </c>
      <c r="N121" s="2">
        <v>0</v>
      </c>
      <c r="O121" s="2">
        <v>132</v>
      </c>
      <c r="P121" s="2">
        <v>132</v>
      </c>
      <c r="Q121" s="2">
        <v>132</v>
      </c>
      <c r="R121" s="2">
        <v>132</v>
      </c>
      <c r="S121" s="2">
        <v>65</v>
      </c>
      <c r="T121" s="2">
        <v>-0.10526315789473673</v>
      </c>
      <c r="U121" s="2">
        <v>0</v>
      </c>
      <c r="V121" s="2" t="e">
        <v>#DIV/0!</v>
      </c>
      <c r="W121" s="2">
        <v>0</v>
      </c>
      <c r="X121" s="2" t="e">
        <v>#DIV/0!</v>
      </c>
      <c r="Y121" s="2">
        <v>2</v>
      </c>
      <c r="Z121" s="2">
        <v>5</v>
      </c>
      <c r="AA121" s="2">
        <v>3</v>
      </c>
      <c r="AB121" s="2">
        <v>7</v>
      </c>
      <c r="AG121" s="2">
        <v>29</v>
      </c>
      <c r="AH121" s="2">
        <v>29</v>
      </c>
      <c r="AI121" s="2">
        <v>29</v>
      </c>
      <c r="AJ121" s="2">
        <v>29</v>
      </c>
      <c r="AK121" s="2">
        <v>29</v>
      </c>
      <c r="AL121" s="2">
        <v>31</v>
      </c>
      <c r="AM121" s="2">
        <v>873.00400000000002</v>
      </c>
      <c r="AN121" s="2">
        <v>804.39</v>
      </c>
      <c r="AO121" s="2">
        <v>68.614000000000033</v>
      </c>
      <c r="AP121" s="2">
        <v>132.00120999999999</v>
      </c>
      <c r="AQ121" s="65">
        <v>2</v>
      </c>
      <c r="AR121" s="65">
        <v>2</v>
      </c>
      <c r="AS121" s="65">
        <v>2</v>
      </c>
      <c r="AT121" s="65">
        <v>2</v>
      </c>
      <c r="AU121" s="65">
        <v>2</v>
      </c>
      <c r="AV121" s="65">
        <v>2</v>
      </c>
      <c r="AW121" s="65">
        <v>2</v>
      </c>
      <c r="AX121" s="65">
        <v>2</v>
      </c>
      <c r="AY121" s="65">
        <v>2</v>
      </c>
      <c r="AZ121" s="65">
        <v>2</v>
      </c>
      <c r="BA121" s="65">
        <v>2</v>
      </c>
      <c r="BB121" s="65">
        <v>2</v>
      </c>
      <c r="BC121" s="65">
        <v>2</v>
      </c>
      <c r="BD121" s="65">
        <v>2</v>
      </c>
      <c r="BE121" s="65">
        <v>2</v>
      </c>
      <c r="BF121" s="65">
        <v>2</v>
      </c>
      <c r="BG121" s="65">
        <v>2</v>
      </c>
      <c r="BH121" s="65">
        <v>2</v>
      </c>
      <c r="BI121" s="65">
        <v>2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1</v>
      </c>
      <c r="BS121" s="65">
        <v>0</v>
      </c>
      <c r="BT121" s="65">
        <v>0</v>
      </c>
      <c r="BU121" s="65">
        <v>0</v>
      </c>
      <c r="BV121" s="65">
        <v>1</v>
      </c>
      <c r="BW121" s="65">
        <v>0</v>
      </c>
      <c r="BX121" s="65">
        <v>0</v>
      </c>
      <c r="BY121" s="65">
        <v>0</v>
      </c>
      <c r="BZ121" s="65">
        <v>0</v>
      </c>
      <c r="CA121" s="65">
        <v>0</v>
      </c>
      <c r="CB121" s="65">
        <v>0</v>
      </c>
      <c r="CC121" s="65">
        <v>0</v>
      </c>
      <c r="CD121" s="65">
        <v>1</v>
      </c>
      <c r="CE121" s="65">
        <v>0</v>
      </c>
      <c r="CF121" s="65">
        <v>1</v>
      </c>
      <c r="CG121" s="65">
        <v>0</v>
      </c>
      <c r="CH121" s="65">
        <v>0</v>
      </c>
      <c r="CI121" s="65">
        <v>1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5</v>
      </c>
      <c r="CT121" s="65">
        <v>6</v>
      </c>
      <c r="CU121" s="65">
        <v>7</v>
      </c>
      <c r="CV121" s="65">
        <v>7</v>
      </c>
      <c r="CW121" s="65">
        <v>7</v>
      </c>
      <c r="CX121" s="65">
        <v>7</v>
      </c>
      <c r="CY121" s="65">
        <v>8</v>
      </c>
      <c r="CZ121" s="65">
        <v>6</v>
      </c>
      <c r="DA121" s="65">
        <v>10</v>
      </c>
      <c r="DB121" s="65">
        <v>10</v>
      </c>
      <c r="DC121" s="65">
        <v>11</v>
      </c>
      <c r="DD121" s="65">
        <v>6</v>
      </c>
      <c r="DE121" s="65">
        <v>6</v>
      </c>
      <c r="DF121" s="65">
        <v>6</v>
      </c>
      <c r="DG121" s="65">
        <v>5</v>
      </c>
      <c r="DH121" s="65">
        <v>6</v>
      </c>
      <c r="DI121" s="65">
        <v>6</v>
      </c>
      <c r="DJ121" s="65">
        <v>6</v>
      </c>
      <c r="DK121" s="65">
        <v>7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539</v>
      </c>
      <c r="DU121" s="2" t="s">
        <v>488</v>
      </c>
      <c r="DV121" s="2">
        <v>29</v>
      </c>
      <c r="DW121" s="2" t="s">
        <v>1</v>
      </c>
      <c r="DX121" s="2">
        <v>29</v>
      </c>
      <c r="DY121" s="2">
        <v>3</v>
      </c>
      <c r="DZ121" s="2">
        <v>3</v>
      </c>
      <c r="EA121" s="2">
        <v>3</v>
      </c>
      <c r="EB121" s="2">
        <v>4</v>
      </c>
      <c r="EC121" s="2">
        <v>3</v>
      </c>
      <c r="ED121" s="2">
        <v>4</v>
      </c>
      <c r="EE121" s="2">
        <v>3</v>
      </c>
      <c r="EF121" s="2">
        <v>3</v>
      </c>
      <c r="EG121" s="2">
        <v>5</v>
      </c>
      <c r="EH121" s="2">
        <v>4</v>
      </c>
      <c r="EI121" s="2">
        <v>6</v>
      </c>
      <c r="EJ121" s="2">
        <v>3</v>
      </c>
      <c r="EK121" s="2">
        <v>2</v>
      </c>
      <c r="EL121" s="2">
        <v>3</v>
      </c>
      <c r="EM121" s="2">
        <v>3</v>
      </c>
      <c r="EN121" s="2">
        <v>3</v>
      </c>
      <c r="EO121" s="2">
        <v>3</v>
      </c>
      <c r="EP121" s="2">
        <v>4</v>
      </c>
      <c r="EQ121" s="2">
        <v>3</v>
      </c>
      <c r="ER121" s="2">
        <v>2</v>
      </c>
      <c r="ES121" s="2">
        <v>3</v>
      </c>
      <c r="ET121" s="2">
        <v>4</v>
      </c>
      <c r="EU121" s="2">
        <v>3</v>
      </c>
      <c r="EV121" s="2">
        <v>4</v>
      </c>
      <c r="EW121" s="2">
        <v>3</v>
      </c>
      <c r="EX121" s="2">
        <v>5</v>
      </c>
      <c r="EY121" s="2">
        <v>3</v>
      </c>
      <c r="EZ121" s="2">
        <v>5</v>
      </c>
      <c r="FA121" s="2">
        <v>6</v>
      </c>
      <c r="FB121" s="2">
        <v>5</v>
      </c>
      <c r="FC121" s="2">
        <v>3</v>
      </c>
      <c r="FD121" s="2">
        <v>4</v>
      </c>
      <c r="FE121" s="2">
        <v>3</v>
      </c>
      <c r="FF121" s="2">
        <v>2</v>
      </c>
      <c r="FG121" s="2">
        <v>3</v>
      </c>
      <c r="FH121" s="2">
        <v>3</v>
      </c>
      <c r="FI121" s="2">
        <v>2</v>
      </c>
      <c r="FJ121" s="2">
        <v>4</v>
      </c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</row>
    <row r="122" spans="1:200" x14ac:dyDescent="0.25">
      <c r="A122" s="2" t="s">
        <v>961</v>
      </c>
      <c r="B122" s="2" t="s">
        <v>705</v>
      </c>
      <c r="C122" s="2" t="s">
        <v>959</v>
      </c>
      <c r="D122" s="2">
        <v>5</v>
      </c>
      <c r="E122" s="2">
        <v>0</v>
      </c>
      <c r="F122" s="2">
        <v>10</v>
      </c>
      <c r="G122" s="2">
        <v>2</v>
      </c>
      <c r="H122" s="2">
        <v>5</v>
      </c>
      <c r="I122" s="2">
        <v>12</v>
      </c>
      <c r="J122" s="2">
        <v>65</v>
      </c>
      <c r="K122" s="2">
        <v>67</v>
      </c>
      <c r="L122" s="2">
        <v>0</v>
      </c>
      <c r="M122" s="2">
        <v>0</v>
      </c>
      <c r="N122" s="2">
        <v>0</v>
      </c>
      <c r="O122" s="2">
        <v>132</v>
      </c>
      <c r="P122" s="2">
        <v>132</v>
      </c>
      <c r="Q122" s="2">
        <v>132</v>
      </c>
      <c r="R122" s="2">
        <v>132</v>
      </c>
      <c r="S122" s="2">
        <v>65</v>
      </c>
      <c r="T122" s="2">
        <v>-0.10526315789473673</v>
      </c>
      <c r="U122" s="2">
        <v>0</v>
      </c>
      <c r="V122" s="2" t="e">
        <v>#DIV/0!</v>
      </c>
      <c r="W122" s="2">
        <v>0</v>
      </c>
      <c r="X122" s="2" t="e">
        <v>#DIV/0!</v>
      </c>
      <c r="Y122" s="2">
        <v>5</v>
      </c>
      <c r="Z122" s="2">
        <v>8</v>
      </c>
      <c r="AA122" s="2">
        <v>0</v>
      </c>
      <c r="AB122" s="2">
        <v>4</v>
      </c>
      <c r="AG122" s="2">
        <v>29</v>
      </c>
      <c r="AH122" s="2">
        <v>29</v>
      </c>
      <c r="AI122" s="2">
        <v>29</v>
      </c>
      <c r="AJ122" s="2">
        <v>29</v>
      </c>
      <c r="AK122" s="2">
        <v>29</v>
      </c>
      <c r="AL122" s="2">
        <v>32</v>
      </c>
      <c r="AM122" s="2">
        <v>873.00400000000002</v>
      </c>
      <c r="AN122" s="2">
        <v>846.72299999999996</v>
      </c>
      <c r="AO122" s="2">
        <v>26.281000000000063</v>
      </c>
      <c r="AP122" s="2">
        <v>132.00121999999999</v>
      </c>
      <c r="AQ122" s="65">
        <v>2</v>
      </c>
      <c r="AR122" s="65">
        <v>2</v>
      </c>
      <c r="AS122" s="65">
        <v>2</v>
      </c>
      <c r="AT122" s="65">
        <v>2</v>
      </c>
      <c r="AU122" s="65">
        <v>2</v>
      </c>
      <c r="AV122" s="65">
        <v>2</v>
      </c>
      <c r="AW122" s="65">
        <v>2</v>
      </c>
      <c r="AX122" s="65">
        <v>2</v>
      </c>
      <c r="AY122" s="65">
        <v>2</v>
      </c>
      <c r="AZ122" s="65">
        <v>2</v>
      </c>
      <c r="BA122" s="65">
        <v>2</v>
      </c>
      <c r="BB122" s="65">
        <v>2</v>
      </c>
      <c r="BC122" s="65">
        <v>2</v>
      </c>
      <c r="BD122" s="65">
        <v>2</v>
      </c>
      <c r="BE122" s="65">
        <v>2</v>
      </c>
      <c r="BF122" s="65">
        <v>2</v>
      </c>
      <c r="BG122" s="65">
        <v>2</v>
      </c>
      <c r="BH122" s="65">
        <v>2</v>
      </c>
      <c r="BI122" s="65">
        <v>2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1</v>
      </c>
      <c r="BY122" s="65">
        <v>1</v>
      </c>
      <c r="BZ122" s="65">
        <v>0</v>
      </c>
      <c r="CA122" s="65">
        <v>0</v>
      </c>
      <c r="CB122" s="65">
        <v>0</v>
      </c>
      <c r="CC122" s="65">
        <v>1</v>
      </c>
      <c r="CD122" s="65">
        <v>0</v>
      </c>
      <c r="CE122" s="65">
        <v>0</v>
      </c>
      <c r="CF122" s="65">
        <v>0</v>
      </c>
      <c r="CG122" s="65">
        <v>1</v>
      </c>
      <c r="CH122" s="65">
        <v>1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6</v>
      </c>
      <c r="CT122" s="65">
        <v>6</v>
      </c>
      <c r="CU122" s="65">
        <v>6</v>
      </c>
      <c r="CV122" s="65">
        <v>6</v>
      </c>
      <c r="CW122" s="65">
        <v>10</v>
      </c>
      <c r="CX122" s="65">
        <v>8</v>
      </c>
      <c r="CY122" s="65">
        <v>5</v>
      </c>
      <c r="CZ122" s="65">
        <v>5</v>
      </c>
      <c r="DA122" s="65">
        <v>9</v>
      </c>
      <c r="DB122" s="65">
        <v>8</v>
      </c>
      <c r="DC122" s="65">
        <v>9</v>
      </c>
      <c r="DD122" s="65">
        <v>6</v>
      </c>
      <c r="DE122" s="65">
        <v>6</v>
      </c>
      <c r="DF122" s="65">
        <v>7</v>
      </c>
      <c r="DG122" s="65">
        <v>7</v>
      </c>
      <c r="DH122" s="65">
        <v>5</v>
      </c>
      <c r="DI122" s="65">
        <v>5</v>
      </c>
      <c r="DJ122" s="65">
        <v>11</v>
      </c>
      <c r="DK122" s="65">
        <v>7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464</v>
      </c>
      <c r="DU122" s="2" t="s">
        <v>488</v>
      </c>
      <c r="DV122" s="2">
        <v>29</v>
      </c>
      <c r="DW122" s="2" t="s">
        <v>1</v>
      </c>
      <c r="DX122" s="2">
        <v>29</v>
      </c>
      <c r="DY122" s="2">
        <v>3</v>
      </c>
      <c r="DZ122" s="2">
        <v>3</v>
      </c>
      <c r="EA122" s="2">
        <v>3</v>
      </c>
      <c r="EB122" s="2">
        <v>3</v>
      </c>
      <c r="EC122" s="2">
        <v>5</v>
      </c>
      <c r="ED122" s="2">
        <v>4</v>
      </c>
      <c r="EE122" s="2">
        <v>2</v>
      </c>
      <c r="EF122" s="2">
        <v>2</v>
      </c>
      <c r="EG122" s="2">
        <v>5</v>
      </c>
      <c r="EH122" s="2">
        <v>4</v>
      </c>
      <c r="EI122" s="2">
        <v>5</v>
      </c>
      <c r="EJ122" s="2">
        <v>2</v>
      </c>
      <c r="EK122" s="2">
        <v>3</v>
      </c>
      <c r="EL122" s="2">
        <v>4</v>
      </c>
      <c r="EM122" s="2">
        <v>4</v>
      </c>
      <c r="EN122" s="2">
        <v>2</v>
      </c>
      <c r="EO122" s="2">
        <v>2</v>
      </c>
      <c r="EP122" s="2">
        <v>5</v>
      </c>
      <c r="EQ122" s="2">
        <v>4</v>
      </c>
      <c r="ER122" s="2">
        <v>3</v>
      </c>
      <c r="ES122" s="2">
        <v>3</v>
      </c>
      <c r="ET122" s="2">
        <v>3</v>
      </c>
      <c r="EU122" s="2">
        <v>3</v>
      </c>
      <c r="EV122" s="2">
        <v>5</v>
      </c>
      <c r="EW122" s="2">
        <v>4</v>
      </c>
      <c r="EX122" s="2">
        <v>3</v>
      </c>
      <c r="EY122" s="2">
        <v>3</v>
      </c>
      <c r="EZ122" s="2">
        <v>4</v>
      </c>
      <c r="FA122" s="2">
        <v>4</v>
      </c>
      <c r="FB122" s="2">
        <v>4</v>
      </c>
      <c r="FC122" s="2">
        <v>4</v>
      </c>
      <c r="FD122" s="2">
        <v>3</v>
      </c>
      <c r="FE122" s="2">
        <v>3</v>
      </c>
      <c r="FF122" s="2">
        <v>3</v>
      </c>
      <c r="FG122" s="2">
        <v>3</v>
      </c>
      <c r="FH122" s="2">
        <v>3</v>
      </c>
      <c r="FI122" s="2">
        <v>6</v>
      </c>
      <c r="FJ122" s="2">
        <v>3</v>
      </c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</row>
    <row r="123" spans="1:200" x14ac:dyDescent="0.25">
      <c r="A123" s="2" t="s">
        <v>962</v>
      </c>
      <c r="B123" s="2" t="s">
        <v>410</v>
      </c>
      <c r="C123" s="2" t="s">
        <v>959</v>
      </c>
      <c r="D123" s="2">
        <v>4</v>
      </c>
      <c r="E123" s="2">
        <v>0</v>
      </c>
      <c r="F123" s="2">
        <v>8</v>
      </c>
      <c r="G123" s="2">
        <v>3</v>
      </c>
      <c r="H123" s="2">
        <v>4</v>
      </c>
      <c r="I123" s="2">
        <v>11</v>
      </c>
      <c r="J123" s="2">
        <v>63</v>
      </c>
      <c r="K123" s="2">
        <v>69</v>
      </c>
      <c r="L123" s="2">
        <v>0</v>
      </c>
      <c r="M123" s="2">
        <v>0</v>
      </c>
      <c r="N123" s="2">
        <v>0</v>
      </c>
      <c r="O123" s="2">
        <v>132</v>
      </c>
      <c r="P123" s="2">
        <v>132</v>
      </c>
      <c r="Q123" s="2">
        <v>132</v>
      </c>
      <c r="R123" s="2">
        <v>132</v>
      </c>
      <c r="S123" s="2">
        <v>63</v>
      </c>
      <c r="T123" s="2">
        <v>-0.31578947368421062</v>
      </c>
      <c r="U123" s="2">
        <v>0</v>
      </c>
      <c r="V123" s="2" t="e">
        <v>#DIV/0!</v>
      </c>
      <c r="W123" s="2">
        <v>0</v>
      </c>
      <c r="X123" s="2" t="e">
        <v>#DIV/0!</v>
      </c>
      <c r="Y123" s="2">
        <v>3</v>
      </c>
      <c r="Z123" s="2">
        <v>3</v>
      </c>
      <c r="AA123" s="2">
        <v>1</v>
      </c>
      <c r="AB123" s="2">
        <v>8</v>
      </c>
      <c r="AG123" s="2">
        <v>18</v>
      </c>
      <c r="AH123" s="2">
        <v>29</v>
      </c>
      <c r="AI123" s="2">
        <v>29</v>
      </c>
      <c r="AJ123" s="2">
        <v>29</v>
      </c>
      <c r="AK123" s="2">
        <v>29</v>
      </c>
      <c r="AL123" s="2">
        <v>33</v>
      </c>
      <c r="AM123" s="2">
        <v>873.00400000000002</v>
      </c>
      <c r="AN123" s="2">
        <v>759.41300000000001</v>
      </c>
      <c r="AO123" s="2">
        <v>113.59100000000001</v>
      </c>
      <c r="AP123" s="2">
        <v>132.00122999999999</v>
      </c>
      <c r="AQ123" s="65">
        <v>2</v>
      </c>
      <c r="AR123" s="65">
        <v>2</v>
      </c>
      <c r="AS123" s="65">
        <v>2</v>
      </c>
      <c r="AT123" s="65">
        <v>2</v>
      </c>
      <c r="AU123" s="65">
        <v>2</v>
      </c>
      <c r="AV123" s="65">
        <v>2</v>
      </c>
      <c r="AW123" s="65">
        <v>2</v>
      </c>
      <c r="AX123" s="65">
        <v>2</v>
      </c>
      <c r="AY123" s="65">
        <v>2</v>
      </c>
      <c r="AZ123" s="65">
        <v>2</v>
      </c>
      <c r="BA123" s="65">
        <v>2</v>
      </c>
      <c r="BB123" s="65">
        <v>2</v>
      </c>
      <c r="BC123" s="65">
        <v>2</v>
      </c>
      <c r="BD123" s="65">
        <v>2</v>
      </c>
      <c r="BE123" s="65">
        <v>2</v>
      </c>
      <c r="BF123" s="65">
        <v>2</v>
      </c>
      <c r="BG123" s="65">
        <v>2</v>
      </c>
      <c r="BH123" s="65">
        <v>2</v>
      </c>
      <c r="BI123" s="65">
        <v>2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0</v>
      </c>
      <c r="BT123" s="65">
        <v>0</v>
      </c>
      <c r="BU123" s="65">
        <v>0</v>
      </c>
      <c r="BV123" s="65">
        <v>0</v>
      </c>
      <c r="BW123" s="65">
        <v>0</v>
      </c>
      <c r="BX123" s="65">
        <v>1</v>
      </c>
      <c r="BY123" s="65">
        <v>1</v>
      </c>
      <c r="BZ123" s="65">
        <v>0</v>
      </c>
      <c r="CA123" s="65">
        <v>0</v>
      </c>
      <c r="CB123" s="65">
        <v>0</v>
      </c>
      <c r="CC123" s="65">
        <v>0</v>
      </c>
      <c r="CD123" s="65">
        <v>0</v>
      </c>
      <c r="CE123" s="65">
        <v>1</v>
      </c>
      <c r="CF123" s="65">
        <v>0</v>
      </c>
      <c r="CG123" s="65">
        <v>1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6</v>
      </c>
      <c r="CT123" s="65">
        <v>6</v>
      </c>
      <c r="CU123" s="65">
        <v>6</v>
      </c>
      <c r="CV123" s="65">
        <v>7</v>
      </c>
      <c r="CW123" s="65">
        <v>9</v>
      </c>
      <c r="CX123" s="65">
        <v>7</v>
      </c>
      <c r="CY123" s="65">
        <v>6</v>
      </c>
      <c r="CZ123" s="65">
        <v>6</v>
      </c>
      <c r="DA123" s="65">
        <v>9</v>
      </c>
      <c r="DB123" s="65">
        <v>9</v>
      </c>
      <c r="DC123" s="65">
        <v>10</v>
      </c>
      <c r="DD123" s="65">
        <v>6</v>
      </c>
      <c r="DE123" s="65">
        <v>6</v>
      </c>
      <c r="DF123" s="65">
        <v>5</v>
      </c>
      <c r="DG123" s="65">
        <v>9</v>
      </c>
      <c r="DH123" s="65">
        <v>5</v>
      </c>
      <c r="DI123" s="65">
        <v>6</v>
      </c>
      <c r="DJ123" s="65">
        <v>6</v>
      </c>
      <c r="DK123" s="65">
        <v>8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706</v>
      </c>
      <c r="DU123" s="2" t="s">
        <v>488</v>
      </c>
      <c r="DV123" s="2">
        <v>29</v>
      </c>
      <c r="DW123" s="78" t="s">
        <v>1</v>
      </c>
      <c r="DX123" s="2">
        <v>29</v>
      </c>
      <c r="DY123" s="2">
        <v>3</v>
      </c>
      <c r="DZ123" s="2">
        <v>3</v>
      </c>
      <c r="EA123" s="2">
        <v>3</v>
      </c>
      <c r="EB123" s="2">
        <v>4</v>
      </c>
      <c r="EC123" s="2">
        <v>4</v>
      </c>
      <c r="ED123" s="2">
        <v>3</v>
      </c>
      <c r="EE123" s="2">
        <v>2</v>
      </c>
      <c r="EF123" s="2">
        <v>2</v>
      </c>
      <c r="EG123" s="2">
        <v>4</v>
      </c>
      <c r="EH123" s="2">
        <v>4</v>
      </c>
      <c r="EI123" s="2">
        <v>6</v>
      </c>
      <c r="EJ123" s="2">
        <v>3</v>
      </c>
      <c r="EK123" s="2">
        <v>3</v>
      </c>
      <c r="EL123" s="2">
        <v>2</v>
      </c>
      <c r="EM123" s="2">
        <v>5</v>
      </c>
      <c r="EN123" s="2">
        <v>3</v>
      </c>
      <c r="EO123" s="2">
        <v>3</v>
      </c>
      <c r="EP123" s="2">
        <v>3</v>
      </c>
      <c r="EQ123" s="2">
        <v>3</v>
      </c>
      <c r="ER123" s="2">
        <v>3</v>
      </c>
      <c r="ES123" s="2">
        <v>3</v>
      </c>
      <c r="ET123" s="2">
        <v>3</v>
      </c>
      <c r="EU123" s="2">
        <v>3</v>
      </c>
      <c r="EV123" s="2">
        <v>5</v>
      </c>
      <c r="EW123" s="2">
        <v>4</v>
      </c>
      <c r="EX123" s="2">
        <v>4</v>
      </c>
      <c r="EY123" s="2">
        <v>4</v>
      </c>
      <c r="EZ123" s="2">
        <v>5</v>
      </c>
      <c r="FA123" s="2">
        <v>5</v>
      </c>
      <c r="FB123" s="2">
        <v>4</v>
      </c>
      <c r="FC123" s="2">
        <v>3</v>
      </c>
      <c r="FD123" s="2">
        <v>3</v>
      </c>
      <c r="FE123" s="2">
        <v>3</v>
      </c>
      <c r="FF123" s="2">
        <v>4</v>
      </c>
      <c r="FG123" s="2">
        <v>2</v>
      </c>
      <c r="FH123" s="2">
        <v>3</v>
      </c>
      <c r="FI123" s="2">
        <v>3</v>
      </c>
      <c r="FJ123" s="2">
        <v>5</v>
      </c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</row>
    <row r="124" spans="1:200" x14ac:dyDescent="0.25">
      <c r="A124" s="2" t="s">
        <v>963</v>
      </c>
      <c r="B124" s="2" t="s">
        <v>455</v>
      </c>
      <c r="C124" s="2" t="s">
        <v>959</v>
      </c>
      <c r="D124" s="2">
        <v>4</v>
      </c>
      <c r="E124" s="2">
        <v>0</v>
      </c>
      <c r="F124" s="2">
        <v>12</v>
      </c>
      <c r="G124" s="2">
        <v>1</v>
      </c>
      <c r="H124" s="2">
        <v>4</v>
      </c>
      <c r="I124" s="2">
        <v>13</v>
      </c>
      <c r="J124" s="2">
        <v>63</v>
      </c>
      <c r="K124" s="2">
        <v>69</v>
      </c>
      <c r="L124" s="2">
        <v>0</v>
      </c>
      <c r="M124" s="2">
        <v>0</v>
      </c>
      <c r="N124" s="2">
        <v>0</v>
      </c>
      <c r="O124" s="2">
        <v>132</v>
      </c>
      <c r="P124" s="2">
        <v>132</v>
      </c>
      <c r="Q124" s="2">
        <v>132</v>
      </c>
      <c r="R124" s="2">
        <v>132</v>
      </c>
      <c r="S124" s="2">
        <v>63</v>
      </c>
      <c r="T124" s="2">
        <v>-0.31578947368421062</v>
      </c>
      <c r="U124" s="2">
        <v>0</v>
      </c>
      <c r="V124" s="2" t="e">
        <v>#DIV/0!</v>
      </c>
      <c r="W124" s="2">
        <v>0</v>
      </c>
      <c r="X124" s="2" t="e">
        <v>#DIV/0!</v>
      </c>
      <c r="Y124" s="2">
        <v>3</v>
      </c>
      <c r="Z124" s="2">
        <v>5</v>
      </c>
      <c r="AA124" s="2">
        <v>1</v>
      </c>
      <c r="AB124" s="2">
        <v>8</v>
      </c>
      <c r="AG124" s="2">
        <v>18</v>
      </c>
      <c r="AH124" s="2">
        <v>29</v>
      </c>
      <c r="AI124" s="2">
        <v>29</v>
      </c>
      <c r="AJ124" s="2">
        <v>29</v>
      </c>
      <c r="AK124" s="2">
        <v>29</v>
      </c>
      <c r="AL124" s="2">
        <v>34</v>
      </c>
      <c r="AM124" s="2">
        <v>873.00400000000002</v>
      </c>
      <c r="AN124" s="2">
        <v>0</v>
      </c>
      <c r="AP124" s="2">
        <v>132.00124</v>
      </c>
      <c r="AQ124" s="65">
        <v>2</v>
      </c>
      <c r="AR124" s="65">
        <v>2</v>
      </c>
      <c r="AS124" s="65">
        <v>2</v>
      </c>
      <c r="AT124" s="65">
        <v>2</v>
      </c>
      <c r="AU124" s="65">
        <v>2</v>
      </c>
      <c r="AV124" s="65">
        <v>2</v>
      </c>
      <c r="AW124" s="65">
        <v>2</v>
      </c>
      <c r="AX124" s="65">
        <v>2</v>
      </c>
      <c r="AY124" s="65">
        <v>2</v>
      </c>
      <c r="AZ124" s="65">
        <v>2</v>
      </c>
      <c r="BA124" s="65">
        <v>2</v>
      </c>
      <c r="BB124" s="65">
        <v>2</v>
      </c>
      <c r="BC124" s="65">
        <v>2</v>
      </c>
      <c r="BD124" s="65">
        <v>2</v>
      </c>
      <c r="BE124" s="65">
        <v>2</v>
      </c>
      <c r="BF124" s="65">
        <v>2</v>
      </c>
      <c r="BG124" s="65">
        <v>2</v>
      </c>
      <c r="BH124" s="65">
        <v>2</v>
      </c>
      <c r="BI124" s="65">
        <v>2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0</v>
      </c>
      <c r="BT124" s="65">
        <v>0</v>
      </c>
      <c r="BU124" s="65">
        <v>0</v>
      </c>
      <c r="BV124" s="65">
        <v>1</v>
      </c>
      <c r="BW124" s="65">
        <v>0</v>
      </c>
      <c r="BX124" s="65">
        <v>0</v>
      </c>
      <c r="BY124" s="65">
        <v>1</v>
      </c>
      <c r="BZ124" s="65">
        <v>0</v>
      </c>
      <c r="CA124" s="65">
        <v>0</v>
      </c>
      <c r="CB124" s="65">
        <v>0</v>
      </c>
      <c r="CC124" s="65">
        <v>0</v>
      </c>
      <c r="CD124" s="65">
        <v>0</v>
      </c>
      <c r="CE124" s="65">
        <v>0</v>
      </c>
      <c r="CF124" s="65">
        <v>0</v>
      </c>
      <c r="CG124" s="65">
        <v>1</v>
      </c>
      <c r="CH124" s="65">
        <v>0</v>
      </c>
      <c r="CI124" s="65">
        <v>1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7</v>
      </c>
      <c r="CT124" s="65">
        <v>6</v>
      </c>
      <c r="CU124" s="65">
        <v>7</v>
      </c>
      <c r="CV124" s="65">
        <v>7</v>
      </c>
      <c r="CW124" s="65">
        <v>7</v>
      </c>
      <c r="CX124" s="65">
        <v>7</v>
      </c>
      <c r="CY124" s="65">
        <v>6</v>
      </c>
      <c r="CZ124" s="65">
        <v>5</v>
      </c>
      <c r="DA124" s="65">
        <v>9</v>
      </c>
      <c r="DB124" s="65">
        <v>9</v>
      </c>
      <c r="DC124" s="65">
        <v>9</v>
      </c>
      <c r="DD124" s="65">
        <v>7</v>
      </c>
      <c r="DE124" s="65">
        <v>6</v>
      </c>
      <c r="DF124" s="65">
        <v>7</v>
      </c>
      <c r="DG124" s="65">
        <v>8</v>
      </c>
      <c r="DH124" s="65">
        <v>5</v>
      </c>
      <c r="DI124" s="65">
        <v>6</v>
      </c>
      <c r="DJ124" s="65">
        <v>7</v>
      </c>
      <c r="DK124" s="65">
        <v>7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707</v>
      </c>
      <c r="DU124" s="2" t="s">
        <v>488</v>
      </c>
      <c r="DV124" s="2">
        <v>29</v>
      </c>
      <c r="DW124" s="2" t="s">
        <v>1</v>
      </c>
      <c r="DX124" s="2">
        <v>29</v>
      </c>
      <c r="DY124" s="2">
        <v>3</v>
      </c>
      <c r="DZ124" s="2">
        <v>3</v>
      </c>
      <c r="EA124" s="2">
        <v>4</v>
      </c>
      <c r="EB124" s="2">
        <v>4</v>
      </c>
      <c r="EC124" s="2">
        <v>3</v>
      </c>
      <c r="ED124" s="2">
        <v>3</v>
      </c>
      <c r="EE124" s="2">
        <v>3</v>
      </c>
      <c r="EF124" s="2">
        <v>3</v>
      </c>
      <c r="EG124" s="2">
        <v>4</v>
      </c>
      <c r="EH124" s="2">
        <v>5</v>
      </c>
      <c r="EI124" s="2">
        <v>5</v>
      </c>
      <c r="EJ124" s="2">
        <v>3</v>
      </c>
      <c r="EK124" s="2">
        <v>3</v>
      </c>
      <c r="EL124" s="2">
        <v>3</v>
      </c>
      <c r="EM124" s="2">
        <v>4</v>
      </c>
      <c r="EN124" s="2">
        <v>2</v>
      </c>
      <c r="EO124" s="2">
        <v>3</v>
      </c>
      <c r="EP124" s="2">
        <v>2</v>
      </c>
      <c r="EQ124" s="2">
        <v>3</v>
      </c>
      <c r="ER124" s="2">
        <v>4</v>
      </c>
      <c r="ES124" s="2">
        <v>3</v>
      </c>
      <c r="ET124" s="2">
        <v>3</v>
      </c>
      <c r="EU124" s="2">
        <v>3</v>
      </c>
      <c r="EV124" s="2">
        <v>4</v>
      </c>
      <c r="EW124" s="2">
        <v>4</v>
      </c>
      <c r="EX124" s="2">
        <v>3</v>
      </c>
      <c r="EY124" s="2">
        <v>2</v>
      </c>
      <c r="EZ124" s="2">
        <v>5</v>
      </c>
      <c r="FA124" s="2">
        <v>4</v>
      </c>
      <c r="FB124" s="2">
        <v>4</v>
      </c>
      <c r="FC124" s="2">
        <v>4</v>
      </c>
      <c r="FD124" s="2">
        <v>3</v>
      </c>
      <c r="FE124" s="2">
        <v>4</v>
      </c>
      <c r="FF124" s="2">
        <v>4</v>
      </c>
      <c r="FG124" s="2">
        <v>3</v>
      </c>
      <c r="FH124" s="2">
        <v>3</v>
      </c>
      <c r="FI124" s="2">
        <v>5</v>
      </c>
      <c r="FJ124" s="2">
        <v>4</v>
      </c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</row>
    <row r="125" spans="1:200" x14ac:dyDescent="0.25">
      <c r="A125" s="2" t="s">
        <v>964</v>
      </c>
      <c r="B125" s="2" t="s">
        <v>571</v>
      </c>
      <c r="C125" s="2" t="s">
        <v>964</v>
      </c>
      <c r="D125" s="2">
        <v>6</v>
      </c>
      <c r="E125" s="2">
        <v>0</v>
      </c>
      <c r="F125" s="2">
        <v>12</v>
      </c>
      <c r="G125" s="2">
        <v>3</v>
      </c>
      <c r="H125" s="2">
        <v>6</v>
      </c>
      <c r="I125" s="2">
        <v>15</v>
      </c>
      <c r="J125" s="2">
        <v>67</v>
      </c>
      <c r="K125" s="2">
        <v>67</v>
      </c>
      <c r="L125" s="2">
        <v>0</v>
      </c>
      <c r="M125" s="2">
        <v>0</v>
      </c>
      <c r="N125" s="2">
        <v>0</v>
      </c>
      <c r="O125" s="2">
        <v>134</v>
      </c>
      <c r="P125" s="2">
        <v>134</v>
      </c>
      <c r="Q125" s="2">
        <v>134</v>
      </c>
      <c r="R125" s="2">
        <v>134</v>
      </c>
      <c r="S125" s="2">
        <v>67</v>
      </c>
      <c r="T125" s="2">
        <v>0</v>
      </c>
      <c r="U125" s="2">
        <v>0</v>
      </c>
      <c r="V125" s="2" t="e">
        <v>#DIV/0!</v>
      </c>
      <c r="W125" s="2">
        <v>0</v>
      </c>
      <c r="X125" s="2" t="e">
        <v>#DIV/0!</v>
      </c>
      <c r="Y125" s="2">
        <v>3</v>
      </c>
      <c r="Z125" s="2">
        <v>8</v>
      </c>
      <c r="AA125" s="2">
        <v>3</v>
      </c>
      <c r="AB125" s="2">
        <v>7</v>
      </c>
      <c r="AG125" s="2">
        <v>35</v>
      </c>
      <c r="AH125" s="2">
        <v>34</v>
      </c>
      <c r="AI125" s="2">
        <v>34</v>
      </c>
      <c r="AJ125" s="2">
        <v>34</v>
      </c>
      <c r="AK125" s="2">
        <v>34</v>
      </c>
      <c r="AL125" s="2">
        <v>35</v>
      </c>
      <c r="AM125" s="2">
        <v>855.81899999999996</v>
      </c>
      <c r="AN125" s="2">
        <v>921.52099999999996</v>
      </c>
      <c r="AO125" s="2">
        <v>-65.701999999999998</v>
      </c>
      <c r="AP125" s="2">
        <v>134.00125</v>
      </c>
      <c r="AQ125" s="65">
        <v>2</v>
      </c>
      <c r="AR125" s="65">
        <v>2</v>
      </c>
      <c r="AS125" s="65">
        <v>2</v>
      </c>
      <c r="AT125" s="65">
        <v>2</v>
      </c>
      <c r="AU125" s="65">
        <v>2</v>
      </c>
      <c r="AV125" s="65">
        <v>2</v>
      </c>
      <c r="AW125" s="65">
        <v>2</v>
      </c>
      <c r="AX125" s="65">
        <v>2</v>
      </c>
      <c r="AY125" s="65">
        <v>2</v>
      </c>
      <c r="AZ125" s="65">
        <v>2</v>
      </c>
      <c r="BA125" s="65">
        <v>2</v>
      </c>
      <c r="BB125" s="65">
        <v>2</v>
      </c>
      <c r="BC125" s="65">
        <v>2</v>
      </c>
      <c r="BD125" s="65">
        <v>2</v>
      </c>
      <c r="BE125" s="65">
        <v>2</v>
      </c>
      <c r="BF125" s="65">
        <v>2</v>
      </c>
      <c r="BG125" s="65">
        <v>2</v>
      </c>
      <c r="BH125" s="65">
        <v>2</v>
      </c>
      <c r="BI125" s="65">
        <v>2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2</v>
      </c>
      <c r="BS125" s="65">
        <v>1</v>
      </c>
      <c r="BT125" s="65">
        <v>0</v>
      </c>
      <c r="BU125" s="65">
        <v>0</v>
      </c>
      <c r="BV125" s="65">
        <v>0</v>
      </c>
      <c r="BW125" s="65">
        <v>0</v>
      </c>
      <c r="BX125" s="65">
        <v>0</v>
      </c>
      <c r="BY125" s="65">
        <v>0</v>
      </c>
      <c r="BZ125" s="65">
        <v>1</v>
      </c>
      <c r="CA125" s="65">
        <v>0</v>
      </c>
      <c r="CB125" s="65">
        <v>0</v>
      </c>
      <c r="CC125" s="65">
        <v>0</v>
      </c>
      <c r="CD125" s="65">
        <v>0</v>
      </c>
      <c r="CE125" s="65">
        <v>0</v>
      </c>
      <c r="CF125" s="65">
        <v>0</v>
      </c>
      <c r="CG125" s="65">
        <v>1</v>
      </c>
      <c r="CH125" s="65">
        <v>1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4</v>
      </c>
      <c r="CT125" s="65">
        <v>5</v>
      </c>
      <c r="CU125" s="65">
        <v>8</v>
      </c>
      <c r="CV125" s="65">
        <v>6</v>
      </c>
      <c r="CW125" s="65">
        <v>9</v>
      </c>
      <c r="CX125" s="65">
        <v>9</v>
      </c>
      <c r="CY125" s="65">
        <v>7</v>
      </c>
      <c r="CZ125" s="65">
        <v>7</v>
      </c>
      <c r="DA125" s="65">
        <v>9</v>
      </c>
      <c r="DB125" s="65">
        <v>8</v>
      </c>
      <c r="DC125" s="65">
        <v>10</v>
      </c>
      <c r="DD125" s="65">
        <v>6</v>
      </c>
      <c r="DE125" s="65">
        <v>8</v>
      </c>
      <c r="DF125" s="65">
        <v>6</v>
      </c>
      <c r="DG125" s="65">
        <v>6</v>
      </c>
      <c r="DH125" s="65">
        <v>6</v>
      </c>
      <c r="DI125" s="65">
        <v>5</v>
      </c>
      <c r="DJ125" s="65">
        <v>7</v>
      </c>
      <c r="DK125" s="65">
        <v>8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708</v>
      </c>
      <c r="DU125" s="2" t="s">
        <v>488</v>
      </c>
      <c r="DV125" s="2">
        <v>34</v>
      </c>
      <c r="DW125" s="2" t="s">
        <v>1</v>
      </c>
      <c r="DX125" s="2">
        <v>34</v>
      </c>
      <c r="DY125" s="2">
        <v>2</v>
      </c>
      <c r="DZ125" s="2">
        <v>2</v>
      </c>
      <c r="EA125" s="2">
        <v>3</v>
      </c>
      <c r="EB125" s="2">
        <v>3</v>
      </c>
      <c r="EC125" s="2">
        <v>4</v>
      </c>
      <c r="ED125" s="2">
        <v>4</v>
      </c>
      <c r="EE125" s="2">
        <v>4</v>
      </c>
      <c r="EF125" s="2">
        <v>4</v>
      </c>
      <c r="EG125" s="2">
        <v>6</v>
      </c>
      <c r="EH125" s="2">
        <v>4</v>
      </c>
      <c r="EI125" s="2">
        <v>5</v>
      </c>
      <c r="EJ125" s="2">
        <v>3</v>
      </c>
      <c r="EK125" s="2">
        <v>4</v>
      </c>
      <c r="EL125" s="2">
        <v>3</v>
      </c>
      <c r="EM125" s="2">
        <v>3</v>
      </c>
      <c r="EN125" s="2">
        <v>2</v>
      </c>
      <c r="EO125" s="2">
        <v>3</v>
      </c>
      <c r="EP125" s="2">
        <v>4</v>
      </c>
      <c r="EQ125" s="2">
        <v>4</v>
      </c>
      <c r="ER125" s="2">
        <v>2</v>
      </c>
      <c r="ES125" s="2">
        <v>3</v>
      </c>
      <c r="ET125" s="2">
        <v>5</v>
      </c>
      <c r="EU125" s="2">
        <v>3</v>
      </c>
      <c r="EV125" s="2">
        <v>5</v>
      </c>
      <c r="EW125" s="2">
        <v>5</v>
      </c>
      <c r="EX125" s="2">
        <v>3</v>
      </c>
      <c r="EY125" s="2">
        <v>3</v>
      </c>
      <c r="EZ125" s="2">
        <v>3</v>
      </c>
      <c r="FA125" s="2">
        <v>4</v>
      </c>
      <c r="FB125" s="2">
        <v>5</v>
      </c>
      <c r="FC125" s="2">
        <v>3</v>
      </c>
      <c r="FD125" s="2">
        <v>4</v>
      </c>
      <c r="FE125" s="2">
        <v>3</v>
      </c>
      <c r="FF125" s="2">
        <v>3</v>
      </c>
      <c r="FG125" s="2">
        <v>4</v>
      </c>
      <c r="FH125" s="2">
        <v>2</v>
      </c>
      <c r="FI125" s="2">
        <v>3</v>
      </c>
      <c r="FJ125" s="2">
        <v>4</v>
      </c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</row>
    <row r="126" spans="1:200" x14ac:dyDescent="0.25">
      <c r="A126" s="2" t="s">
        <v>965</v>
      </c>
      <c r="B126" s="2" t="s">
        <v>334</v>
      </c>
      <c r="C126" s="2" t="s">
        <v>964</v>
      </c>
      <c r="D126" s="2">
        <v>3</v>
      </c>
      <c r="E126" s="2">
        <v>0</v>
      </c>
      <c r="F126" s="2">
        <v>9</v>
      </c>
      <c r="G126" s="2">
        <v>3</v>
      </c>
      <c r="H126" s="2">
        <v>3</v>
      </c>
      <c r="I126" s="2">
        <v>12</v>
      </c>
      <c r="J126" s="2">
        <v>66</v>
      </c>
      <c r="K126" s="2">
        <v>68</v>
      </c>
      <c r="L126" s="2">
        <v>0</v>
      </c>
      <c r="M126" s="2">
        <v>0</v>
      </c>
      <c r="N126" s="2">
        <v>0</v>
      </c>
      <c r="O126" s="2">
        <v>134</v>
      </c>
      <c r="P126" s="2">
        <v>134</v>
      </c>
      <c r="Q126" s="2">
        <v>134</v>
      </c>
      <c r="R126" s="2">
        <v>134</v>
      </c>
      <c r="S126" s="2">
        <v>66</v>
      </c>
      <c r="T126" s="2">
        <v>-0.10526315789473673</v>
      </c>
      <c r="U126" s="2">
        <v>0</v>
      </c>
      <c r="V126" s="2" t="e">
        <v>#DIV/0!</v>
      </c>
      <c r="W126" s="2">
        <v>0</v>
      </c>
      <c r="X126" s="2" t="e">
        <v>#DIV/0!</v>
      </c>
      <c r="Y126" s="2">
        <v>2</v>
      </c>
      <c r="Z126" s="2">
        <v>5</v>
      </c>
      <c r="AA126" s="2">
        <v>1</v>
      </c>
      <c r="AB126" s="2">
        <v>7</v>
      </c>
      <c r="AG126" s="2">
        <v>32</v>
      </c>
      <c r="AH126" s="2">
        <v>34</v>
      </c>
      <c r="AI126" s="2">
        <v>34</v>
      </c>
      <c r="AJ126" s="2">
        <v>34</v>
      </c>
      <c r="AK126" s="2">
        <v>34</v>
      </c>
      <c r="AL126" s="2">
        <v>36</v>
      </c>
      <c r="AM126" s="2">
        <v>855.81899999999996</v>
      </c>
      <c r="AN126" s="2">
        <v>832.59699999999998</v>
      </c>
      <c r="AO126" s="2">
        <v>23.22199999999998</v>
      </c>
      <c r="AP126" s="2">
        <v>134.00126</v>
      </c>
      <c r="AQ126" s="65">
        <v>2</v>
      </c>
      <c r="AR126" s="65">
        <v>2</v>
      </c>
      <c r="AS126" s="65">
        <v>2</v>
      </c>
      <c r="AT126" s="65">
        <v>2</v>
      </c>
      <c r="AU126" s="65">
        <v>2</v>
      </c>
      <c r="AV126" s="65">
        <v>2</v>
      </c>
      <c r="AW126" s="65">
        <v>2</v>
      </c>
      <c r="AX126" s="65">
        <v>2</v>
      </c>
      <c r="AY126" s="65">
        <v>2</v>
      </c>
      <c r="AZ126" s="65">
        <v>2</v>
      </c>
      <c r="BA126" s="65">
        <v>2</v>
      </c>
      <c r="BB126" s="65">
        <v>2</v>
      </c>
      <c r="BC126" s="65">
        <v>2</v>
      </c>
      <c r="BD126" s="65">
        <v>2</v>
      </c>
      <c r="BE126" s="65">
        <v>2</v>
      </c>
      <c r="BF126" s="65">
        <v>2</v>
      </c>
      <c r="BG126" s="65">
        <v>2</v>
      </c>
      <c r="BH126" s="65">
        <v>2</v>
      </c>
      <c r="BI126" s="65">
        <v>2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1</v>
      </c>
      <c r="BS126" s="65">
        <v>0</v>
      </c>
      <c r="BT126" s="65">
        <v>0</v>
      </c>
      <c r="BU126" s="65">
        <v>0</v>
      </c>
      <c r="BV126" s="65">
        <v>0</v>
      </c>
      <c r="BW126" s="65">
        <v>0</v>
      </c>
      <c r="BX126" s="65">
        <v>0</v>
      </c>
      <c r="BY126" s="65">
        <v>0</v>
      </c>
      <c r="BZ126" s="65">
        <v>1</v>
      </c>
      <c r="CA126" s="65">
        <v>0</v>
      </c>
      <c r="CB126" s="65">
        <v>0</v>
      </c>
      <c r="CC126" s="65">
        <v>0</v>
      </c>
      <c r="CD126" s="65">
        <v>0</v>
      </c>
      <c r="CE126" s="65">
        <v>0</v>
      </c>
      <c r="CF126" s="65">
        <v>0</v>
      </c>
      <c r="CG126" s="65">
        <v>0</v>
      </c>
      <c r="CH126" s="65">
        <v>0</v>
      </c>
      <c r="CI126" s="65">
        <v>1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5</v>
      </c>
      <c r="CT126" s="65">
        <v>6</v>
      </c>
      <c r="CU126" s="65">
        <v>6</v>
      </c>
      <c r="CV126" s="65">
        <v>6</v>
      </c>
      <c r="CW126" s="65">
        <v>8</v>
      </c>
      <c r="CX126" s="65">
        <v>7</v>
      </c>
      <c r="CY126" s="65">
        <v>6</v>
      </c>
      <c r="CZ126" s="65">
        <v>7</v>
      </c>
      <c r="DA126" s="65">
        <v>7</v>
      </c>
      <c r="DB126" s="65">
        <v>10</v>
      </c>
      <c r="DC126" s="65">
        <v>9</v>
      </c>
      <c r="DD126" s="65">
        <v>8</v>
      </c>
      <c r="DE126" s="65">
        <v>6</v>
      </c>
      <c r="DF126" s="65">
        <v>8</v>
      </c>
      <c r="DG126" s="65">
        <v>7</v>
      </c>
      <c r="DH126" s="65">
        <v>8</v>
      </c>
      <c r="DI126" s="65">
        <v>6</v>
      </c>
      <c r="DJ126" s="65">
        <v>7</v>
      </c>
      <c r="DK126" s="65">
        <v>7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709</v>
      </c>
      <c r="DU126" s="2" t="s">
        <v>488</v>
      </c>
      <c r="DV126" s="2">
        <v>34</v>
      </c>
      <c r="DW126" s="2" t="s">
        <v>1</v>
      </c>
      <c r="DX126" s="2">
        <v>34</v>
      </c>
      <c r="DY126" s="2">
        <v>2</v>
      </c>
      <c r="DZ126" s="2">
        <v>3</v>
      </c>
      <c r="EA126" s="2">
        <v>3</v>
      </c>
      <c r="EB126" s="2">
        <v>3</v>
      </c>
      <c r="EC126" s="2">
        <v>4</v>
      </c>
      <c r="ED126" s="2">
        <v>3</v>
      </c>
      <c r="EE126" s="2">
        <v>3</v>
      </c>
      <c r="EF126" s="2">
        <v>4</v>
      </c>
      <c r="EG126" s="2">
        <v>4</v>
      </c>
      <c r="EH126" s="2">
        <v>5</v>
      </c>
      <c r="EI126" s="2">
        <v>4</v>
      </c>
      <c r="EJ126" s="2">
        <v>5</v>
      </c>
      <c r="EK126" s="2">
        <v>3</v>
      </c>
      <c r="EL126" s="2">
        <v>4</v>
      </c>
      <c r="EM126" s="2">
        <v>3</v>
      </c>
      <c r="EN126" s="2">
        <v>5</v>
      </c>
      <c r="EO126" s="2">
        <v>3</v>
      </c>
      <c r="EP126" s="2">
        <v>2</v>
      </c>
      <c r="EQ126" s="2">
        <v>3</v>
      </c>
      <c r="ER126" s="2">
        <v>3</v>
      </c>
      <c r="ES126" s="2">
        <v>3</v>
      </c>
      <c r="ET126" s="2">
        <v>3</v>
      </c>
      <c r="EU126" s="2">
        <v>3</v>
      </c>
      <c r="EV126" s="2">
        <v>4</v>
      </c>
      <c r="EW126" s="2">
        <v>4</v>
      </c>
      <c r="EX126" s="2">
        <v>3</v>
      </c>
      <c r="EY126" s="2">
        <v>3</v>
      </c>
      <c r="EZ126" s="2">
        <v>3</v>
      </c>
      <c r="FA126" s="2">
        <v>5</v>
      </c>
      <c r="FB126" s="2">
        <v>5</v>
      </c>
      <c r="FC126" s="2">
        <v>3</v>
      </c>
      <c r="FD126" s="2">
        <v>3</v>
      </c>
      <c r="FE126" s="2">
        <v>4</v>
      </c>
      <c r="FF126" s="2">
        <v>4</v>
      </c>
      <c r="FG126" s="2">
        <v>3</v>
      </c>
      <c r="FH126" s="2">
        <v>3</v>
      </c>
      <c r="FI126" s="2">
        <v>5</v>
      </c>
      <c r="FJ126" s="2">
        <v>4</v>
      </c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</row>
    <row r="127" spans="1:200" x14ac:dyDescent="0.25">
      <c r="A127" s="2" t="s">
        <v>966</v>
      </c>
      <c r="B127" s="2" t="s">
        <v>621</v>
      </c>
      <c r="C127" s="2" t="s">
        <v>966</v>
      </c>
      <c r="D127" s="2">
        <v>3</v>
      </c>
      <c r="E127" s="2">
        <v>0</v>
      </c>
      <c r="F127" s="2">
        <v>9</v>
      </c>
      <c r="G127" s="2">
        <v>3</v>
      </c>
      <c r="H127" s="2">
        <v>3</v>
      </c>
      <c r="I127" s="2">
        <v>12</v>
      </c>
      <c r="J127" s="2">
        <v>64</v>
      </c>
      <c r="K127" s="2">
        <v>71</v>
      </c>
      <c r="L127" s="2">
        <v>0</v>
      </c>
      <c r="M127" s="2">
        <v>0</v>
      </c>
      <c r="N127" s="2">
        <v>0</v>
      </c>
      <c r="O127" s="2">
        <v>135</v>
      </c>
      <c r="P127" s="2">
        <v>135</v>
      </c>
      <c r="Q127" s="2">
        <v>135</v>
      </c>
      <c r="R127" s="2">
        <v>135</v>
      </c>
      <c r="S127" s="2">
        <v>64</v>
      </c>
      <c r="T127" s="2">
        <v>-0.3684210526315792</v>
      </c>
      <c r="U127" s="2">
        <v>0</v>
      </c>
      <c r="V127" s="2" t="e">
        <v>#DIV/0!</v>
      </c>
      <c r="W127" s="2">
        <v>0</v>
      </c>
      <c r="X127" s="2" t="e">
        <v>#DIV/0!</v>
      </c>
      <c r="Y127" s="2">
        <v>2</v>
      </c>
      <c r="Z127" s="2">
        <v>5</v>
      </c>
      <c r="AA127" s="2">
        <v>1</v>
      </c>
      <c r="AB127" s="2">
        <v>7</v>
      </c>
      <c r="AG127" s="2">
        <v>25</v>
      </c>
      <c r="AH127" s="2">
        <v>36</v>
      </c>
      <c r="AI127" s="2">
        <v>36</v>
      </c>
      <c r="AJ127" s="2">
        <v>36</v>
      </c>
      <c r="AK127" s="2">
        <v>36</v>
      </c>
      <c r="AL127" s="2">
        <v>37</v>
      </c>
      <c r="AM127" s="2">
        <v>847.22699999999998</v>
      </c>
      <c r="AN127" s="2">
        <v>0</v>
      </c>
      <c r="AP127" s="2">
        <v>135.00127000000001</v>
      </c>
      <c r="AQ127" s="65">
        <v>2</v>
      </c>
      <c r="AR127" s="65">
        <v>2</v>
      </c>
      <c r="AS127" s="65">
        <v>2</v>
      </c>
      <c r="AT127" s="65">
        <v>2</v>
      </c>
      <c r="AU127" s="65">
        <v>2</v>
      </c>
      <c r="AV127" s="65">
        <v>2</v>
      </c>
      <c r="AW127" s="65">
        <v>2</v>
      </c>
      <c r="AX127" s="65">
        <v>2</v>
      </c>
      <c r="AY127" s="65">
        <v>2</v>
      </c>
      <c r="AZ127" s="65">
        <v>2</v>
      </c>
      <c r="BA127" s="65">
        <v>2</v>
      </c>
      <c r="BB127" s="65">
        <v>2</v>
      </c>
      <c r="BC127" s="65">
        <v>2</v>
      </c>
      <c r="BD127" s="65">
        <v>2</v>
      </c>
      <c r="BE127" s="65">
        <v>2</v>
      </c>
      <c r="BF127" s="65">
        <v>2</v>
      </c>
      <c r="BG127" s="65">
        <v>2</v>
      </c>
      <c r="BH127" s="65">
        <v>2</v>
      </c>
      <c r="BI127" s="65">
        <v>2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1</v>
      </c>
      <c r="BS127" s="65">
        <v>0</v>
      </c>
      <c r="BT127" s="65">
        <v>0</v>
      </c>
      <c r="BU127" s="65">
        <v>0</v>
      </c>
      <c r="BV127" s="65">
        <v>0</v>
      </c>
      <c r="BW127" s="65">
        <v>0</v>
      </c>
      <c r="BX127" s="65">
        <v>0</v>
      </c>
      <c r="BY127" s="65">
        <v>0</v>
      </c>
      <c r="BZ127" s="65">
        <v>0</v>
      </c>
      <c r="CA127" s="65">
        <v>0</v>
      </c>
      <c r="CB127" s="65">
        <v>0</v>
      </c>
      <c r="CC127" s="65">
        <v>0</v>
      </c>
      <c r="CD127" s="65">
        <v>1</v>
      </c>
      <c r="CE127" s="65">
        <v>1</v>
      </c>
      <c r="CF127" s="65">
        <v>0</v>
      </c>
      <c r="CG127" s="65">
        <v>0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5</v>
      </c>
      <c r="CT127" s="65">
        <v>6</v>
      </c>
      <c r="CU127" s="65">
        <v>7</v>
      </c>
      <c r="CV127" s="65">
        <v>7</v>
      </c>
      <c r="CW127" s="65">
        <v>8</v>
      </c>
      <c r="CX127" s="65">
        <v>7</v>
      </c>
      <c r="CY127" s="65">
        <v>6</v>
      </c>
      <c r="CZ127" s="65">
        <v>6</v>
      </c>
      <c r="DA127" s="65">
        <v>9</v>
      </c>
      <c r="DB127" s="65">
        <v>11</v>
      </c>
      <c r="DC127" s="65">
        <v>9</v>
      </c>
      <c r="DD127" s="65">
        <v>6</v>
      </c>
      <c r="DE127" s="65">
        <v>6</v>
      </c>
      <c r="DF127" s="65">
        <v>5</v>
      </c>
      <c r="DG127" s="65">
        <v>7</v>
      </c>
      <c r="DH127" s="65">
        <v>6</v>
      </c>
      <c r="DI127" s="65">
        <v>9</v>
      </c>
      <c r="DJ127" s="65">
        <v>8</v>
      </c>
      <c r="DK127" s="65">
        <v>7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710</v>
      </c>
      <c r="DU127" s="2" t="s">
        <v>488</v>
      </c>
      <c r="DV127" s="2">
        <v>36</v>
      </c>
      <c r="DW127" s="2" t="s">
        <v>1</v>
      </c>
      <c r="DX127" s="2">
        <v>36</v>
      </c>
      <c r="DY127" s="2">
        <v>2</v>
      </c>
      <c r="DZ127" s="2">
        <v>3</v>
      </c>
      <c r="EA127" s="2">
        <v>4</v>
      </c>
      <c r="EB127" s="2">
        <v>4</v>
      </c>
      <c r="EC127" s="2">
        <v>4</v>
      </c>
      <c r="ED127" s="2">
        <v>3</v>
      </c>
      <c r="EE127" s="2">
        <v>3</v>
      </c>
      <c r="EF127" s="2">
        <v>3</v>
      </c>
      <c r="EG127" s="2">
        <v>5</v>
      </c>
      <c r="EH127" s="2">
        <v>4</v>
      </c>
      <c r="EI127" s="2">
        <v>5</v>
      </c>
      <c r="EJ127" s="2">
        <v>3</v>
      </c>
      <c r="EK127" s="2">
        <v>2</v>
      </c>
      <c r="EL127" s="2">
        <v>3</v>
      </c>
      <c r="EM127" s="2">
        <v>3</v>
      </c>
      <c r="EN127" s="2">
        <v>3</v>
      </c>
      <c r="EO127" s="2">
        <v>4</v>
      </c>
      <c r="EP127" s="2">
        <v>3</v>
      </c>
      <c r="EQ127" s="2">
        <v>3</v>
      </c>
      <c r="ER127" s="2">
        <v>3</v>
      </c>
      <c r="ES127" s="2">
        <v>3</v>
      </c>
      <c r="ET127" s="2">
        <v>3</v>
      </c>
      <c r="EU127" s="2">
        <v>3</v>
      </c>
      <c r="EV127" s="2">
        <v>4</v>
      </c>
      <c r="EW127" s="2">
        <v>4</v>
      </c>
      <c r="EX127" s="2">
        <v>3</v>
      </c>
      <c r="EY127" s="2">
        <v>3</v>
      </c>
      <c r="EZ127" s="2">
        <v>4</v>
      </c>
      <c r="FA127" s="2">
        <v>7</v>
      </c>
      <c r="FB127" s="2">
        <v>4</v>
      </c>
      <c r="FC127" s="2">
        <v>3</v>
      </c>
      <c r="FD127" s="2">
        <v>4</v>
      </c>
      <c r="FE127" s="2">
        <v>2</v>
      </c>
      <c r="FF127" s="2">
        <v>4</v>
      </c>
      <c r="FG127" s="2">
        <v>3</v>
      </c>
      <c r="FH127" s="2">
        <v>5</v>
      </c>
      <c r="FI127" s="2">
        <v>5</v>
      </c>
      <c r="FJ127" s="2">
        <v>4</v>
      </c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</row>
    <row r="128" spans="1:200" x14ac:dyDescent="0.25">
      <c r="A128" s="2" t="s">
        <v>967</v>
      </c>
      <c r="B128" s="2" t="s">
        <v>711</v>
      </c>
      <c r="C128" s="2" t="s">
        <v>967</v>
      </c>
      <c r="D128" s="2">
        <v>4</v>
      </c>
      <c r="E128" s="2">
        <v>0</v>
      </c>
      <c r="F128" s="2">
        <v>8</v>
      </c>
      <c r="G128" s="2">
        <v>5</v>
      </c>
      <c r="H128" s="2">
        <v>4</v>
      </c>
      <c r="I128" s="2">
        <v>13</v>
      </c>
      <c r="J128" s="2">
        <v>69</v>
      </c>
      <c r="K128" s="2">
        <v>67</v>
      </c>
      <c r="L128" s="2">
        <v>0</v>
      </c>
      <c r="M128" s="2">
        <v>0</v>
      </c>
      <c r="N128" s="2">
        <v>0</v>
      </c>
      <c r="O128" s="2">
        <v>136</v>
      </c>
      <c r="P128" s="2">
        <v>136</v>
      </c>
      <c r="Q128" s="2">
        <v>136</v>
      </c>
      <c r="R128" s="2">
        <v>136</v>
      </c>
      <c r="S128" s="2">
        <v>69</v>
      </c>
      <c r="T128" s="2">
        <v>0.10526315789473717</v>
      </c>
      <c r="U128" s="2">
        <v>0</v>
      </c>
      <c r="V128" s="2" t="e">
        <v>#DIV/0!</v>
      </c>
      <c r="W128" s="2">
        <v>0</v>
      </c>
      <c r="X128" s="2" t="e">
        <v>#DIV/0!</v>
      </c>
      <c r="Y128" s="2">
        <v>3</v>
      </c>
      <c r="Z128" s="2">
        <v>8</v>
      </c>
      <c r="AA128" s="2">
        <v>1</v>
      </c>
      <c r="AB128" s="2">
        <v>5</v>
      </c>
      <c r="AG128" s="2">
        <v>3</v>
      </c>
      <c r="AH128" s="2">
        <v>2</v>
      </c>
      <c r="AI128" s="2">
        <v>2</v>
      </c>
      <c r="AJ128" s="2">
        <v>2</v>
      </c>
      <c r="AK128" s="2">
        <v>2</v>
      </c>
      <c r="AL128" s="2">
        <v>38</v>
      </c>
      <c r="AM128" s="2">
        <v>838.63400000000001</v>
      </c>
      <c r="AN128" s="2">
        <v>881.82100000000003</v>
      </c>
      <c r="AO128" s="2">
        <v>-43.187000000000012</v>
      </c>
      <c r="AP128" s="2">
        <v>136.00128000000001</v>
      </c>
      <c r="AQ128" s="65">
        <v>2</v>
      </c>
      <c r="AR128" s="65">
        <v>2</v>
      </c>
      <c r="AS128" s="65">
        <v>2</v>
      </c>
      <c r="AT128" s="65">
        <v>2</v>
      </c>
      <c r="AU128" s="65">
        <v>2</v>
      </c>
      <c r="AV128" s="65">
        <v>2</v>
      </c>
      <c r="AW128" s="65">
        <v>2</v>
      </c>
      <c r="AX128" s="65">
        <v>2</v>
      </c>
      <c r="AY128" s="65">
        <v>2</v>
      </c>
      <c r="AZ128" s="65">
        <v>2</v>
      </c>
      <c r="BA128" s="65">
        <v>2</v>
      </c>
      <c r="BB128" s="65">
        <v>2</v>
      </c>
      <c r="BC128" s="65">
        <v>2</v>
      </c>
      <c r="BD128" s="65">
        <v>2</v>
      </c>
      <c r="BE128" s="65">
        <v>2</v>
      </c>
      <c r="BF128" s="65">
        <v>2</v>
      </c>
      <c r="BG128" s="65">
        <v>2</v>
      </c>
      <c r="BH128" s="65">
        <v>2</v>
      </c>
      <c r="BI128" s="65">
        <v>2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1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1</v>
      </c>
      <c r="CE128" s="65">
        <v>0</v>
      </c>
      <c r="CF128" s="65">
        <v>0</v>
      </c>
      <c r="CG128" s="65">
        <v>0</v>
      </c>
      <c r="CH128" s="65">
        <v>0</v>
      </c>
      <c r="CI128" s="65">
        <v>2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6</v>
      </c>
      <c r="CT128" s="65">
        <v>6</v>
      </c>
      <c r="CU128" s="65">
        <v>9</v>
      </c>
      <c r="CV128" s="65">
        <v>9</v>
      </c>
      <c r="CW128" s="65">
        <v>10</v>
      </c>
      <c r="CX128" s="65">
        <v>7</v>
      </c>
      <c r="CY128" s="65">
        <v>6</v>
      </c>
      <c r="CZ128" s="65">
        <v>7</v>
      </c>
      <c r="DA128" s="65">
        <v>8</v>
      </c>
      <c r="DB128" s="65">
        <v>8</v>
      </c>
      <c r="DC128" s="65">
        <v>10</v>
      </c>
      <c r="DD128" s="65">
        <v>7</v>
      </c>
      <c r="DE128" s="65">
        <v>5</v>
      </c>
      <c r="DF128" s="65">
        <v>6</v>
      </c>
      <c r="DG128" s="65">
        <v>7</v>
      </c>
      <c r="DH128" s="65">
        <v>6</v>
      </c>
      <c r="DI128" s="65">
        <v>6</v>
      </c>
      <c r="DJ128" s="65">
        <v>4</v>
      </c>
      <c r="DK128" s="65">
        <v>9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207</v>
      </c>
      <c r="DU128" s="2" t="s">
        <v>490</v>
      </c>
      <c r="DV128" s="2">
        <v>2</v>
      </c>
      <c r="DW128" s="2" t="s">
        <v>16</v>
      </c>
      <c r="DX128" s="2">
        <v>2</v>
      </c>
      <c r="DY128" s="2">
        <v>3</v>
      </c>
      <c r="DZ128" s="2">
        <v>3</v>
      </c>
      <c r="EA128" s="2">
        <v>5</v>
      </c>
      <c r="EB128" s="2">
        <v>4</v>
      </c>
      <c r="EC128" s="2">
        <v>6</v>
      </c>
      <c r="ED128" s="2">
        <v>4</v>
      </c>
      <c r="EE128" s="2">
        <v>2</v>
      </c>
      <c r="EF128" s="2">
        <v>4</v>
      </c>
      <c r="EG128" s="2">
        <v>4</v>
      </c>
      <c r="EH128" s="2">
        <v>4</v>
      </c>
      <c r="EI128" s="2">
        <v>6</v>
      </c>
      <c r="EJ128" s="2">
        <v>4</v>
      </c>
      <c r="EK128" s="2">
        <v>2</v>
      </c>
      <c r="EL128" s="2">
        <v>3</v>
      </c>
      <c r="EM128" s="2">
        <v>3</v>
      </c>
      <c r="EN128" s="2">
        <v>3</v>
      </c>
      <c r="EO128" s="2">
        <v>3</v>
      </c>
      <c r="EP128" s="2">
        <v>2</v>
      </c>
      <c r="EQ128" s="2">
        <v>4</v>
      </c>
      <c r="ER128" s="2">
        <v>3</v>
      </c>
      <c r="ES128" s="2">
        <v>3</v>
      </c>
      <c r="ET128" s="2">
        <v>4</v>
      </c>
      <c r="EU128" s="2">
        <v>5</v>
      </c>
      <c r="EV128" s="2">
        <v>4</v>
      </c>
      <c r="EW128" s="2">
        <v>3</v>
      </c>
      <c r="EX128" s="2">
        <v>4</v>
      </c>
      <c r="EY128" s="2">
        <v>3</v>
      </c>
      <c r="EZ128" s="2">
        <v>4</v>
      </c>
      <c r="FA128" s="2">
        <v>4</v>
      </c>
      <c r="FB128" s="2">
        <v>4</v>
      </c>
      <c r="FC128" s="2">
        <v>3</v>
      </c>
      <c r="FD128" s="2">
        <v>3</v>
      </c>
      <c r="FE128" s="2">
        <v>3</v>
      </c>
      <c r="FF128" s="2">
        <v>4</v>
      </c>
      <c r="FG128" s="2">
        <v>3</v>
      </c>
      <c r="FH128" s="2">
        <v>3</v>
      </c>
      <c r="FI128" s="2">
        <v>2</v>
      </c>
      <c r="FJ128" s="2">
        <v>5</v>
      </c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</row>
    <row r="129" spans="1:200" x14ac:dyDescent="0.25">
      <c r="A129" s="2" t="s">
        <v>968</v>
      </c>
      <c r="B129" s="2" t="s">
        <v>411</v>
      </c>
      <c r="C129" s="2" t="s">
        <v>968</v>
      </c>
      <c r="D129" s="2">
        <v>3</v>
      </c>
      <c r="E129" s="2">
        <v>0</v>
      </c>
      <c r="F129" s="2">
        <v>13</v>
      </c>
      <c r="G129" s="2">
        <v>3</v>
      </c>
      <c r="H129" s="2">
        <v>3</v>
      </c>
      <c r="I129" s="2">
        <v>16</v>
      </c>
      <c r="J129" s="2">
        <v>69</v>
      </c>
      <c r="K129" s="2">
        <v>69</v>
      </c>
      <c r="L129" s="2">
        <v>0</v>
      </c>
      <c r="M129" s="2">
        <v>0</v>
      </c>
      <c r="N129" s="2">
        <v>0</v>
      </c>
      <c r="O129" s="2">
        <v>138</v>
      </c>
      <c r="P129" s="2">
        <v>138</v>
      </c>
      <c r="Q129" s="2">
        <v>138</v>
      </c>
      <c r="R129" s="2">
        <v>138</v>
      </c>
      <c r="S129" s="2">
        <v>69</v>
      </c>
      <c r="T129" s="2">
        <v>0</v>
      </c>
      <c r="U129" s="2">
        <v>0</v>
      </c>
      <c r="V129" s="2" t="e">
        <v>#DIV/0!</v>
      </c>
      <c r="W129" s="2">
        <v>0</v>
      </c>
      <c r="X129" s="2" t="e">
        <v>#DIV/0!</v>
      </c>
      <c r="Y129" s="2">
        <v>2</v>
      </c>
      <c r="Z129" s="2">
        <v>8</v>
      </c>
      <c r="AA129" s="2">
        <v>1</v>
      </c>
      <c r="AB129" s="2">
        <v>8</v>
      </c>
      <c r="AG129" s="2">
        <v>41</v>
      </c>
      <c r="AH129" s="2">
        <v>37</v>
      </c>
      <c r="AI129" s="2">
        <v>37</v>
      </c>
      <c r="AJ129" s="2">
        <v>37</v>
      </c>
      <c r="AK129" s="2">
        <v>37</v>
      </c>
      <c r="AL129" s="2">
        <v>39</v>
      </c>
      <c r="AM129" s="2">
        <v>821.44899999999996</v>
      </c>
      <c r="AN129" s="2">
        <v>0</v>
      </c>
      <c r="AP129" s="2">
        <v>138.00129000000001</v>
      </c>
      <c r="AQ129" s="65">
        <v>2</v>
      </c>
      <c r="AR129" s="65">
        <v>2</v>
      </c>
      <c r="AS129" s="65">
        <v>2</v>
      </c>
      <c r="AT129" s="65">
        <v>2</v>
      </c>
      <c r="AU129" s="65">
        <v>2</v>
      </c>
      <c r="AV129" s="65">
        <v>2</v>
      </c>
      <c r="AW129" s="65">
        <v>2</v>
      </c>
      <c r="AX129" s="65">
        <v>2</v>
      </c>
      <c r="AY129" s="65">
        <v>2</v>
      </c>
      <c r="AZ129" s="65">
        <v>2</v>
      </c>
      <c r="BA129" s="65">
        <v>2</v>
      </c>
      <c r="BB129" s="65">
        <v>2</v>
      </c>
      <c r="BC129" s="65">
        <v>2</v>
      </c>
      <c r="BD129" s="65">
        <v>2</v>
      </c>
      <c r="BE129" s="65">
        <v>2</v>
      </c>
      <c r="BF129" s="65">
        <v>2</v>
      </c>
      <c r="BG129" s="65">
        <v>2</v>
      </c>
      <c r="BH129" s="65">
        <v>2</v>
      </c>
      <c r="BI129" s="65">
        <v>2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1</v>
      </c>
      <c r="BS129" s="65">
        <v>0</v>
      </c>
      <c r="BT129" s="65">
        <v>0</v>
      </c>
      <c r="BU129" s="65">
        <v>0</v>
      </c>
      <c r="BV129" s="65">
        <v>0</v>
      </c>
      <c r="BW129" s="65">
        <v>0</v>
      </c>
      <c r="BX129" s="65">
        <v>0</v>
      </c>
      <c r="BY129" s="65">
        <v>0</v>
      </c>
      <c r="BZ129" s="65">
        <v>0</v>
      </c>
      <c r="CA129" s="65">
        <v>0</v>
      </c>
      <c r="CB129" s="65">
        <v>0</v>
      </c>
      <c r="CC129" s="65">
        <v>0</v>
      </c>
      <c r="CD129" s="65">
        <v>0</v>
      </c>
      <c r="CE129" s="65">
        <v>0</v>
      </c>
      <c r="CF129" s="65">
        <v>0</v>
      </c>
      <c r="CG129" s="65">
        <v>1</v>
      </c>
      <c r="CH129" s="65">
        <v>0</v>
      </c>
      <c r="CI129" s="65">
        <v>1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6</v>
      </c>
      <c r="CT129" s="65">
        <v>7</v>
      </c>
      <c r="CU129" s="65">
        <v>7</v>
      </c>
      <c r="CV129" s="65">
        <v>10</v>
      </c>
      <c r="CW129" s="65">
        <v>8</v>
      </c>
      <c r="CX129" s="65">
        <v>7</v>
      </c>
      <c r="CY129" s="65">
        <v>6</v>
      </c>
      <c r="CZ129" s="65">
        <v>7</v>
      </c>
      <c r="DA129" s="65">
        <v>9</v>
      </c>
      <c r="DB129" s="65">
        <v>8</v>
      </c>
      <c r="DC129" s="65">
        <v>11</v>
      </c>
      <c r="DD129" s="65">
        <v>6</v>
      </c>
      <c r="DE129" s="65">
        <v>6</v>
      </c>
      <c r="DF129" s="65">
        <v>7</v>
      </c>
      <c r="DG129" s="65">
        <v>7</v>
      </c>
      <c r="DH129" s="65">
        <v>5</v>
      </c>
      <c r="DI129" s="65">
        <v>7</v>
      </c>
      <c r="DJ129" s="65">
        <v>6</v>
      </c>
      <c r="DK129" s="65">
        <v>8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711</v>
      </c>
      <c r="DU129" s="2" t="s">
        <v>488</v>
      </c>
      <c r="DV129" s="2">
        <v>37</v>
      </c>
      <c r="DW129" s="2" t="s">
        <v>1</v>
      </c>
      <c r="DX129" s="2">
        <v>37</v>
      </c>
      <c r="DY129" s="2">
        <v>2</v>
      </c>
      <c r="DZ129" s="2">
        <v>3</v>
      </c>
      <c r="EA129" s="2">
        <v>4</v>
      </c>
      <c r="EB129" s="2">
        <v>5</v>
      </c>
      <c r="EC129" s="2">
        <v>4</v>
      </c>
      <c r="ED129" s="2">
        <v>3</v>
      </c>
      <c r="EE129" s="2">
        <v>3</v>
      </c>
      <c r="EF129" s="2">
        <v>4</v>
      </c>
      <c r="EG129" s="2">
        <v>5</v>
      </c>
      <c r="EH129" s="2">
        <v>4</v>
      </c>
      <c r="EI129" s="2">
        <v>6</v>
      </c>
      <c r="EJ129" s="2">
        <v>3</v>
      </c>
      <c r="EK129" s="2">
        <v>3</v>
      </c>
      <c r="EL129" s="2">
        <v>3</v>
      </c>
      <c r="EM129" s="2">
        <v>4</v>
      </c>
      <c r="EN129" s="2">
        <v>3</v>
      </c>
      <c r="EO129" s="2">
        <v>4</v>
      </c>
      <c r="EP129" s="2">
        <v>2</v>
      </c>
      <c r="EQ129" s="2">
        <v>4</v>
      </c>
      <c r="ER129" s="2">
        <v>4</v>
      </c>
      <c r="ES129" s="2">
        <v>4</v>
      </c>
      <c r="ET129" s="2">
        <v>3</v>
      </c>
      <c r="EU129" s="2">
        <v>5</v>
      </c>
      <c r="EV129" s="2">
        <v>4</v>
      </c>
      <c r="EW129" s="2">
        <v>4</v>
      </c>
      <c r="EX129" s="2">
        <v>3</v>
      </c>
      <c r="EY129" s="2">
        <v>3</v>
      </c>
      <c r="EZ129" s="2">
        <v>4</v>
      </c>
      <c r="FA129" s="2">
        <v>4</v>
      </c>
      <c r="FB129" s="2">
        <v>5</v>
      </c>
      <c r="FC129" s="2">
        <v>3</v>
      </c>
      <c r="FD129" s="2">
        <v>3</v>
      </c>
      <c r="FE129" s="2">
        <v>4</v>
      </c>
      <c r="FF129" s="2">
        <v>3</v>
      </c>
      <c r="FG129" s="2">
        <v>2</v>
      </c>
      <c r="FH129" s="2">
        <v>3</v>
      </c>
      <c r="FI129" s="2">
        <v>4</v>
      </c>
      <c r="FJ129" s="2">
        <v>4</v>
      </c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</row>
    <row r="130" spans="1:200" x14ac:dyDescent="0.25">
      <c r="A130" s="2" t="s">
        <v>969</v>
      </c>
      <c r="B130" s="2" t="s">
        <v>710</v>
      </c>
      <c r="C130" s="2" t="s">
        <v>969</v>
      </c>
      <c r="D130" s="2">
        <v>1</v>
      </c>
      <c r="E130" s="2">
        <v>0</v>
      </c>
      <c r="F130" s="2">
        <v>8</v>
      </c>
      <c r="G130" s="2">
        <v>5</v>
      </c>
      <c r="H130" s="2">
        <v>1</v>
      </c>
      <c r="I130" s="2">
        <v>13</v>
      </c>
      <c r="J130" s="2">
        <v>73</v>
      </c>
      <c r="K130" s="2">
        <v>66</v>
      </c>
      <c r="L130" s="2">
        <v>0</v>
      </c>
      <c r="M130" s="2">
        <v>0</v>
      </c>
      <c r="N130" s="2">
        <v>0</v>
      </c>
      <c r="O130" s="2">
        <v>139</v>
      </c>
      <c r="P130" s="2">
        <v>139</v>
      </c>
      <c r="Q130" s="2">
        <v>139</v>
      </c>
      <c r="R130" s="2">
        <v>139</v>
      </c>
      <c r="S130" s="2">
        <v>73</v>
      </c>
      <c r="T130" s="2">
        <v>0.36842105263157876</v>
      </c>
      <c r="U130" s="2">
        <v>0</v>
      </c>
      <c r="V130" s="2" t="e">
        <v>#DIV/0!</v>
      </c>
      <c r="W130" s="2">
        <v>0</v>
      </c>
      <c r="X130" s="2" t="e">
        <v>#DIV/0!</v>
      </c>
      <c r="Y130" s="2">
        <v>0</v>
      </c>
      <c r="Z130" s="2">
        <v>9</v>
      </c>
      <c r="AA130" s="2">
        <v>1</v>
      </c>
      <c r="AB130" s="2">
        <v>4</v>
      </c>
      <c r="AG130" s="2">
        <v>48</v>
      </c>
      <c r="AH130" s="2">
        <v>38</v>
      </c>
      <c r="AI130" s="2">
        <v>38</v>
      </c>
      <c r="AJ130" s="2">
        <v>38</v>
      </c>
      <c r="AK130" s="2">
        <v>38</v>
      </c>
      <c r="AL130" s="2">
        <v>40</v>
      </c>
      <c r="AM130" s="2">
        <v>812.85599999999999</v>
      </c>
      <c r="AN130" s="2">
        <v>878.44100000000003</v>
      </c>
      <c r="AO130" s="2">
        <v>-65.585000000000036</v>
      </c>
      <c r="AP130" s="2">
        <v>139.00129999999999</v>
      </c>
      <c r="AQ130" s="65">
        <v>2</v>
      </c>
      <c r="AR130" s="65">
        <v>2</v>
      </c>
      <c r="AS130" s="65">
        <v>2</v>
      </c>
      <c r="AT130" s="65">
        <v>2</v>
      </c>
      <c r="AU130" s="65">
        <v>2</v>
      </c>
      <c r="AV130" s="65">
        <v>2</v>
      </c>
      <c r="AW130" s="65">
        <v>2</v>
      </c>
      <c r="AX130" s="65">
        <v>2</v>
      </c>
      <c r="AY130" s="65">
        <v>2</v>
      </c>
      <c r="AZ130" s="65">
        <v>2</v>
      </c>
      <c r="BA130" s="65">
        <v>2</v>
      </c>
      <c r="BB130" s="65">
        <v>2</v>
      </c>
      <c r="BC130" s="65">
        <v>2</v>
      </c>
      <c r="BD130" s="65">
        <v>2</v>
      </c>
      <c r="BE130" s="65">
        <v>2</v>
      </c>
      <c r="BF130" s="65">
        <v>2</v>
      </c>
      <c r="BG130" s="65">
        <v>2</v>
      </c>
      <c r="BH130" s="65">
        <v>2</v>
      </c>
      <c r="BI130" s="65">
        <v>2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1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6</v>
      </c>
      <c r="CT130" s="65">
        <v>6</v>
      </c>
      <c r="CU130" s="65">
        <v>7</v>
      </c>
      <c r="CV130" s="65">
        <v>9</v>
      </c>
      <c r="CW130" s="65">
        <v>9</v>
      </c>
      <c r="CX130" s="65">
        <v>7</v>
      </c>
      <c r="CY130" s="65">
        <v>6</v>
      </c>
      <c r="CZ130" s="65">
        <v>6</v>
      </c>
      <c r="DA130" s="65">
        <v>8</v>
      </c>
      <c r="DB130" s="65">
        <v>10</v>
      </c>
      <c r="DC130" s="65">
        <v>8</v>
      </c>
      <c r="DD130" s="65">
        <v>8</v>
      </c>
      <c r="DE130" s="65">
        <v>6</v>
      </c>
      <c r="DF130" s="65">
        <v>7</v>
      </c>
      <c r="DG130" s="65">
        <v>10</v>
      </c>
      <c r="DH130" s="65">
        <v>6</v>
      </c>
      <c r="DI130" s="65">
        <v>7</v>
      </c>
      <c r="DJ130" s="65">
        <v>7</v>
      </c>
      <c r="DK130" s="65">
        <v>6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690</v>
      </c>
      <c r="DU130" s="2" t="s">
        <v>488</v>
      </c>
      <c r="DV130" s="2">
        <v>38</v>
      </c>
      <c r="DW130" s="2" t="s">
        <v>1</v>
      </c>
      <c r="DX130" s="2">
        <v>38</v>
      </c>
      <c r="DY130" s="2">
        <v>3</v>
      </c>
      <c r="DZ130" s="2">
        <v>4</v>
      </c>
      <c r="EA130" s="2">
        <v>4</v>
      </c>
      <c r="EB130" s="2">
        <v>4</v>
      </c>
      <c r="EC130" s="2">
        <v>5</v>
      </c>
      <c r="ED130" s="2">
        <v>4</v>
      </c>
      <c r="EE130" s="2">
        <v>3</v>
      </c>
      <c r="EF130" s="2">
        <v>3</v>
      </c>
      <c r="EG130" s="2">
        <v>4</v>
      </c>
      <c r="EH130" s="2">
        <v>6</v>
      </c>
      <c r="EI130" s="2">
        <v>4</v>
      </c>
      <c r="EJ130" s="2">
        <v>5</v>
      </c>
      <c r="EK130" s="2">
        <v>3</v>
      </c>
      <c r="EL130" s="2">
        <v>3</v>
      </c>
      <c r="EM130" s="2">
        <v>5</v>
      </c>
      <c r="EN130" s="2">
        <v>3</v>
      </c>
      <c r="EO130" s="2">
        <v>4</v>
      </c>
      <c r="EP130" s="2">
        <v>3</v>
      </c>
      <c r="EQ130" s="2">
        <v>3</v>
      </c>
      <c r="ER130" s="2">
        <v>3</v>
      </c>
      <c r="ES130" s="2">
        <v>2</v>
      </c>
      <c r="ET130" s="2">
        <v>3</v>
      </c>
      <c r="EU130" s="2">
        <v>5</v>
      </c>
      <c r="EV130" s="2">
        <v>4</v>
      </c>
      <c r="EW130" s="2">
        <v>3</v>
      </c>
      <c r="EX130" s="2">
        <v>3</v>
      </c>
      <c r="EY130" s="2">
        <v>3</v>
      </c>
      <c r="EZ130" s="2">
        <v>4</v>
      </c>
      <c r="FA130" s="2">
        <v>4</v>
      </c>
      <c r="FB130" s="2">
        <v>4</v>
      </c>
      <c r="FC130" s="2">
        <v>3</v>
      </c>
      <c r="FD130" s="2">
        <v>3</v>
      </c>
      <c r="FE130" s="2">
        <v>4</v>
      </c>
      <c r="FF130" s="2">
        <v>5</v>
      </c>
      <c r="FG130" s="2">
        <v>3</v>
      </c>
      <c r="FH130" s="2">
        <v>3</v>
      </c>
      <c r="FI130" s="2">
        <v>4</v>
      </c>
      <c r="FJ130" s="2">
        <v>3</v>
      </c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</row>
    <row r="131" spans="1:200" x14ac:dyDescent="0.25">
      <c r="A131" s="2" t="s">
        <v>970</v>
      </c>
      <c r="B131" s="2" t="s">
        <v>19</v>
      </c>
      <c r="C131" s="2" t="s">
        <v>970</v>
      </c>
      <c r="D131" s="2">
        <v>4</v>
      </c>
      <c r="E131" s="2">
        <v>0</v>
      </c>
      <c r="F131" s="2">
        <v>15</v>
      </c>
      <c r="G131" s="2">
        <v>3</v>
      </c>
      <c r="H131" s="2">
        <v>4</v>
      </c>
      <c r="I131" s="2">
        <v>18</v>
      </c>
      <c r="J131" s="2">
        <v>68</v>
      </c>
      <c r="K131" s="2">
        <v>72</v>
      </c>
      <c r="L131" s="2">
        <v>0</v>
      </c>
      <c r="M131" s="2">
        <v>0</v>
      </c>
      <c r="N131" s="2">
        <v>0</v>
      </c>
      <c r="O131" s="2">
        <v>140</v>
      </c>
      <c r="P131" s="2">
        <v>140</v>
      </c>
      <c r="Q131" s="2">
        <v>140</v>
      </c>
      <c r="R131" s="2">
        <v>140</v>
      </c>
      <c r="S131" s="2">
        <v>68</v>
      </c>
      <c r="T131" s="2">
        <v>-0.21052631578947345</v>
      </c>
      <c r="U131" s="2">
        <v>0</v>
      </c>
      <c r="V131" s="2" t="e">
        <v>#DIV/0!</v>
      </c>
      <c r="W131" s="2">
        <v>0</v>
      </c>
      <c r="X131" s="2" t="e">
        <v>#DIV/0!</v>
      </c>
      <c r="Y131" s="2">
        <v>3</v>
      </c>
      <c r="Z131" s="2">
        <v>7</v>
      </c>
      <c r="AA131" s="2">
        <v>1</v>
      </c>
      <c r="AB131" s="2">
        <v>11</v>
      </c>
      <c r="AG131" s="2">
        <v>39</v>
      </c>
      <c r="AH131" s="2">
        <v>39</v>
      </c>
      <c r="AI131" s="2">
        <v>39</v>
      </c>
      <c r="AJ131" s="2">
        <v>39</v>
      </c>
      <c r="AK131" s="2">
        <v>39</v>
      </c>
      <c r="AL131" s="2">
        <v>41</v>
      </c>
      <c r="AM131" s="2">
        <v>804.26400000000001</v>
      </c>
      <c r="AN131" s="2">
        <v>0</v>
      </c>
      <c r="AP131" s="2">
        <v>140.00130999999999</v>
      </c>
      <c r="AQ131" s="65">
        <v>2</v>
      </c>
      <c r="AR131" s="65">
        <v>2</v>
      </c>
      <c r="AS131" s="65">
        <v>2</v>
      </c>
      <c r="AT131" s="65">
        <v>2</v>
      </c>
      <c r="AU131" s="65">
        <v>2</v>
      </c>
      <c r="AV131" s="65">
        <v>2</v>
      </c>
      <c r="AW131" s="65">
        <v>2</v>
      </c>
      <c r="AX131" s="65">
        <v>2</v>
      </c>
      <c r="AY131" s="65">
        <v>2</v>
      </c>
      <c r="AZ131" s="65">
        <v>2</v>
      </c>
      <c r="BA131" s="65">
        <v>2</v>
      </c>
      <c r="BB131" s="65">
        <v>2</v>
      </c>
      <c r="BC131" s="65">
        <v>2</v>
      </c>
      <c r="BD131" s="65">
        <v>2</v>
      </c>
      <c r="BE131" s="65">
        <v>2</v>
      </c>
      <c r="BF131" s="65">
        <v>2</v>
      </c>
      <c r="BG131" s="65">
        <v>2</v>
      </c>
      <c r="BH131" s="65">
        <v>2</v>
      </c>
      <c r="BI131" s="65">
        <v>2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0</v>
      </c>
      <c r="BV131" s="65">
        <v>1</v>
      </c>
      <c r="BW131" s="65">
        <v>1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1</v>
      </c>
      <c r="CD131" s="65">
        <v>0</v>
      </c>
      <c r="CE131" s="65">
        <v>0</v>
      </c>
      <c r="CF131" s="65">
        <v>0</v>
      </c>
      <c r="CG131" s="65">
        <v>0</v>
      </c>
      <c r="CH131" s="65">
        <v>0</v>
      </c>
      <c r="CI131" s="65">
        <v>1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7</v>
      </c>
      <c r="CT131" s="65">
        <v>7</v>
      </c>
      <c r="CU131" s="65">
        <v>8</v>
      </c>
      <c r="CV131" s="65">
        <v>7</v>
      </c>
      <c r="CW131" s="65">
        <v>8</v>
      </c>
      <c r="CX131" s="65">
        <v>6</v>
      </c>
      <c r="CY131" s="65">
        <v>7</v>
      </c>
      <c r="CZ131" s="65">
        <v>6</v>
      </c>
      <c r="DA131" s="65">
        <v>11</v>
      </c>
      <c r="DB131" s="65">
        <v>9</v>
      </c>
      <c r="DC131" s="65">
        <v>10</v>
      </c>
      <c r="DD131" s="65">
        <v>7</v>
      </c>
      <c r="DE131" s="65">
        <v>6</v>
      </c>
      <c r="DF131" s="65">
        <v>7</v>
      </c>
      <c r="DG131" s="65">
        <v>7</v>
      </c>
      <c r="DH131" s="65">
        <v>6</v>
      </c>
      <c r="DI131" s="65">
        <v>7</v>
      </c>
      <c r="DJ131" s="65">
        <v>7</v>
      </c>
      <c r="DK131" s="65">
        <v>7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712</v>
      </c>
      <c r="DU131" s="2" t="s">
        <v>488</v>
      </c>
      <c r="DV131" s="2">
        <v>39</v>
      </c>
      <c r="DW131" s="2" t="s">
        <v>1</v>
      </c>
      <c r="DX131" s="2">
        <v>39</v>
      </c>
      <c r="DY131" s="2">
        <v>3</v>
      </c>
      <c r="DZ131" s="2">
        <v>4</v>
      </c>
      <c r="EA131" s="2">
        <v>4</v>
      </c>
      <c r="EB131" s="2">
        <v>3</v>
      </c>
      <c r="EC131" s="2">
        <v>3</v>
      </c>
      <c r="ED131" s="2">
        <v>2</v>
      </c>
      <c r="EE131" s="2">
        <v>3</v>
      </c>
      <c r="EF131" s="2">
        <v>3</v>
      </c>
      <c r="EG131" s="2">
        <v>7</v>
      </c>
      <c r="EH131" s="2">
        <v>4</v>
      </c>
      <c r="EI131" s="2">
        <v>5</v>
      </c>
      <c r="EJ131" s="2">
        <v>2</v>
      </c>
      <c r="EK131" s="2">
        <v>3</v>
      </c>
      <c r="EL131" s="2">
        <v>3</v>
      </c>
      <c r="EM131" s="2">
        <v>4</v>
      </c>
      <c r="EN131" s="2">
        <v>3</v>
      </c>
      <c r="EO131" s="2">
        <v>4</v>
      </c>
      <c r="EP131" s="2">
        <v>5</v>
      </c>
      <c r="EQ131" s="2">
        <v>3</v>
      </c>
      <c r="ER131" s="2">
        <v>4</v>
      </c>
      <c r="ES131" s="2">
        <v>3</v>
      </c>
      <c r="ET131" s="2">
        <v>4</v>
      </c>
      <c r="EU131" s="2">
        <v>4</v>
      </c>
      <c r="EV131" s="2">
        <v>5</v>
      </c>
      <c r="EW131" s="2">
        <v>4</v>
      </c>
      <c r="EX131" s="2">
        <v>4</v>
      </c>
      <c r="EY131" s="2">
        <v>3</v>
      </c>
      <c r="EZ131" s="2">
        <v>4</v>
      </c>
      <c r="FA131" s="2">
        <v>5</v>
      </c>
      <c r="FB131" s="2">
        <v>5</v>
      </c>
      <c r="FC131" s="2">
        <v>5</v>
      </c>
      <c r="FD131" s="2">
        <v>3</v>
      </c>
      <c r="FE131" s="2">
        <v>4</v>
      </c>
      <c r="FF131" s="2">
        <v>3</v>
      </c>
      <c r="FG131" s="2">
        <v>3</v>
      </c>
      <c r="FH131" s="2">
        <v>3</v>
      </c>
      <c r="FI131" s="2">
        <v>2</v>
      </c>
      <c r="FJ131" s="2">
        <v>4</v>
      </c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</row>
    <row r="132" spans="1:200" x14ac:dyDescent="0.25">
      <c r="A132" s="2" t="s">
        <v>971</v>
      </c>
      <c r="B132" s="2" t="s">
        <v>712</v>
      </c>
      <c r="C132" s="2" t="s">
        <v>971</v>
      </c>
      <c r="D132" s="2">
        <v>1</v>
      </c>
      <c r="E132" s="2">
        <v>0</v>
      </c>
      <c r="F132" s="2">
        <v>17</v>
      </c>
      <c r="G132" s="2">
        <v>1</v>
      </c>
      <c r="H132" s="2">
        <v>1</v>
      </c>
      <c r="I132" s="2">
        <v>18</v>
      </c>
      <c r="J132" s="2">
        <v>67</v>
      </c>
      <c r="K132" s="2">
        <v>74</v>
      </c>
      <c r="L132" s="2">
        <v>0</v>
      </c>
      <c r="M132" s="2">
        <v>0</v>
      </c>
      <c r="N132" s="2">
        <v>0</v>
      </c>
      <c r="O132" s="2">
        <v>141</v>
      </c>
      <c r="P132" s="2">
        <v>141</v>
      </c>
      <c r="Q132" s="2">
        <v>141</v>
      </c>
      <c r="R132" s="2">
        <v>141</v>
      </c>
      <c r="S132" s="2">
        <v>67</v>
      </c>
      <c r="T132" s="2">
        <v>-0.3684210526315792</v>
      </c>
      <c r="U132" s="2">
        <v>0</v>
      </c>
      <c r="V132" s="2" t="e">
        <v>#DIV/0!</v>
      </c>
      <c r="W132" s="2">
        <v>0</v>
      </c>
      <c r="X132" s="2" t="e">
        <v>#DIV/0!</v>
      </c>
      <c r="Y132" s="2">
        <v>1</v>
      </c>
      <c r="Z132" s="2">
        <v>7</v>
      </c>
      <c r="AA132" s="2">
        <v>0</v>
      </c>
      <c r="AB132" s="2">
        <v>11</v>
      </c>
      <c r="AG132" s="2">
        <v>35</v>
      </c>
      <c r="AH132" s="2">
        <v>40</v>
      </c>
      <c r="AI132" s="2">
        <v>40</v>
      </c>
      <c r="AJ132" s="2">
        <v>40</v>
      </c>
      <c r="AK132" s="2">
        <v>40</v>
      </c>
      <c r="AL132" s="2">
        <v>42</v>
      </c>
      <c r="AM132" s="2">
        <v>795.67100000000005</v>
      </c>
      <c r="AN132" s="2">
        <v>748.12300000000005</v>
      </c>
      <c r="AO132" s="2">
        <v>47.548000000000002</v>
      </c>
      <c r="AP132" s="2">
        <v>141.00131999999999</v>
      </c>
      <c r="AQ132" s="65">
        <v>2</v>
      </c>
      <c r="AR132" s="65">
        <v>2</v>
      </c>
      <c r="AS132" s="65">
        <v>2</v>
      </c>
      <c r="AT132" s="65">
        <v>2</v>
      </c>
      <c r="AU132" s="65">
        <v>2</v>
      </c>
      <c r="AV132" s="65">
        <v>2</v>
      </c>
      <c r="AW132" s="65">
        <v>2</v>
      </c>
      <c r="AX132" s="65">
        <v>2</v>
      </c>
      <c r="AY132" s="65">
        <v>2</v>
      </c>
      <c r="AZ132" s="65">
        <v>2</v>
      </c>
      <c r="BA132" s="65">
        <v>2</v>
      </c>
      <c r="BB132" s="65">
        <v>2</v>
      </c>
      <c r="BC132" s="65">
        <v>2</v>
      </c>
      <c r="BD132" s="65">
        <v>2</v>
      </c>
      <c r="BE132" s="65">
        <v>2</v>
      </c>
      <c r="BF132" s="65">
        <v>2</v>
      </c>
      <c r="BG132" s="65">
        <v>2</v>
      </c>
      <c r="BH132" s="65">
        <v>2</v>
      </c>
      <c r="BI132" s="65">
        <v>2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1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6</v>
      </c>
      <c r="CT132" s="65">
        <v>6</v>
      </c>
      <c r="CU132" s="65">
        <v>9</v>
      </c>
      <c r="CV132" s="65">
        <v>6</v>
      </c>
      <c r="CW132" s="65">
        <v>10</v>
      </c>
      <c r="CX132" s="65">
        <v>7</v>
      </c>
      <c r="CY132" s="65">
        <v>7</v>
      </c>
      <c r="CZ132" s="65">
        <v>6</v>
      </c>
      <c r="DA132" s="65">
        <v>9</v>
      </c>
      <c r="DB132" s="65">
        <v>9</v>
      </c>
      <c r="DC132" s="65">
        <v>9</v>
      </c>
      <c r="DD132" s="65">
        <v>6</v>
      </c>
      <c r="DE132" s="65">
        <v>7</v>
      </c>
      <c r="DF132" s="65">
        <v>7</v>
      </c>
      <c r="DG132" s="65">
        <v>7</v>
      </c>
      <c r="DH132" s="65">
        <v>6</v>
      </c>
      <c r="DI132" s="65">
        <v>8</v>
      </c>
      <c r="DJ132" s="65">
        <v>8</v>
      </c>
      <c r="DK132" s="65">
        <v>8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713</v>
      </c>
      <c r="DU132" s="2" t="s">
        <v>488</v>
      </c>
      <c r="DV132" s="2">
        <v>40</v>
      </c>
      <c r="DW132" s="2" t="s">
        <v>1</v>
      </c>
      <c r="DX132" s="2">
        <v>40</v>
      </c>
      <c r="DY132" s="2">
        <v>2</v>
      </c>
      <c r="DZ132" s="2">
        <v>3</v>
      </c>
      <c r="EA132" s="2">
        <v>3</v>
      </c>
      <c r="EB132" s="2">
        <v>3</v>
      </c>
      <c r="EC132" s="2">
        <v>5</v>
      </c>
      <c r="ED132" s="2">
        <v>3</v>
      </c>
      <c r="EE132" s="2">
        <v>4</v>
      </c>
      <c r="EF132" s="2">
        <v>3</v>
      </c>
      <c r="EG132" s="2">
        <v>5</v>
      </c>
      <c r="EH132" s="2">
        <v>5</v>
      </c>
      <c r="EI132" s="2">
        <v>4</v>
      </c>
      <c r="EJ132" s="2">
        <v>3</v>
      </c>
      <c r="EK132" s="2">
        <v>3</v>
      </c>
      <c r="EL132" s="2">
        <v>3</v>
      </c>
      <c r="EM132" s="2">
        <v>3</v>
      </c>
      <c r="EN132" s="2">
        <v>3</v>
      </c>
      <c r="EO132" s="2">
        <v>4</v>
      </c>
      <c r="EP132" s="2">
        <v>4</v>
      </c>
      <c r="EQ132" s="2">
        <v>4</v>
      </c>
      <c r="ER132" s="2">
        <v>4</v>
      </c>
      <c r="ES132" s="2">
        <v>3</v>
      </c>
      <c r="ET132" s="2">
        <v>6</v>
      </c>
      <c r="EU132" s="2">
        <v>3</v>
      </c>
      <c r="EV132" s="2">
        <v>5</v>
      </c>
      <c r="EW132" s="2">
        <v>4</v>
      </c>
      <c r="EX132" s="2">
        <v>3</v>
      </c>
      <c r="EY132" s="2">
        <v>3</v>
      </c>
      <c r="EZ132" s="2">
        <v>4</v>
      </c>
      <c r="FA132" s="2">
        <v>4</v>
      </c>
      <c r="FB132" s="2">
        <v>5</v>
      </c>
      <c r="FC132" s="2">
        <v>3</v>
      </c>
      <c r="FD132" s="2">
        <v>4</v>
      </c>
      <c r="FE132" s="2">
        <v>4</v>
      </c>
      <c r="FF132" s="2">
        <v>4</v>
      </c>
      <c r="FG132" s="2">
        <v>3</v>
      </c>
      <c r="FH132" s="2">
        <v>4</v>
      </c>
      <c r="FI132" s="2">
        <v>4</v>
      </c>
      <c r="FJ132" s="2">
        <v>4</v>
      </c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</row>
    <row r="133" spans="1:200" x14ac:dyDescent="0.25">
      <c r="A133" s="2" t="s">
        <v>972</v>
      </c>
      <c r="B133" s="2" t="s">
        <v>370</v>
      </c>
      <c r="C133" s="2" t="s">
        <v>972</v>
      </c>
      <c r="D133" s="2">
        <v>1</v>
      </c>
      <c r="E133" s="2">
        <v>0</v>
      </c>
      <c r="F133" s="2">
        <v>12</v>
      </c>
      <c r="G133" s="2">
        <v>5</v>
      </c>
      <c r="H133" s="2">
        <v>1</v>
      </c>
      <c r="I133" s="2">
        <v>17</v>
      </c>
      <c r="J133" s="2">
        <v>72</v>
      </c>
      <c r="K133" s="2">
        <v>71</v>
      </c>
      <c r="L133" s="2">
        <v>0</v>
      </c>
      <c r="M133" s="2">
        <v>0</v>
      </c>
      <c r="N133" s="2">
        <v>0</v>
      </c>
      <c r="O133" s="2">
        <v>143</v>
      </c>
      <c r="P133" s="2">
        <v>143</v>
      </c>
      <c r="Q133" s="2">
        <v>143</v>
      </c>
      <c r="R133" s="2">
        <v>143</v>
      </c>
      <c r="S133" s="2">
        <v>72</v>
      </c>
      <c r="T133" s="2">
        <v>5.2631578947368141E-2</v>
      </c>
      <c r="U133" s="2">
        <v>0</v>
      </c>
      <c r="V133" s="2" t="e">
        <v>#DIV/0!</v>
      </c>
      <c r="W133" s="2">
        <v>0</v>
      </c>
      <c r="X133" s="2" t="e">
        <v>#DIV/0!</v>
      </c>
      <c r="Y133" s="2">
        <v>0</v>
      </c>
      <c r="Z133" s="2">
        <v>9</v>
      </c>
      <c r="AA133" s="2">
        <v>1</v>
      </c>
      <c r="AB133" s="2">
        <v>8</v>
      </c>
      <c r="AG133" s="2">
        <v>47</v>
      </c>
      <c r="AH133" s="2">
        <v>41</v>
      </c>
      <c r="AI133" s="2">
        <v>41</v>
      </c>
      <c r="AJ133" s="2">
        <v>41</v>
      </c>
      <c r="AK133" s="2">
        <v>41</v>
      </c>
      <c r="AL133" s="2">
        <v>43</v>
      </c>
      <c r="AM133" s="2">
        <v>778.48599999999999</v>
      </c>
      <c r="AN133" s="2">
        <v>839.29899999999998</v>
      </c>
      <c r="AO133" s="2">
        <v>-60.812999999999988</v>
      </c>
      <c r="AP133" s="2">
        <v>143.00133</v>
      </c>
      <c r="AQ133" s="65">
        <v>2</v>
      </c>
      <c r="AR133" s="65">
        <v>2</v>
      </c>
      <c r="AS133" s="65">
        <v>2</v>
      </c>
      <c r="AT133" s="65">
        <v>2</v>
      </c>
      <c r="AU133" s="65">
        <v>2</v>
      </c>
      <c r="AV133" s="65">
        <v>2</v>
      </c>
      <c r="AW133" s="65">
        <v>2</v>
      </c>
      <c r="AX133" s="65">
        <v>2</v>
      </c>
      <c r="AY133" s="65">
        <v>2</v>
      </c>
      <c r="AZ133" s="65">
        <v>2</v>
      </c>
      <c r="BA133" s="65">
        <v>2</v>
      </c>
      <c r="BB133" s="65">
        <v>2</v>
      </c>
      <c r="BC133" s="65">
        <v>2</v>
      </c>
      <c r="BD133" s="65">
        <v>2</v>
      </c>
      <c r="BE133" s="65">
        <v>2</v>
      </c>
      <c r="BF133" s="65">
        <v>2</v>
      </c>
      <c r="BG133" s="65">
        <v>2</v>
      </c>
      <c r="BH133" s="65">
        <v>2</v>
      </c>
      <c r="BI133" s="65">
        <v>2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0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0</v>
      </c>
      <c r="CF133" s="65">
        <v>0</v>
      </c>
      <c r="CG133" s="65">
        <v>0</v>
      </c>
      <c r="CH133" s="65">
        <v>0</v>
      </c>
      <c r="CI133" s="65">
        <v>1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7</v>
      </c>
      <c r="CT133" s="65">
        <v>6</v>
      </c>
      <c r="CU133" s="65">
        <v>9</v>
      </c>
      <c r="CV133" s="65">
        <v>6</v>
      </c>
      <c r="CW133" s="65">
        <v>8</v>
      </c>
      <c r="CX133" s="65">
        <v>10</v>
      </c>
      <c r="CY133" s="65">
        <v>7</v>
      </c>
      <c r="CZ133" s="65">
        <v>6</v>
      </c>
      <c r="DA133" s="65">
        <v>9</v>
      </c>
      <c r="DB133" s="65">
        <v>9</v>
      </c>
      <c r="DC133" s="65">
        <v>10</v>
      </c>
      <c r="DD133" s="65">
        <v>6</v>
      </c>
      <c r="DE133" s="65">
        <v>8</v>
      </c>
      <c r="DF133" s="65">
        <v>6</v>
      </c>
      <c r="DG133" s="65">
        <v>9</v>
      </c>
      <c r="DH133" s="65">
        <v>6</v>
      </c>
      <c r="DI133" s="65">
        <v>8</v>
      </c>
      <c r="DJ133" s="65">
        <v>6</v>
      </c>
      <c r="DK133" s="65">
        <v>7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691</v>
      </c>
      <c r="DU133" s="2" t="s">
        <v>488</v>
      </c>
      <c r="DV133" s="2">
        <v>41</v>
      </c>
      <c r="DW133" s="2" t="s">
        <v>1</v>
      </c>
      <c r="DX133" s="2">
        <v>41</v>
      </c>
      <c r="DY133" s="2">
        <v>3</v>
      </c>
      <c r="DZ133" s="2">
        <v>3</v>
      </c>
      <c r="EA133" s="2">
        <v>4</v>
      </c>
      <c r="EB133" s="2">
        <v>3</v>
      </c>
      <c r="EC133" s="2">
        <v>4</v>
      </c>
      <c r="ED133" s="2">
        <v>5</v>
      </c>
      <c r="EE133" s="2">
        <v>4</v>
      </c>
      <c r="EF133" s="2">
        <v>3</v>
      </c>
      <c r="EG133" s="2">
        <v>5</v>
      </c>
      <c r="EH133" s="2">
        <v>4</v>
      </c>
      <c r="EI133" s="2">
        <v>6</v>
      </c>
      <c r="EJ133" s="2">
        <v>3</v>
      </c>
      <c r="EK133" s="2">
        <v>4</v>
      </c>
      <c r="EL133" s="2">
        <v>3</v>
      </c>
      <c r="EM133" s="2">
        <v>4</v>
      </c>
      <c r="EN133" s="2">
        <v>3</v>
      </c>
      <c r="EO133" s="2">
        <v>4</v>
      </c>
      <c r="EP133" s="2">
        <v>4</v>
      </c>
      <c r="EQ133" s="2">
        <v>3</v>
      </c>
      <c r="ER133" s="2">
        <v>4</v>
      </c>
      <c r="ES133" s="2">
        <v>3</v>
      </c>
      <c r="ET133" s="2">
        <v>5</v>
      </c>
      <c r="EU133" s="2">
        <v>3</v>
      </c>
      <c r="EV133" s="2">
        <v>4</v>
      </c>
      <c r="EW133" s="2">
        <v>5</v>
      </c>
      <c r="EX133" s="2">
        <v>3</v>
      </c>
      <c r="EY133" s="2">
        <v>3</v>
      </c>
      <c r="EZ133" s="2">
        <v>4</v>
      </c>
      <c r="FA133" s="2">
        <v>5</v>
      </c>
      <c r="FB133" s="2">
        <v>4</v>
      </c>
      <c r="FC133" s="2">
        <v>3</v>
      </c>
      <c r="FD133" s="2">
        <v>4</v>
      </c>
      <c r="FE133" s="2">
        <v>3</v>
      </c>
      <c r="FF133" s="2">
        <v>5</v>
      </c>
      <c r="FG133" s="2">
        <v>3</v>
      </c>
      <c r="FH133" s="2">
        <v>4</v>
      </c>
      <c r="FI133" s="2">
        <v>2</v>
      </c>
      <c r="FJ133" s="2">
        <v>4</v>
      </c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</row>
    <row r="134" spans="1:200" x14ac:dyDescent="0.25">
      <c r="A134" s="2" t="s">
        <v>973</v>
      </c>
      <c r="B134" s="2" t="s">
        <v>699</v>
      </c>
      <c r="C134" s="2" t="s">
        <v>973</v>
      </c>
      <c r="D134" s="2">
        <v>2</v>
      </c>
      <c r="E134" s="2">
        <v>0</v>
      </c>
      <c r="F134" s="2">
        <v>14</v>
      </c>
      <c r="G134" s="2">
        <v>4</v>
      </c>
      <c r="H134" s="2">
        <v>2</v>
      </c>
      <c r="I134" s="2">
        <v>18</v>
      </c>
      <c r="J134" s="2">
        <v>65</v>
      </c>
      <c r="K134" s="2">
        <v>78</v>
      </c>
      <c r="L134" s="2">
        <v>0</v>
      </c>
      <c r="M134" s="2">
        <v>0</v>
      </c>
      <c r="N134" s="2">
        <v>0</v>
      </c>
      <c r="O134" s="2">
        <v>143</v>
      </c>
      <c r="P134" s="2">
        <v>143</v>
      </c>
      <c r="Q134" s="2">
        <v>143</v>
      </c>
      <c r="R134" s="2">
        <v>143</v>
      </c>
      <c r="S134" s="2">
        <v>65</v>
      </c>
      <c r="T134" s="2">
        <v>-0.68421052631578982</v>
      </c>
      <c r="U134" s="2">
        <v>0</v>
      </c>
      <c r="V134" s="2" t="e">
        <v>#DIV/0!</v>
      </c>
      <c r="W134" s="2">
        <v>0</v>
      </c>
      <c r="X134" s="2" t="e">
        <v>#DIV/0!</v>
      </c>
      <c r="Y134" s="2">
        <v>2</v>
      </c>
      <c r="Z134" s="2">
        <v>6</v>
      </c>
      <c r="AA134" s="2">
        <v>0</v>
      </c>
      <c r="AB134" s="2">
        <v>12</v>
      </c>
      <c r="AG134" s="2">
        <v>2</v>
      </c>
      <c r="AH134" s="2">
        <v>3</v>
      </c>
      <c r="AI134" s="2">
        <v>3</v>
      </c>
      <c r="AJ134" s="2">
        <v>3</v>
      </c>
      <c r="AK134" s="2">
        <v>3</v>
      </c>
      <c r="AL134" s="2">
        <v>44</v>
      </c>
      <c r="AM134" s="2">
        <v>778.48599999999999</v>
      </c>
      <c r="AN134" s="2">
        <v>773.56500000000005</v>
      </c>
      <c r="AO134" s="2">
        <v>4.9209999999999354</v>
      </c>
      <c r="AP134" s="2">
        <v>143.00134</v>
      </c>
      <c r="AQ134" s="65">
        <v>2</v>
      </c>
      <c r="AR134" s="65">
        <v>2</v>
      </c>
      <c r="AS134" s="65">
        <v>2</v>
      </c>
      <c r="AT134" s="65">
        <v>2</v>
      </c>
      <c r="AU134" s="65">
        <v>2</v>
      </c>
      <c r="AV134" s="65">
        <v>2</v>
      </c>
      <c r="AW134" s="65">
        <v>2</v>
      </c>
      <c r="AX134" s="65">
        <v>2</v>
      </c>
      <c r="AY134" s="65">
        <v>2</v>
      </c>
      <c r="AZ134" s="65">
        <v>2</v>
      </c>
      <c r="BA134" s="65">
        <v>2</v>
      </c>
      <c r="BB134" s="65">
        <v>2</v>
      </c>
      <c r="BC134" s="65">
        <v>2</v>
      </c>
      <c r="BD134" s="65">
        <v>2</v>
      </c>
      <c r="BE134" s="65">
        <v>2</v>
      </c>
      <c r="BF134" s="65">
        <v>2</v>
      </c>
      <c r="BG134" s="65">
        <v>2</v>
      </c>
      <c r="BH134" s="65">
        <v>2</v>
      </c>
      <c r="BI134" s="65">
        <v>2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1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1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6</v>
      </c>
      <c r="CT134" s="65">
        <v>6</v>
      </c>
      <c r="CU134" s="65">
        <v>9</v>
      </c>
      <c r="CV134" s="65">
        <v>7</v>
      </c>
      <c r="CW134" s="65">
        <v>10</v>
      </c>
      <c r="CX134" s="65">
        <v>7</v>
      </c>
      <c r="CY134" s="65">
        <v>9</v>
      </c>
      <c r="CZ134" s="65">
        <v>6</v>
      </c>
      <c r="DA134" s="65">
        <v>8</v>
      </c>
      <c r="DB134" s="65">
        <v>11</v>
      </c>
      <c r="DC134" s="65">
        <v>11</v>
      </c>
      <c r="DD134" s="65">
        <v>6</v>
      </c>
      <c r="DE134" s="65">
        <v>8</v>
      </c>
      <c r="DF134" s="65">
        <v>6</v>
      </c>
      <c r="DG134" s="65">
        <v>7</v>
      </c>
      <c r="DH134" s="65">
        <v>6</v>
      </c>
      <c r="DI134" s="65">
        <v>7</v>
      </c>
      <c r="DJ134" s="65">
        <v>6</v>
      </c>
      <c r="DK134" s="65">
        <v>7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420</v>
      </c>
      <c r="DU134" s="2" t="s">
        <v>490</v>
      </c>
      <c r="DV134" s="2">
        <v>3</v>
      </c>
      <c r="DW134" s="2" t="s">
        <v>16</v>
      </c>
      <c r="DX134" s="2">
        <v>3</v>
      </c>
      <c r="DY134" s="2">
        <v>2</v>
      </c>
      <c r="DZ134" s="2">
        <v>3</v>
      </c>
      <c r="EA134" s="2">
        <v>4</v>
      </c>
      <c r="EB134" s="2">
        <v>4</v>
      </c>
      <c r="EC134" s="2">
        <v>5</v>
      </c>
      <c r="ED134" s="2">
        <v>3</v>
      </c>
      <c r="EE134" s="2">
        <v>4</v>
      </c>
      <c r="EF134" s="2">
        <v>3</v>
      </c>
      <c r="EG134" s="2">
        <v>4</v>
      </c>
      <c r="EH134" s="2">
        <v>5</v>
      </c>
      <c r="EI134" s="2">
        <v>4</v>
      </c>
      <c r="EJ134" s="2">
        <v>3</v>
      </c>
      <c r="EK134" s="2">
        <v>4</v>
      </c>
      <c r="EL134" s="2">
        <v>3</v>
      </c>
      <c r="EM134" s="2">
        <v>3</v>
      </c>
      <c r="EN134" s="2">
        <v>3</v>
      </c>
      <c r="EO134" s="2">
        <v>3</v>
      </c>
      <c r="EP134" s="2">
        <v>2</v>
      </c>
      <c r="EQ134" s="2">
        <v>3</v>
      </c>
      <c r="ER134" s="2">
        <v>4</v>
      </c>
      <c r="ES134" s="2">
        <v>3</v>
      </c>
      <c r="ET134" s="2">
        <v>5</v>
      </c>
      <c r="EU134" s="2">
        <v>3</v>
      </c>
      <c r="EV134" s="2">
        <v>5</v>
      </c>
      <c r="EW134" s="2">
        <v>4</v>
      </c>
      <c r="EX134" s="2">
        <v>5</v>
      </c>
      <c r="EY134" s="2">
        <v>3</v>
      </c>
      <c r="EZ134" s="2">
        <v>4</v>
      </c>
      <c r="FA134" s="2">
        <v>6</v>
      </c>
      <c r="FB134" s="2">
        <v>7</v>
      </c>
      <c r="FC134" s="2">
        <v>3</v>
      </c>
      <c r="FD134" s="2">
        <v>4</v>
      </c>
      <c r="FE134" s="2">
        <v>3</v>
      </c>
      <c r="FF134" s="2">
        <v>4</v>
      </c>
      <c r="FG134" s="2">
        <v>3</v>
      </c>
      <c r="FH134" s="2">
        <v>4</v>
      </c>
      <c r="FI134" s="2">
        <v>4</v>
      </c>
      <c r="FJ134" s="2">
        <v>4</v>
      </c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</row>
    <row r="135" spans="1:200" x14ac:dyDescent="0.25">
      <c r="A135" s="2" t="s">
        <v>974</v>
      </c>
      <c r="B135" s="2" t="s">
        <v>4</v>
      </c>
      <c r="C135" s="2" t="s">
        <v>974</v>
      </c>
      <c r="D135" s="2">
        <v>1</v>
      </c>
      <c r="E135" s="2">
        <v>0</v>
      </c>
      <c r="F135" s="2">
        <v>11</v>
      </c>
      <c r="G135" s="2">
        <v>5</v>
      </c>
      <c r="H135" s="2">
        <v>1</v>
      </c>
      <c r="I135" s="2">
        <v>16</v>
      </c>
      <c r="J135" s="2">
        <v>68</v>
      </c>
      <c r="K135" s="2">
        <v>76</v>
      </c>
      <c r="L135" s="2">
        <v>0</v>
      </c>
      <c r="M135" s="2">
        <v>0</v>
      </c>
      <c r="N135" s="2">
        <v>0</v>
      </c>
      <c r="O135" s="2">
        <v>144</v>
      </c>
      <c r="P135" s="2">
        <v>144</v>
      </c>
      <c r="Q135" s="2">
        <v>144</v>
      </c>
      <c r="R135" s="2">
        <v>144</v>
      </c>
      <c r="S135" s="2">
        <v>68</v>
      </c>
      <c r="T135" s="2">
        <v>-0.42105263157894735</v>
      </c>
      <c r="U135" s="2">
        <v>0</v>
      </c>
      <c r="V135" s="2" t="e">
        <v>#DIV/0!</v>
      </c>
      <c r="W135" s="2">
        <v>0</v>
      </c>
      <c r="X135" s="2" t="e">
        <v>#DIV/0!</v>
      </c>
      <c r="Y135" s="2">
        <v>0</v>
      </c>
      <c r="Z135" s="2">
        <v>6</v>
      </c>
      <c r="AA135" s="2">
        <v>1</v>
      </c>
      <c r="AB135" s="2">
        <v>10</v>
      </c>
      <c r="AG135" s="2">
        <v>39</v>
      </c>
      <c r="AH135" s="2">
        <v>42</v>
      </c>
      <c r="AI135" s="2">
        <v>42</v>
      </c>
      <c r="AJ135" s="2">
        <v>42</v>
      </c>
      <c r="AK135" s="2">
        <v>42</v>
      </c>
      <c r="AL135" s="2">
        <v>45</v>
      </c>
      <c r="AM135" s="2">
        <v>769.89400000000001</v>
      </c>
      <c r="AN135" s="2">
        <v>717.55499999999995</v>
      </c>
      <c r="AO135" s="2">
        <v>52.339000000000055</v>
      </c>
      <c r="AP135" s="2">
        <v>144.00135</v>
      </c>
      <c r="AQ135" s="65">
        <v>2</v>
      </c>
      <c r="AR135" s="65">
        <v>2</v>
      </c>
      <c r="AS135" s="65">
        <v>2</v>
      </c>
      <c r="AT135" s="65">
        <v>2</v>
      </c>
      <c r="AU135" s="65">
        <v>2</v>
      </c>
      <c r="AV135" s="65">
        <v>2</v>
      </c>
      <c r="AW135" s="65">
        <v>2</v>
      </c>
      <c r="AX135" s="65">
        <v>2</v>
      </c>
      <c r="AY135" s="65">
        <v>2</v>
      </c>
      <c r="AZ135" s="65">
        <v>2</v>
      </c>
      <c r="BA135" s="65">
        <v>2</v>
      </c>
      <c r="BB135" s="65">
        <v>2</v>
      </c>
      <c r="BC135" s="65">
        <v>2</v>
      </c>
      <c r="BD135" s="65">
        <v>2</v>
      </c>
      <c r="BE135" s="65">
        <v>2</v>
      </c>
      <c r="BF135" s="65">
        <v>2</v>
      </c>
      <c r="BG135" s="65">
        <v>2</v>
      </c>
      <c r="BH135" s="65">
        <v>2</v>
      </c>
      <c r="BI135" s="65">
        <v>2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1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7</v>
      </c>
      <c r="CT135" s="65">
        <v>7</v>
      </c>
      <c r="CU135" s="65">
        <v>7</v>
      </c>
      <c r="CV135" s="65">
        <v>6</v>
      </c>
      <c r="CW135" s="65">
        <v>8</v>
      </c>
      <c r="CX135" s="65">
        <v>10</v>
      </c>
      <c r="CY135" s="65">
        <v>8</v>
      </c>
      <c r="CZ135" s="65">
        <v>6</v>
      </c>
      <c r="DA135" s="65">
        <v>8</v>
      </c>
      <c r="DB135" s="65">
        <v>9</v>
      </c>
      <c r="DC135" s="65">
        <v>10</v>
      </c>
      <c r="DD135" s="65">
        <v>8</v>
      </c>
      <c r="DE135" s="65">
        <v>7</v>
      </c>
      <c r="DF135" s="65">
        <v>6</v>
      </c>
      <c r="DG135" s="65">
        <v>6</v>
      </c>
      <c r="DH135" s="65">
        <v>6</v>
      </c>
      <c r="DI135" s="65">
        <v>8</v>
      </c>
      <c r="DJ135" s="65">
        <v>10</v>
      </c>
      <c r="DK135" s="65">
        <v>7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571</v>
      </c>
      <c r="DU135" s="2" t="s">
        <v>488</v>
      </c>
      <c r="DV135" s="2">
        <v>42</v>
      </c>
      <c r="DW135" s="2" t="s">
        <v>1</v>
      </c>
      <c r="DX135" s="2">
        <v>42</v>
      </c>
      <c r="DY135" s="2">
        <v>3</v>
      </c>
      <c r="DZ135" s="2">
        <v>3</v>
      </c>
      <c r="EA135" s="2">
        <v>3</v>
      </c>
      <c r="EB135" s="2">
        <v>3</v>
      </c>
      <c r="EC135" s="2">
        <v>4</v>
      </c>
      <c r="ED135" s="2">
        <v>4</v>
      </c>
      <c r="EE135" s="2">
        <v>3</v>
      </c>
      <c r="EF135" s="2">
        <v>3</v>
      </c>
      <c r="EG135" s="2">
        <v>4</v>
      </c>
      <c r="EH135" s="2">
        <v>4</v>
      </c>
      <c r="EI135" s="2">
        <v>5</v>
      </c>
      <c r="EJ135" s="2">
        <v>5</v>
      </c>
      <c r="EK135" s="2">
        <v>4</v>
      </c>
      <c r="EL135" s="2">
        <v>3</v>
      </c>
      <c r="EM135" s="2">
        <v>3</v>
      </c>
      <c r="EN135" s="2">
        <v>4</v>
      </c>
      <c r="EO135" s="2">
        <v>3</v>
      </c>
      <c r="EP135" s="2">
        <v>4</v>
      </c>
      <c r="EQ135" s="2">
        <v>3</v>
      </c>
      <c r="ER135" s="2">
        <v>4</v>
      </c>
      <c r="ES135" s="2">
        <v>4</v>
      </c>
      <c r="ET135" s="2">
        <v>4</v>
      </c>
      <c r="EU135" s="2">
        <v>3</v>
      </c>
      <c r="EV135" s="2">
        <v>4</v>
      </c>
      <c r="EW135" s="2">
        <v>6</v>
      </c>
      <c r="EX135" s="2">
        <v>5</v>
      </c>
      <c r="EY135" s="2">
        <v>3</v>
      </c>
      <c r="EZ135" s="2">
        <v>4</v>
      </c>
      <c r="FA135" s="2">
        <v>5</v>
      </c>
      <c r="FB135" s="2">
        <v>5</v>
      </c>
      <c r="FC135" s="2">
        <v>3</v>
      </c>
      <c r="FD135" s="2">
        <v>3</v>
      </c>
      <c r="FE135" s="2">
        <v>3</v>
      </c>
      <c r="FF135" s="2">
        <v>3</v>
      </c>
      <c r="FG135" s="2">
        <v>2</v>
      </c>
      <c r="FH135" s="2">
        <v>5</v>
      </c>
      <c r="FI135" s="2">
        <v>6</v>
      </c>
      <c r="FJ135" s="2">
        <v>4</v>
      </c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</row>
    <row r="136" spans="1:200" x14ac:dyDescent="0.25">
      <c r="A136" s="2" t="s">
        <v>975</v>
      </c>
      <c r="B136" s="2" t="s">
        <v>721</v>
      </c>
      <c r="C136" s="2" t="s">
        <v>975</v>
      </c>
      <c r="D136" s="2">
        <v>1</v>
      </c>
      <c r="E136" s="2">
        <v>0</v>
      </c>
      <c r="F136" s="2">
        <v>14</v>
      </c>
      <c r="G136" s="2">
        <v>5</v>
      </c>
      <c r="H136" s="2">
        <v>1</v>
      </c>
      <c r="I136" s="2">
        <v>19</v>
      </c>
      <c r="J136" s="2">
        <v>74</v>
      </c>
      <c r="K136" s="2">
        <v>71</v>
      </c>
      <c r="L136" s="2">
        <v>0</v>
      </c>
      <c r="M136" s="2">
        <v>0</v>
      </c>
      <c r="N136" s="2">
        <v>0</v>
      </c>
      <c r="O136" s="2">
        <v>145</v>
      </c>
      <c r="P136" s="2">
        <v>145</v>
      </c>
      <c r="Q136" s="2">
        <v>145</v>
      </c>
      <c r="R136" s="2">
        <v>145</v>
      </c>
      <c r="S136" s="2">
        <v>74</v>
      </c>
      <c r="T136" s="2">
        <v>0.15789473684210531</v>
      </c>
      <c r="U136" s="2">
        <v>0</v>
      </c>
      <c r="V136" s="2" t="e">
        <v>#DIV/0!</v>
      </c>
      <c r="W136" s="2">
        <v>0</v>
      </c>
      <c r="X136" s="2" t="e">
        <v>#DIV/0!</v>
      </c>
      <c r="Y136" s="2">
        <v>0</v>
      </c>
      <c r="Z136" s="2">
        <v>10</v>
      </c>
      <c r="AA136" s="2">
        <v>1</v>
      </c>
      <c r="AB136" s="2">
        <v>9</v>
      </c>
      <c r="AG136" s="2">
        <v>49</v>
      </c>
      <c r="AH136" s="2">
        <v>43</v>
      </c>
      <c r="AI136" s="2">
        <v>43</v>
      </c>
      <c r="AJ136" s="2">
        <v>43</v>
      </c>
      <c r="AK136" s="2">
        <v>43</v>
      </c>
      <c r="AL136" s="2">
        <v>46</v>
      </c>
      <c r="AM136" s="2">
        <v>761.30100000000004</v>
      </c>
      <c r="AN136" s="2">
        <v>727.38400000000001</v>
      </c>
      <c r="AO136" s="2">
        <v>33.91700000000003</v>
      </c>
      <c r="AP136" s="2">
        <v>145.00136000000001</v>
      </c>
      <c r="AQ136" s="65">
        <v>2</v>
      </c>
      <c r="AR136" s="65">
        <v>2</v>
      </c>
      <c r="AS136" s="65">
        <v>2</v>
      </c>
      <c r="AT136" s="65">
        <v>2</v>
      </c>
      <c r="AU136" s="65">
        <v>2</v>
      </c>
      <c r="AV136" s="65">
        <v>2</v>
      </c>
      <c r="AW136" s="65">
        <v>2</v>
      </c>
      <c r="AX136" s="65">
        <v>2</v>
      </c>
      <c r="AY136" s="65">
        <v>2</v>
      </c>
      <c r="AZ136" s="65">
        <v>2</v>
      </c>
      <c r="BA136" s="65">
        <v>2</v>
      </c>
      <c r="BB136" s="65">
        <v>2</v>
      </c>
      <c r="BC136" s="65">
        <v>2</v>
      </c>
      <c r="BD136" s="65">
        <v>2</v>
      </c>
      <c r="BE136" s="65">
        <v>2</v>
      </c>
      <c r="BF136" s="65">
        <v>2</v>
      </c>
      <c r="BG136" s="65">
        <v>2</v>
      </c>
      <c r="BH136" s="65">
        <v>2</v>
      </c>
      <c r="BI136" s="65">
        <v>2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1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6</v>
      </c>
      <c r="CT136" s="65">
        <v>6</v>
      </c>
      <c r="CU136" s="65">
        <v>8</v>
      </c>
      <c r="CV136" s="65">
        <v>7</v>
      </c>
      <c r="CW136" s="65">
        <v>9</v>
      </c>
      <c r="CX136" s="65">
        <v>9</v>
      </c>
      <c r="CY136" s="65">
        <v>8</v>
      </c>
      <c r="CZ136" s="65">
        <v>6</v>
      </c>
      <c r="DA136" s="65">
        <v>11</v>
      </c>
      <c r="DB136" s="65">
        <v>9</v>
      </c>
      <c r="DC136" s="65">
        <v>12</v>
      </c>
      <c r="DD136" s="65">
        <v>8</v>
      </c>
      <c r="DE136" s="65">
        <v>6</v>
      </c>
      <c r="DF136" s="65">
        <v>7</v>
      </c>
      <c r="DG136" s="65">
        <v>7</v>
      </c>
      <c r="DH136" s="65">
        <v>7</v>
      </c>
      <c r="DI136" s="65">
        <v>7</v>
      </c>
      <c r="DJ136" s="65">
        <v>6</v>
      </c>
      <c r="DK136" s="65">
        <v>6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486</v>
      </c>
      <c r="DU136" s="2" t="s">
        <v>488</v>
      </c>
      <c r="DV136" s="2">
        <v>43</v>
      </c>
      <c r="DW136" s="2" t="s">
        <v>1</v>
      </c>
      <c r="DX136" s="2">
        <v>43</v>
      </c>
      <c r="DY136" s="2">
        <v>3</v>
      </c>
      <c r="DZ136" s="2">
        <v>3</v>
      </c>
      <c r="EA136" s="2">
        <v>4</v>
      </c>
      <c r="EB136" s="2">
        <v>4</v>
      </c>
      <c r="EC136" s="2">
        <v>5</v>
      </c>
      <c r="ED136" s="2">
        <v>4</v>
      </c>
      <c r="EE136" s="2">
        <v>4</v>
      </c>
      <c r="EF136" s="2">
        <v>3</v>
      </c>
      <c r="EG136" s="2">
        <v>6</v>
      </c>
      <c r="EH136" s="2">
        <v>4</v>
      </c>
      <c r="EI136" s="2">
        <v>6</v>
      </c>
      <c r="EJ136" s="2">
        <v>5</v>
      </c>
      <c r="EK136" s="2">
        <v>3</v>
      </c>
      <c r="EL136" s="2">
        <v>3</v>
      </c>
      <c r="EM136" s="2">
        <v>3</v>
      </c>
      <c r="EN136" s="2">
        <v>3</v>
      </c>
      <c r="EO136" s="2">
        <v>4</v>
      </c>
      <c r="EP136" s="2">
        <v>4</v>
      </c>
      <c r="EQ136" s="2">
        <v>3</v>
      </c>
      <c r="ER136" s="2">
        <v>3</v>
      </c>
      <c r="ES136" s="2">
        <v>3</v>
      </c>
      <c r="ET136" s="2">
        <v>4</v>
      </c>
      <c r="EU136" s="2">
        <v>3</v>
      </c>
      <c r="EV136" s="2">
        <v>4</v>
      </c>
      <c r="EW136" s="2">
        <v>5</v>
      </c>
      <c r="EX136" s="2">
        <v>4</v>
      </c>
      <c r="EY136" s="2">
        <v>3</v>
      </c>
      <c r="EZ136" s="2">
        <v>5</v>
      </c>
      <c r="FA136" s="2">
        <v>5</v>
      </c>
      <c r="FB136" s="2">
        <v>6</v>
      </c>
      <c r="FC136" s="2">
        <v>3</v>
      </c>
      <c r="FD136" s="2">
        <v>3</v>
      </c>
      <c r="FE136" s="2">
        <v>4</v>
      </c>
      <c r="FF136" s="2">
        <v>4</v>
      </c>
      <c r="FG136" s="2">
        <v>4</v>
      </c>
      <c r="FH136" s="2">
        <v>3</v>
      </c>
      <c r="FI136" s="2">
        <v>2</v>
      </c>
      <c r="FJ136" s="2">
        <v>3</v>
      </c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</row>
    <row r="137" spans="1:200" x14ac:dyDescent="0.25">
      <c r="A137" s="2" t="s">
        <v>976</v>
      </c>
      <c r="B137" s="2" t="s">
        <v>703</v>
      </c>
      <c r="C137" s="2" t="s">
        <v>976</v>
      </c>
      <c r="D137" s="2">
        <v>3</v>
      </c>
      <c r="E137" s="2">
        <v>0</v>
      </c>
      <c r="F137" s="2">
        <v>14</v>
      </c>
      <c r="G137" s="2">
        <v>6</v>
      </c>
      <c r="H137" s="2">
        <v>3</v>
      </c>
      <c r="I137" s="2">
        <v>20</v>
      </c>
      <c r="J137" s="2">
        <v>74</v>
      </c>
      <c r="K137" s="2">
        <v>72</v>
      </c>
      <c r="L137" s="2">
        <v>0</v>
      </c>
      <c r="M137" s="2">
        <v>0</v>
      </c>
      <c r="N137" s="2">
        <v>0</v>
      </c>
      <c r="O137" s="2">
        <v>146</v>
      </c>
      <c r="P137" s="2">
        <v>146</v>
      </c>
      <c r="Q137" s="2">
        <v>146</v>
      </c>
      <c r="R137" s="2">
        <v>146</v>
      </c>
      <c r="S137" s="2">
        <v>74</v>
      </c>
      <c r="T137" s="2">
        <v>0.10526315789473717</v>
      </c>
      <c r="U137" s="2">
        <v>0</v>
      </c>
      <c r="V137" s="2" t="e">
        <v>#DIV/0!</v>
      </c>
      <c r="W137" s="2">
        <v>0</v>
      </c>
      <c r="X137" s="2" t="e">
        <v>#DIV/0!</v>
      </c>
      <c r="Y137" s="2">
        <v>1</v>
      </c>
      <c r="Z137" s="2">
        <v>10</v>
      </c>
      <c r="AA137" s="2">
        <v>2</v>
      </c>
      <c r="AB137" s="2">
        <v>10</v>
      </c>
      <c r="AG137" s="2">
        <v>49</v>
      </c>
      <c r="AH137" s="2">
        <v>44</v>
      </c>
      <c r="AI137" s="2">
        <v>44</v>
      </c>
      <c r="AJ137" s="2">
        <v>44</v>
      </c>
      <c r="AK137" s="2">
        <v>44</v>
      </c>
      <c r="AL137" s="2">
        <v>47</v>
      </c>
      <c r="AM137" s="2">
        <v>752.70899999999995</v>
      </c>
      <c r="AN137" s="2">
        <v>788.48400000000004</v>
      </c>
      <c r="AO137" s="2">
        <v>-35.775000000000091</v>
      </c>
      <c r="AP137" s="2">
        <v>146.00137000000001</v>
      </c>
      <c r="AQ137" s="65">
        <v>2</v>
      </c>
      <c r="AR137" s="65">
        <v>2</v>
      </c>
      <c r="AS137" s="65">
        <v>2</v>
      </c>
      <c r="AT137" s="65">
        <v>2</v>
      </c>
      <c r="AU137" s="65">
        <v>2</v>
      </c>
      <c r="AV137" s="65">
        <v>2</v>
      </c>
      <c r="AW137" s="65">
        <v>2</v>
      </c>
      <c r="AX137" s="65">
        <v>2</v>
      </c>
      <c r="AY137" s="65">
        <v>2</v>
      </c>
      <c r="AZ137" s="65">
        <v>2</v>
      </c>
      <c r="BA137" s="65">
        <v>2</v>
      </c>
      <c r="BB137" s="65">
        <v>2</v>
      </c>
      <c r="BC137" s="65">
        <v>2</v>
      </c>
      <c r="BD137" s="65">
        <v>2</v>
      </c>
      <c r="BE137" s="65">
        <v>2</v>
      </c>
      <c r="BF137" s="65">
        <v>2</v>
      </c>
      <c r="BG137" s="65">
        <v>2</v>
      </c>
      <c r="BH137" s="65">
        <v>2</v>
      </c>
      <c r="BI137" s="65">
        <v>2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1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1</v>
      </c>
      <c r="CE137" s="65">
        <v>0</v>
      </c>
      <c r="CF137" s="65">
        <v>0</v>
      </c>
      <c r="CG137" s="65">
        <v>0</v>
      </c>
      <c r="CH137" s="65">
        <v>0</v>
      </c>
      <c r="CI137" s="65">
        <v>1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6</v>
      </c>
      <c r="CT137" s="65">
        <v>6</v>
      </c>
      <c r="CU137" s="65">
        <v>7</v>
      </c>
      <c r="CV137" s="65">
        <v>8</v>
      </c>
      <c r="CW137" s="65">
        <v>11</v>
      </c>
      <c r="CX137" s="65">
        <v>7</v>
      </c>
      <c r="CY137" s="65">
        <v>7</v>
      </c>
      <c r="CZ137" s="65">
        <v>6</v>
      </c>
      <c r="DA137" s="65">
        <v>11</v>
      </c>
      <c r="DB137" s="65">
        <v>10</v>
      </c>
      <c r="DC137" s="65">
        <v>10</v>
      </c>
      <c r="DD137" s="65">
        <v>9</v>
      </c>
      <c r="DE137" s="65">
        <v>5</v>
      </c>
      <c r="DF137" s="65">
        <v>7</v>
      </c>
      <c r="DG137" s="65">
        <v>6</v>
      </c>
      <c r="DH137" s="65">
        <v>6</v>
      </c>
      <c r="DI137" s="65">
        <v>8</v>
      </c>
      <c r="DJ137" s="65">
        <v>8</v>
      </c>
      <c r="DK137" s="65">
        <v>8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13</v>
      </c>
      <c r="DU137" s="2" t="s">
        <v>488</v>
      </c>
      <c r="DV137" s="2">
        <v>44</v>
      </c>
      <c r="DW137" s="2" t="s">
        <v>1</v>
      </c>
      <c r="DX137" s="2">
        <v>44</v>
      </c>
      <c r="DY137" s="2">
        <v>4</v>
      </c>
      <c r="DZ137" s="2">
        <v>3</v>
      </c>
      <c r="EA137" s="2">
        <v>3</v>
      </c>
      <c r="EB137" s="2">
        <v>5</v>
      </c>
      <c r="EC137" s="2">
        <v>6</v>
      </c>
      <c r="ED137" s="2">
        <v>3</v>
      </c>
      <c r="EE137" s="2">
        <v>3</v>
      </c>
      <c r="EF137" s="2">
        <v>3</v>
      </c>
      <c r="EG137" s="2">
        <v>5</v>
      </c>
      <c r="EH137" s="2">
        <v>6</v>
      </c>
      <c r="EI137" s="2">
        <v>5</v>
      </c>
      <c r="EJ137" s="2">
        <v>5</v>
      </c>
      <c r="EK137" s="2">
        <v>3</v>
      </c>
      <c r="EL137" s="2">
        <v>4</v>
      </c>
      <c r="EM137" s="2">
        <v>3</v>
      </c>
      <c r="EN137" s="2">
        <v>3</v>
      </c>
      <c r="EO137" s="2">
        <v>4</v>
      </c>
      <c r="EP137" s="2">
        <v>2</v>
      </c>
      <c r="EQ137" s="2">
        <v>4</v>
      </c>
      <c r="ER137" s="2">
        <v>2</v>
      </c>
      <c r="ES137" s="2">
        <v>3</v>
      </c>
      <c r="ET137" s="2">
        <v>4</v>
      </c>
      <c r="EU137" s="2">
        <v>3</v>
      </c>
      <c r="EV137" s="2">
        <v>5</v>
      </c>
      <c r="EW137" s="2">
        <v>4</v>
      </c>
      <c r="EX137" s="2">
        <v>4</v>
      </c>
      <c r="EY137" s="2">
        <v>3</v>
      </c>
      <c r="EZ137" s="2">
        <v>6</v>
      </c>
      <c r="FA137" s="2">
        <v>4</v>
      </c>
      <c r="FB137" s="2">
        <v>5</v>
      </c>
      <c r="FC137" s="2">
        <v>4</v>
      </c>
      <c r="FD137" s="2">
        <v>2</v>
      </c>
      <c r="FE137" s="2">
        <v>3</v>
      </c>
      <c r="FF137" s="2">
        <v>3</v>
      </c>
      <c r="FG137" s="2">
        <v>3</v>
      </c>
      <c r="FH137" s="2">
        <v>4</v>
      </c>
      <c r="FI137" s="2">
        <v>6</v>
      </c>
      <c r="FJ137" s="2">
        <v>4</v>
      </c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</row>
    <row r="138" spans="1:200" x14ac:dyDescent="0.25">
      <c r="A138" s="2" t="s">
        <v>977</v>
      </c>
      <c r="B138" s="2" t="s">
        <v>722</v>
      </c>
      <c r="C138" s="2" t="s">
        <v>976</v>
      </c>
      <c r="D138" s="2">
        <v>2</v>
      </c>
      <c r="E138" s="2">
        <v>0</v>
      </c>
      <c r="F138" s="2">
        <v>14</v>
      </c>
      <c r="G138" s="2">
        <v>6</v>
      </c>
      <c r="H138" s="2">
        <v>2</v>
      </c>
      <c r="I138" s="2">
        <v>20</v>
      </c>
      <c r="J138" s="2">
        <v>74</v>
      </c>
      <c r="K138" s="2">
        <v>72</v>
      </c>
      <c r="L138" s="2">
        <v>0</v>
      </c>
      <c r="M138" s="2">
        <v>0</v>
      </c>
      <c r="N138" s="2">
        <v>0</v>
      </c>
      <c r="O138" s="2">
        <v>146</v>
      </c>
      <c r="P138" s="2">
        <v>146</v>
      </c>
      <c r="Q138" s="2">
        <v>146</v>
      </c>
      <c r="R138" s="2">
        <v>146</v>
      </c>
      <c r="S138" s="2">
        <v>74</v>
      </c>
      <c r="T138" s="2">
        <v>0.10526315789473717</v>
      </c>
      <c r="U138" s="2">
        <v>0</v>
      </c>
      <c r="V138" s="2" t="e">
        <v>#DIV/0!</v>
      </c>
      <c r="W138" s="2">
        <v>0</v>
      </c>
      <c r="X138" s="2" t="e">
        <v>#DIV/0!</v>
      </c>
      <c r="Y138" s="2">
        <v>1</v>
      </c>
      <c r="Z138" s="2">
        <v>10</v>
      </c>
      <c r="AA138" s="2">
        <v>1</v>
      </c>
      <c r="AB138" s="2">
        <v>10</v>
      </c>
      <c r="AG138" s="2">
        <v>49</v>
      </c>
      <c r="AH138" s="2">
        <v>44</v>
      </c>
      <c r="AI138" s="2">
        <v>44</v>
      </c>
      <c r="AJ138" s="2">
        <v>44</v>
      </c>
      <c r="AK138" s="2">
        <v>44</v>
      </c>
      <c r="AL138" s="2">
        <v>48</v>
      </c>
      <c r="AM138" s="2">
        <v>752.70899999999995</v>
      </c>
      <c r="AN138" s="2">
        <v>818.27499999999998</v>
      </c>
      <c r="AO138" s="2">
        <v>-65.566000000000031</v>
      </c>
      <c r="AP138" s="2">
        <v>146.00138000000001</v>
      </c>
      <c r="AQ138" s="65">
        <v>2</v>
      </c>
      <c r="AR138" s="65">
        <v>2</v>
      </c>
      <c r="AS138" s="65">
        <v>2</v>
      </c>
      <c r="AT138" s="65">
        <v>2</v>
      </c>
      <c r="AU138" s="65">
        <v>2</v>
      </c>
      <c r="AV138" s="65">
        <v>2</v>
      </c>
      <c r="AW138" s="65">
        <v>2</v>
      </c>
      <c r="AX138" s="65">
        <v>2</v>
      </c>
      <c r="AY138" s="65">
        <v>2</v>
      </c>
      <c r="AZ138" s="65">
        <v>2</v>
      </c>
      <c r="BA138" s="65">
        <v>2</v>
      </c>
      <c r="BB138" s="65">
        <v>2</v>
      </c>
      <c r="BC138" s="65">
        <v>2</v>
      </c>
      <c r="BD138" s="65">
        <v>2</v>
      </c>
      <c r="BE138" s="65">
        <v>2</v>
      </c>
      <c r="BF138" s="65">
        <v>2</v>
      </c>
      <c r="BG138" s="65">
        <v>2</v>
      </c>
      <c r="BH138" s="65">
        <v>2</v>
      </c>
      <c r="BI138" s="65">
        <v>2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1</v>
      </c>
      <c r="BW138" s="65">
        <v>0</v>
      </c>
      <c r="BX138" s="65">
        <v>1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7</v>
      </c>
      <c r="CT138" s="65">
        <v>9</v>
      </c>
      <c r="CU138" s="65">
        <v>7</v>
      </c>
      <c r="CV138" s="65">
        <v>8</v>
      </c>
      <c r="CW138" s="65">
        <v>8</v>
      </c>
      <c r="CX138" s="65">
        <v>9</v>
      </c>
      <c r="CY138" s="65">
        <v>5</v>
      </c>
      <c r="CZ138" s="65">
        <v>7</v>
      </c>
      <c r="DA138" s="65">
        <v>11</v>
      </c>
      <c r="DB138" s="65">
        <v>8</v>
      </c>
      <c r="DC138" s="65">
        <v>10</v>
      </c>
      <c r="DD138" s="65">
        <v>6</v>
      </c>
      <c r="DE138" s="65">
        <v>6</v>
      </c>
      <c r="DF138" s="65">
        <v>8</v>
      </c>
      <c r="DG138" s="65">
        <v>6</v>
      </c>
      <c r="DH138" s="65">
        <v>6</v>
      </c>
      <c r="DI138" s="65">
        <v>9</v>
      </c>
      <c r="DJ138" s="65">
        <v>9</v>
      </c>
      <c r="DK138" s="65">
        <v>7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456</v>
      </c>
      <c r="DU138" s="2" t="s">
        <v>488</v>
      </c>
      <c r="DV138" s="2">
        <v>44</v>
      </c>
      <c r="DW138" s="2" t="s">
        <v>1</v>
      </c>
      <c r="DX138" s="2">
        <v>44</v>
      </c>
      <c r="DY138" s="2">
        <v>3</v>
      </c>
      <c r="DZ138" s="2">
        <v>4</v>
      </c>
      <c r="EA138" s="2">
        <v>4</v>
      </c>
      <c r="EB138" s="2">
        <v>4</v>
      </c>
      <c r="EC138" s="2">
        <v>3</v>
      </c>
      <c r="ED138" s="2">
        <v>5</v>
      </c>
      <c r="EE138" s="2">
        <v>3</v>
      </c>
      <c r="EF138" s="2">
        <v>3</v>
      </c>
      <c r="EG138" s="2">
        <v>6</v>
      </c>
      <c r="EH138" s="2">
        <v>4</v>
      </c>
      <c r="EI138" s="2">
        <v>5</v>
      </c>
      <c r="EJ138" s="2">
        <v>3</v>
      </c>
      <c r="EK138" s="2">
        <v>3</v>
      </c>
      <c r="EL138" s="2">
        <v>5</v>
      </c>
      <c r="EM138" s="2">
        <v>3</v>
      </c>
      <c r="EN138" s="2">
        <v>3</v>
      </c>
      <c r="EO138" s="2">
        <v>5</v>
      </c>
      <c r="EP138" s="2">
        <v>4</v>
      </c>
      <c r="EQ138" s="2">
        <v>4</v>
      </c>
      <c r="ER138" s="2">
        <v>4</v>
      </c>
      <c r="ES138" s="2">
        <v>5</v>
      </c>
      <c r="ET138" s="2">
        <v>3</v>
      </c>
      <c r="EU138" s="2">
        <v>4</v>
      </c>
      <c r="EV138" s="2">
        <v>5</v>
      </c>
      <c r="EW138" s="2">
        <v>4</v>
      </c>
      <c r="EX138" s="2">
        <v>2</v>
      </c>
      <c r="EY138" s="2">
        <v>4</v>
      </c>
      <c r="EZ138" s="2">
        <v>5</v>
      </c>
      <c r="FA138" s="2">
        <v>4</v>
      </c>
      <c r="FB138" s="2">
        <v>5</v>
      </c>
      <c r="FC138" s="2">
        <v>3</v>
      </c>
      <c r="FD138" s="2">
        <v>3</v>
      </c>
      <c r="FE138" s="2">
        <v>3</v>
      </c>
      <c r="FF138" s="2">
        <v>3</v>
      </c>
      <c r="FG138" s="2">
        <v>3</v>
      </c>
      <c r="FH138" s="2">
        <v>4</v>
      </c>
      <c r="FI138" s="2">
        <v>5</v>
      </c>
      <c r="FJ138" s="2">
        <v>3</v>
      </c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</row>
    <row r="139" spans="1:200" x14ac:dyDescent="0.25">
      <c r="A139" s="2" t="s">
        <v>978</v>
      </c>
      <c r="B139" s="2" t="s">
        <v>0</v>
      </c>
      <c r="C139" s="2" t="s">
        <v>976</v>
      </c>
      <c r="D139" s="2">
        <v>1</v>
      </c>
      <c r="E139" s="2">
        <v>0</v>
      </c>
      <c r="F139" s="2">
        <v>14</v>
      </c>
      <c r="G139" s="2">
        <v>5</v>
      </c>
      <c r="H139" s="2">
        <v>1</v>
      </c>
      <c r="I139" s="2">
        <v>19</v>
      </c>
      <c r="J139" s="2">
        <v>71</v>
      </c>
      <c r="K139" s="2">
        <v>75</v>
      </c>
      <c r="L139" s="2">
        <v>0</v>
      </c>
      <c r="M139" s="2">
        <v>0</v>
      </c>
      <c r="N139" s="2">
        <v>0</v>
      </c>
      <c r="O139" s="2">
        <v>146</v>
      </c>
      <c r="P139" s="2">
        <v>146</v>
      </c>
      <c r="Q139" s="2">
        <v>146</v>
      </c>
      <c r="R139" s="2">
        <v>146</v>
      </c>
      <c r="S139" s="2">
        <v>71</v>
      </c>
      <c r="T139" s="2">
        <v>-0.21052631578947345</v>
      </c>
      <c r="U139" s="2">
        <v>0</v>
      </c>
      <c r="V139" s="2" t="e">
        <v>#DIV/0!</v>
      </c>
      <c r="W139" s="2">
        <v>0</v>
      </c>
      <c r="X139" s="2" t="e">
        <v>#DIV/0!</v>
      </c>
      <c r="Y139" s="2">
        <v>1</v>
      </c>
      <c r="Z139" s="2">
        <v>10</v>
      </c>
      <c r="AA139" s="2">
        <v>0</v>
      </c>
      <c r="AB139" s="2">
        <v>9</v>
      </c>
      <c r="AG139" s="2">
        <v>45</v>
      </c>
      <c r="AH139" s="2">
        <v>44</v>
      </c>
      <c r="AI139" s="2">
        <v>44</v>
      </c>
      <c r="AJ139" s="2">
        <v>44</v>
      </c>
      <c r="AK139" s="2">
        <v>44</v>
      </c>
      <c r="AL139" s="2">
        <v>49</v>
      </c>
      <c r="AM139" s="2">
        <v>752.70899999999995</v>
      </c>
      <c r="AN139" s="2">
        <v>749.14499999999998</v>
      </c>
      <c r="AO139" s="2">
        <v>3.5639999999999645</v>
      </c>
      <c r="AP139" s="2">
        <v>146.00138999999999</v>
      </c>
      <c r="AQ139" s="65">
        <v>2</v>
      </c>
      <c r="AR139" s="65">
        <v>2</v>
      </c>
      <c r="AS139" s="65">
        <v>2</v>
      </c>
      <c r="AT139" s="65">
        <v>2</v>
      </c>
      <c r="AU139" s="65">
        <v>2</v>
      </c>
      <c r="AV139" s="65">
        <v>2</v>
      </c>
      <c r="AW139" s="65">
        <v>2</v>
      </c>
      <c r="AX139" s="65">
        <v>2</v>
      </c>
      <c r="AY139" s="65">
        <v>2</v>
      </c>
      <c r="AZ139" s="65">
        <v>2</v>
      </c>
      <c r="BA139" s="65">
        <v>2</v>
      </c>
      <c r="BB139" s="65">
        <v>2</v>
      </c>
      <c r="BC139" s="65">
        <v>2</v>
      </c>
      <c r="BD139" s="65">
        <v>2</v>
      </c>
      <c r="BE139" s="65">
        <v>2</v>
      </c>
      <c r="BF139" s="65">
        <v>2</v>
      </c>
      <c r="BG139" s="65">
        <v>2</v>
      </c>
      <c r="BH139" s="65">
        <v>2</v>
      </c>
      <c r="BI139" s="65">
        <v>2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1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8</v>
      </c>
      <c r="CT139" s="65">
        <v>7</v>
      </c>
      <c r="CU139" s="65">
        <v>9</v>
      </c>
      <c r="CV139" s="65">
        <v>7</v>
      </c>
      <c r="CW139" s="65">
        <v>8</v>
      </c>
      <c r="CX139" s="65">
        <v>8</v>
      </c>
      <c r="CY139" s="65">
        <v>8</v>
      </c>
      <c r="CZ139" s="65">
        <v>7</v>
      </c>
      <c r="DA139" s="65">
        <v>8</v>
      </c>
      <c r="DB139" s="65">
        <v>9</v>
      </c>
      <c r="DC139" s="65">
        <v>10</v>
      </c>
      <c r="DD139" s="65">
        <v>8</v>
      </c>
      <c r="DE139" s="65">
        <v>6</v>
      </c>
      <c r="DF139" s="65">
        <v>9</v>
      </c>
      <c r="DG139" s="65">
        <v>6</v>
      </c>
      <c r="DH139" s="65">
        <v>6</v>
      </c>
      <c r="DI139" s="65">
        <v>7</v>
      </c>
      <c r="DJ139" s="65">
        <v>8</v>
      </c>
      <c r="DK139" s="65">
        <v>7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577</v>
      </c>
      <c r="DU139" s="2" t="s">
        <v>488</v>
      </c>
      <c r="DV139" s="2">
        <v>44</v>
      </c>
      <c r="DW139" s="2" t="s">
        <v>1</v>
      </c>
      <c r="DX139" s="2">
        <v>44</v>
      </c>
      <c r="DY139" s="2">
        <v>3</v>
      </c>
      <c r="DZ139" s="2">
        <v>4</v>
      </c>
      <c r="EA139" s="2">
        <v>4</v>
      </c>
      <c r="EB139" s="2">
        <v>4</v>
      </c>
      <c r="EC139" s="2">
        <v>4</v>
      </c>
      <c r="ED139" s="2">
        <v>4</v>
      </c>
      <c r="EE139" s="2">
        <v>4</v>
      </c>
      <c r="EF139" s="2">
        <v>4</v>
      </c>
      <c r="EG139" s="2">
        <v>4</v>
      </c>
      <c r="EH139" s="2">
        <v>5</v>
      </c>
      <c r="EI139" s="2">
        <v>5</v>
      </c>
      <c r="EJ139" s="2">
        <v>3</v>
      </c>
      <c r="EK139" s="2">
        <v>3</v>
      </c>
      <c r="EL139" s="2">
        <v>5</v>
      </c>
      <c r="EM139" s="2">
        <v>3</v>
      </c>
      <c r="EN139" s="2">
        <v>3</v>
      </c>
      <c r="EO139" s="2">
        <v>4</v>
      </c>
      <c r="EP139" s="2">
        <v>2</v>
      </c>
      <c r="EQ139" s="2">
        <v>3</v>
      </c>
      <c r="ER139" s="2">
        <v>5</v>
      </c>
      <c r="ES139" s="2">
        <v>3</v>
      </c>
      <c r="ET139" s="2">
        <v>5</v>
      </c>
      <c r="EU139" s="2">
        <v>3</v>
      </c>
      <c r="EV139" s="2">
        <v>4</v>
      </c>
      <c r="EW139" s="2">
        <v>4</v>
      </c>
      <c r="EX139" s="2">
        <v>4</v>
      </c>
      <c r="EY139" s="2">
        <v>3</v>
      </c>
      <c r="EZ139" s="2">
        <v>4</v>
      </c>
      <c r="FA139" s="2">
        <v>4</v>
      </c>
      <c r="FB139" s="2">
        <v>5</v>
      </c>
      <c r="FC139" s="2">
        <v>5</v>
      </c>
      <c r="FD139" s="2">
        <v>3</v>
      </c>
      <c r="FE139" s="2">
        <v>4</v>
      </c>
      <c r="FF139" s="2">
        <v>3</v>
      </c>
      <c r="FG139" s="2">
        <v>3</v>
      </c>
      <c r="FH139" s="2">
        <v>3</v>
      </c>
      <c r="FI139" s="2">
        <v>6</v>
      </c>
      <c r="FJ139" s="2">
        <v>4</v>
      </c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</row>
    <row r="140" spans="1:200" x14ac:dyDescent="0.25">
      <c r="A140" s="2" t="s">
        <v>979</v>
      </c>
      <c r="B140" s="2" t="s">
        <v>709</v>
      </c>
      <c r="C140" s="2" t="s">
        <v>976</v>
      </c>
      <c r="D140" s="2">
        <v>2</v>
      </c>
      <c r="E140" s="2">
        <v>0</v>
      </c>
      <c r="F140" s="2">
        <v>15</v>
      </c>
      <c r="G140" s="2">
        <v>5</v>
      </c>
      <c r="H140" s="2">
        <v>2</v>
      </c>
      <c r="I140" s="2">
        <v>20</v>
      </c>
      <c r="J140" s="2">
        <v>69</v>
      </c>
      <c r="K140" s="2">
        <v>77</v>
      </c>
      <c r="L140" s="2">
        <v>0</v>
      </c>
      <c r="M140" s="2">
        <v>0</v>
      </c>
      <c r="N140" s="2">
        <v>0</v>
      </c>
      <c r="O140" s="2">
        <v>146</v>
      </c>
      <c r="P140" s="2">
        <v>146</v>
      </c>
      <c r="Q140" s="2">
        <v>146</v>
      </c>
      <c r="R140" s="2">
        <v>146</v>
      </c>
      <c r="S140" s="2">
        <v>69</v>
      </c>
      <c r="T140" s="2">
        <v>-0.4210526315789469</v>
      </c>
      <c r="U140" s="2">
        <v>0</v>
      </c>
      <c r="V140" s="2" t="e">
        <v>#DIV/0!</v>
      </c>
      <c r="W140" s="2">
        <v>0</v>
      </c>
      <c r="X140" s="2" t="e">
        <v>#DIV/0!</v>
      </c>
      <c r="Y140" s="2">
        <v>2</v>
      </c>
      <c r="Z140" s="2">
        <v>9</v>
      </c>
      <c r="AA140" s="2">
        <v>0</v>
      </c>
      <c r="AB140" s="2">
        <v>11</v>
      </c>
      <c r="AG140" s="2">
        <v>41</v>
      </c>
      <c r="AH140" s="2">
        <v>44</v>
      </c>
      <c r="AI140" s="2">
        <v>44</v>
      </c>
      <c r="AJ140" s="2">
        <v>44</v>
      </c>
      <c r="AK140" s="2">
        <v>44</v>
      </c>
      <c r="AL140" s="2">
        <v>50</v>
      </c>
      <c r="AM140" s="2">
        <v>752.70899999999995</v>
      </c>
      <c r="AN140" s="2">
        <v>835.32399999999996</v>
      </c>
      <c r="AO140" s="2">
        <v>-82.615000000000009</v>
      </c>
      <c r="AP140" s="2">
        <v>146.00139999999999</v>
      </c>
      <c r="AQ140" s="65">
        <v>2</v>
      </c>
      <c r="AR140" s="65">
        <v>2</v>
      </c>
      <c r="AS140" s="65">
        <v>2</v>
      </c>
      <c r="AT140" s="65">
        <v>2</v>
      </c>
      <c r="AU140" s="65">
        <v>2</v>
      </c>
      <c r="AV140" s="65">
        <v>2</v>
      </c>
      <c r="AW140" s="65">
        <v>2</v>
      </c>
      <c r="AX140" s="65">
        <v>2</v>
      </c>
      <c r="AY140" s="65">
        <v>2</v>
      </c>
      <c r="AZ140" s="65">
        <v>2</v>
      </c>
      <c r="BA140" s="65">
        <v>2</v>
      </c>
      <c r="BB140" s="65">
        <v>2</v>
      </c>
      <c r="BC140" s="65">
        <v>2</v>
      </c>
      <c r="BD140" s="65">
        <v>2</v>
      </c>
      <c r="BE140" s="65">
        <v>2</v>
      </c>
      <c r="BF140" s="65">
        <v>2</v>
      </c>
      <c r="BG140" s="65">
        <v>2</v>
      </c>
      <c r="BH140" s="65">
        <v>2</v>
      </c>
      <c r="BI140" s="65">
        <v>2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1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1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7</v>
      </c>
      <c r="CT140" s="65">
        <v>8</v>
      </c>
      <c r="CU140" s="65">
        <v>5</v>
      </c>
      <c r="CV140" s="65">
        <v>6</v>
      </c>
      <c r="CW140" s="65">
        <v>10</v>
      </c>
      <c r="CX140" s="65">
        <v>7</v>
      </c>
      <c r="CY140" s="65">
        <v>6</v>
      </c>
      <c r="CZ140" s="65">
        <v>6</v>
      </c>
      <c r="DA140" s="65">
        <v>10</v>
      </c>
      <c r="DB140" s="65">
        <v>9</v>
      </c>
      <c r="DC140" s="65">
        <v>12</v>
      </c>
      <c r="DD140" s="65">
        <v>7</v>
      </c>
      <c r="DE140" s="65">
        <v>7</v>
      </c>
      <c r="DF140" s="65">
        <v>7</v>
      </c>
      <c r="DG140" s="65">
        <v>9</v>
      </c>
      <c r="DH140" s="65">
        <v>6</v>
      </c>
      <c r="DI140" s="65">
        <v>9</v>
      </c>
      <c r="DJ140" s="65">
        <v>6</v>
      </c>
      <c r="DK140" s="65">
        <v>9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714</v>
      </c>
      <c r="DU140" s="2" t="s">
        <v>488</v>
      </c>
      <c r="DV140" s="2">
        <v>44</v>
      </c>
      <c r="DW140" s="2" t="s">
        <v>1</v>
      </c>
      <c r="DX140" s="2">
        <v>44</v>
      </c>
      <c r="DY140" s="2">
        <v>3</v>
      </c>
      <c r="DZ140" s="2">
        <v>4</v>
      </c>
      <c r="EA140" s="2">
        <v>2</v>
      </c>
      <c r="EB140" s="2">
        <v>3</v>
      </c>
      <c r="EC140" s="2">
        <v>4</v>
      </c>
      <c r="ED140" s="2">
        <v>3</v>
      </c>
      <c r="EE140" s="2">
        <v>3</v>
      </c>
      <c r="EF140" s="2">
        <v>3</v>
      </c>
      <c r="EG140" s="2">
        <v>5</v>
      </c>
      <c r="EH140" s="2">
        <v>5</v>
      </c>
      <c r="EI140" s="2">
        <v>5</v>
      </c>
      <c r="EJ140" s="2">
        <v>4</v>
      </c>
      <c r="EK140" s="2">
        <v>3</v>
      </c>
      <c r="EL140" s="2">
        <v>4</v>
      </c>
      <c r="EM140" s="2">
        <v>4</v>
      </c>
      <c r="EN140" s="2">
        <v>3</v>
      </c>
      <c r="EO140" s="2">
        <v>4</v>
      </c>
      <c r="EP140" s="2">
        <v>2</v>
      </c>
      <c r="EQ140" s="2">
        <v>5</v>
      </c>
      <c r="ER140" s="2">
        <v>4</v>
      </c>
      <c r="ES140" s="2">
        <v>4</v>
      </c>
      <c r="ET140" s="2">
        <v>3</v>
      </c>
      <c r="EU140" s="2">
        <v>3</v>
      </c>
      <c r="EV140" s="2">
        <v>6</v>
      </c>
      <c r="EW140" s="2">
        <v>4</v>
      </c>
      <c r="EX140" s="2">
        <v>3</v>
      </c>
      <c r="EY140" s="2">
        <v>3</v>
      </c>
      <c r="EZ140" s="2">
        <v>5</v>
      </c>
      <c r="FA140" s="2">
        <v>4</v>
      </c>
      <c r="FB140" s="2">
        <v>7</v>
      </c>
      <c r="FC140" s="2">
        <v>3</v>
      </c>
      <c r="FD140" s="2">
        <v>4</v>
      </c>
      <c r="FE140" s="2">
        <v>3</v>
      </c>
      <c r="FF140" s="2">
        <v>5</v>
      </c>
      <c r="FG140" s="2">
        <v>3</v>
      </c>
      <c r="FH140" s="2">
        <v>5</v>
      </c>
      <c r="FI140" s="2">
        <v>4</v>
      </c>
      <c r="FJ140" s="2">
        <v>4</v>
      </c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</row>
    <row r="141" spans="1:200" x14ac:dyDescent="0.25">
      <c r="A141" s="2" t="s">
        <v>980</v>
      </c>
      <c r="B141" s="2" t="s">
        <v>717</v>
      </c>
      <c r="C141" s="2" t="s">
        <v>980</v>
      </c>
      <c r="D141" s="2">
        <v>3</v>
      </c>
      <c r="E141" s="2">
        <v>0</v>
      </c>
      <c r="F141" s="2">
        <v>11</v>
      </c>
      <c r="G141" s="2">
        <v>8</v>
      </c>
      <c r="H141" s="2">
        <v>3</v>
      </c>
      <c r="I141" s="2">
        <v>19</v>
      </c>
      <c r="J141" s="2">
        <v>74</v>
      </c>
      <c r="K141" s="2">
        <v>73</v>
      </c>
      <c r="L141" s="2">
        <v>0</v>
      </c>
      <c r="M141" s="2">
        <v>0</v>
      </c>
      <c r="N141" s="2">
        <v>0</v>
      </c>
      <c r="O141" s="2">
        <v>147</v>
      </c>
      <c r="P141" s="2">
        <v>147</v>
      </c>
      <c r="Q141" s="2">
        <v>147</v>
      </c>
      <c r="R141" s="2">
        <v>147</v>
      </c>
      <c r="S141" s="2">
        <v>74</v>
      </c>
      <c r="T141" s="2">
        <v>5.2631578947368585E-2</v>
      </c>
      <c r="U141" s="2">
        <v>0</v>
      </c>
      <c r="V141" s="2" t="e">
        <v>#DIV/0!</v>
      </c>
      <c r="W141" s="2">
        <v>0</v>
      </c>
      <c r="X141" s="2" t="e">
        <v>#DIV/0!</v>
      </c>
      <c r="Y141" s="2">
        <v>2</v>
      </c>
      <c r="Z141" s="2">
        <v>10</v>
      </c>
      <c r="AA141" s="2">
        <v>1</v>
      </c>
      <c r="AB141" s="2">
        <v>9</v>
      </c>
      <c r="AG141" s="2">
        <v>49</v>
      </c>
      <c r="AH141" s="2">
        <v>48</v>
      </c>
      <c r="AI141" s="2">
        <v>48</v>
      </c>
      <c r="AJ141" s="2">
        <v>48</v>
      </c>
      <c r="AK141" s="2">
        <v>48</v>
      </c>
      <c r="AL141" s="2">
        <v>51</v>
      </c>
      <c r="AM141" s="2">
        <v>744.11599999999999</v>
      </c>
      <c r="AN141" s="2">
        <v>771.24800000000005</v>
      </c>
      <c r="AO141" s="2">
        <v>-27.132000000000062</v>
      </c>
      <c r="AP141" s="2">
        <v>147.00140999999999</v>
      </c>
      <c r="AQ141" s="65">
        <v>2</v>
      </c>
      <c r="AR141" s="65">
        <v>2</v>
      </c>
      <c r="AS141" s="65">
        <v>2</v>
      </c>
      <c r="AT141" s="65">
        <v>2</v>
      </c>
      <c r="AU141" s="65">
        <v>2</v>
      </c>
      <c r="AV141" s="65">
        <v>2</v>
      </c>
      <c r="AW141" s="65">
        <v>2</v>
      </c>
      <c r="AX141" s="65">
        <v>2</v>
      </c>
      <c r="AY141" s="65">
        <v>2</v>
      </c>
      <c r="AZ141" s="65">
        <v>2</v>
      </c>
      <c r="BA141" s="65">
        <v>2</v>
      </c>
      <c r="BB141" s="65">
        <v>2</v>
      </c>
      <c r="BC141" s="65">
        <v>2</v>
      </c>
      <c r="BD141" s="65">
        <v>2</v>
      </c>
      <c r="BE141" s="65">
        <v>2</v>
      </c>
      <c r="BF141" s="65">
        <v>2</v>
      </c>
      <c r="BG141" s="65">
        <v>2</v>
      </c>
      <c r="BH141" s="65">
        <v>2</v>
      </c>
      <c r="BI141" s="65">
        <v>2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1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1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1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9</v>
      </c>
      <c r="CT141" s="65">
        <v>5</v>
      </c>
      <c r="CU141" s="65">
        <v>8</v>
      </c>
      <c r="CV141" s="65">
        <v>7</v>
      </c>
      <c r="CW141" s="65">
        <v>10</v>
      </c>
      <c r="CX141" s="65">
        <v>8</v>
      </c>
      <c r="CY141" s="65">
        <v>8</v>
      </c>
      <c r="CZ141" s="65">
        <v>6</v>
      </c>
      <c r="DA141" s="65">
        <v>10</v>
      </c>
      <c r="DB141" s="65">
        <v>7</v>
      </c>
      <c r="DC141" s="65">
        <v>10</v>
      </c>
      <c r="DD141" s="65">
        <v>9</v>
      </c>
      <c r="DE141" s="65">
        <v>10</v>
      </c>
      <c r="DF141" s="65">
        <v>6</v>
      </c>
      <c r="DG141" s="65">
        <v>7</v>
      </c>
      <c r="DH141" s="65">
        <v>6</v>
      </c>
      <c r="DI141" s="65">
        <v>9</v>
      </c>
      <c r="DJ141" s="65">
        <v>6</v>
      </c>
      <c r="DK141" s="65">
        <v>6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411</v>
      </c>
      <c r="DU141" s="2" t="s">
        <v>488</v>
      </c>
      <c r="DV141" s="2">
        <v>48</v>
      </c>
      <c r="DW141" s="2" t="s">
        <v>1</v>
      </c>
      <c r="DX141" s="2">
        <v>48</v>
      </c>
      <c r="DY141" s="2">
        <v>5</v>
      </c>
      <c r="DZ141" s="2">
        <v>2</v>
      </c>
      <c r="EA141" s="2">
        <v>4</v>
      </c>
      <c r="EB141" s="2">
        <v>4</v>
      </c>
      <c r="EC141" s="2">
        <v>5</v>
      </c>
      <c r="ED141" s="2">
        <v>3</v>
      </c>
      <c r="EE141" s="2">
        <v>3</v>
      </c>
      <c r="EF141" s="2">
        <v>3</v>
      </c>
      <c r="EG141" s="2">
        <v>6</v>
      </c>
      <c r="EH141" s="2">
        <v>4</v>
      </c>
      <c r="EI141" s="2">
        <v>5</v>
      </c>
      <c r="EJ141" s="2">
        <v>6</v>
      </c>
      <c r="EK141" s="2">
        <v>5</v>
      </c>
      <c r="EL141" s="2">
        <v>3</v>
      </c>
      <c r="EM141" s="2">
        <v>4</v>
      </c>
      <c r="EN141" s="2">
        <v>3</v>
      </c>
      <c r="EO141" s="2">
        <v>4</v>
      </c>
      <c r="EP141" s="2">
        <v>2</v>
      </c>
      <c r="EQ141" s="2">
        <v>3</v>
      </c>
      <c r="ER141" s="2">
        <v>4</v>
      </c>
      <c r="ES141" s="2">
        <v>3</v>
      </c>
      <c r="ET141" s="2">
        <v>4</v>
      </c>
      <c r="EU141" s="2">
        <v>3</v>
      </c>
      <c r="EV141" s="2">
        <v>5</v>
      </c>
      <c r="EW141" s="2">
        <v>5</v>
      </c>
      <c r="EX141" s="2">
        <v>5</v>
      </c>
      <c r="EY141" s="2">
        <v>3</v>
      </c>
      <c r="EZ141" s="2">
        <v>4</v>
      </c>
      <c r="FA141" s="2">
        <v>3</v>
      </c>
      <c r="FB141" s="2">
        <v>5</v>
      </c>
      <c r="FC141" s="2">
        <v>3</v>
      </c>
      <c r="FD141" s="2">
        <v>5</v>
      </c>
      <c r="FE141" s="2">
        <v>3</v>
      </c>
      <c r="FF141" s="2">
        <v>3</v>
      </c>
      <c r="FG141" s="2">
        <v>3</v>
      </c>
      <c r="FH141" s="2">
        <v>5</v>
      </c>
      <c r="FI141" s="2">
        <v>4</v>
      </c>
      <c r="FJ141" s="2">
        <v>3</v>
      </c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</row>
    <row r="142" spans="1:200" x14ac:dyDescent="0.25">
      <c r="A142" s="2" t="s">
        <v>981</v>
      </c>
      <c r="B142" s="2" t="s">
        <v>539</v>
      </c>
      <c r="C142" s="2" t="s">
        <v>980</v>
      </c>
      <c r="D142" s="2">
        <v>0</v>
      </c>
      <c r="E142" s="2">
        <v>0</v>
      </c>
      <c r="F142" s="2">
        <v>16</v>
      </c>
      <c r="G142" s="2">
        <v>4</v>
      </c>
      <c r="H142" s="2">
        <v>0</v>
      </c>
      <c r="I142" s="2">
        <v>20</v>
      </c>
      <c r="J142" s="2">
        <v>74</v>
      </c>
      <c r="K142" s="2">
        <v>73</v>
      </c>
      <c r="L142" s="2">
        <v>0</v>
      </c>
      <c r="M142" s="2">
        <v>0</v>
      </c>
      <c r="N142" s="2">
        <v>0</v>
      </c>
      <c r="O142" s="2">
        <v>147</v>
      </c>
      <c r="P142" s="2">
        <v>147</v>
      </c>
      <c r="Q142" s="2">
        <v>147</v>
      </c>
      <c r="R142" s="2">
        <v>147</v>
      </c>
      <c r="S142" s="2">
        <v>74</v>
      </c>
      <c r="T142" s="2">
        <v>5.2631578947368585E-2</v>
      </c>
      <c r="U142" s="2">
        <v>0</v>
      </c>
      <c r="V142" s="2" t="e">
        <v>#DIV/0!</v>
      </c>
      <c r="W142" s="2">
        <v>0</v>
      </c>
      <c r="X142" s="2" t="e">
        <v>#DIV/0!</v>
      </c>
      <c r="Y142" s="2">
        <v>0</v>
      </c>
      <c r="Z142" s="2">
        <v>9</v>
      </c>
      <c r="AA142" s="2">
        <v>0</v>
      </c>
      <c r="AB142" s="2">
        <v>11</v>
      </c>
      <c r="AG142" s="2">
        <v>49</v>
      </c>
      <c r="AH142" s="2">
        <v>48</v>
      </c>
      <c r="AI142" s="2">
        <v>48</v>
      </c>
      <c r="AJ142" s="2">
        <v>48</v>
      </c>
      <c r="AK142" s="2">
        <v>48</v>
      </c>
      <c r="AL142" s="2">
        <v>52</v>
      </c>
      <c r="AM142" s="2">
        <v>744.11599999999999</v>
      </c>
      <c r="AN142" s="2">
        <v>811.71600000000001</v>
      </c>
      <c r="AO142" s="2">
        <v>-67.600000000000023</v>
      </c>
      <c r="AP142" s="2">
        <v>147.00142</v>
      </c>
      <c r="AQ142" s="65">
        <v>2</v>
      </c>
      <c r="AR142" s="65">
        <v>2</v>
      </c>
      <c r="AS142" s="65">
        <v>2</v>
      </c>
      <c r="AT142" s="65">
        <v>2</v>
      </c>
      <c r="AU142" s="65">
        <v>2</v>
      </c>
      <c r="AV142" s="65">
        <v>2</v>
      </c>
      <c r="AW142" s="65">
        <v>2</v>
      </c>
      <c r="AX142" s="65">
        <v>2</v>
      </c>
      <c r="AY142" s="65">
        <v>2</v>
      </c>
      <c r="AZ142" s="65">
        <v>2</v>
      </c>
      <c r="BA142" s="65">
        <v>2</v>
      </c>
      <c r="BB142" s="65">
        <v>2</v>
      </c>
      <c r="BC142" s="65">
        <v>2</v>
      </c>
      <c r="BD142" s="65">
        <v>2</v>
      </c>
      <c r="BE142" s="65">
        <v>2</v>
      </c>
      <c r="BF142" s="65">
        <v>2</v>
      </c>
      <c r="BG142" s="65">
        <v>2</v>
      </c>
      <c r="BH142" s="65">
        <v>2</v>
      </c>
      <c r="BI142" s="65">
        <v>2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7</v>
      </c>
      <c r="CT142" s="65">
        <v>8</v>
      </c>
      <c r="CU142" s="65">
        <v>7</v>
      </c>
      <c r="CV142" s="65">
        <v>8</v>
      </c>
      <c r="CW142" s="65">
        <v>8</v>
      </c>
      <c r="CX142" s="65">
        <v>7</v>
      </c>
      <c r="CY142" s="65">
        <v>7</v>
      </c>
      <c r="CZ142" s="65">
        <v>7</v>
      </c>
      <c r="DA142" s="65">
        <v>8</v>
      </c>
      <c r="DB142" s="65">
        <v>11</v>
      </c>
      <c r="DC142" s="65">
        <v>10</v>
      </c>
      <c r="DD142" s="65">
        <v>8</v>
      </c>
      <c r="DE142" s="65">
        <v>6</v>
      </c>
      <c r="DF142" s="65">
        <v>9</v>
      </c>
      <c r="DG142" s="65">
        <v>7</v>
      </c>
      <c r="DH142" s="65">
        <v>6</v>
      </c>
      <c r="DI142" s="65">
        <v>7</v>
      </c>
      <c r="DJ142" s="65">
        <v>9</v>
      </c>
      <c r="DK142" s="65">
        <v>7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447</v>
      </c>
      <c r="DU142" s="2" t="s">
        <v>488</v>
      </c>
      <c r="DV142" s="2">
        <v>48</v>
      </c>
      <c r="DW142" s="2" t="s">
        <v>1</v>
      </c>
      <c r="DX142" s="2">
        <v>48</v>
      </c>
      <c r="DY142" s="2">
        <v>3</v>
      </c>
      <c r="DZ142" s="2">
        <v>4</v>
      </c>
      <c r="EA142" s="2">
        <v>3</v>
      </c>
      <c r="EB142" s="2">
        <v>3</v>
      </c>
      <c r="EC142" s="2">
        <v>4</v>
      </c>
      <c r="ED142" s="2">
        <v>3</v>
      </c>
      <c r="EE142" s="2">
        <v>3</v>
      </c>
      <c r="EF142" s="2">
        <v>4</v>
      </c>
      <c r="EG142" s="2">
        <v>4</v>
      </c>
      <c r="EH142" s="2">
        <v>6</v>
      </c>
      <c r="EI142" s="2">
        <v>5</v>
      </c>
      <c r="EJ142" s="2">
        <v>4</v>
      </c>
      <c r="EK142" s="2">
        <v>3</v>
      </c>
      <c r="EL142" s="2">
        <v>6</v>
      </c>
      <c r="EM142" s="2">
        <v>4</v>
      </c>
      <c r="EN142" s="2">
        <v>3</v>
      </c>
      <c r="EO142" s="2">
        <v>4</v>
      </c>
      <c r="EP142" s="2">
        <v>5</v>
      </c>
      <c r="EQ142" s="2">
        <v>3</v>
      </c>
      <c r="ER142" s="2">
        <v>4</v>
      </c>
      <c r="ES142" s="2">
        <v>4</v>
      </c>
      <c r="ET142" s="2">
        <v>4</v>
      </c>
      <c r="EU142" s="2">
        <v>5</v>
      </c>
      <c r="EV142" s="2">
        <v>4</v>
      </c>
      <c r="EW142" s="2">
        <v>4</v>
      </c>
      <c r="EX142" s="2">
        <v>4</v>
      </c>
      <c r="EY142" s="2">
        <v>3</v>
      </c>
      <c r="EZ142" s="2">
        <v>4</v>
      </c>
      <c r="FA142" s="2">
        <v>5</v>
      </c>
      <c r="FB142" s="2">
        <v>5</v>
      </c>
      <c r="FC142" s="2">
        <v>4</v>
      </c>
      <c r="FD142" s="2">
        <v>3</v>
      </c>
      <c r="FE142" s="2">
        <v>3</v>
      </c>
      <c r="FF142" s="2">
        <v>3</v>
      </c>
      <c r="FG142" s="2">
        <v>3</v>
      </c>
      <c r="FH142" s="2">
        <v>3</v>
      </c>
      <c r="FI142" s="2">
        <v>4</v>
      </c>
      <c r="FJ142" s="2">
        <v>4</v>
      </c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</row>
    <row r="143" spans="1:200" x14ac:dyDescent="0.25">
      <c r="A143" s="2" t="s">
        <v>982</v>
      </c>
      <c r="B143" s="2" t="s">
        <v>330</v>
      </c>
      <c r="C143" s="2" t="s">
        <v>980</v>
      </c>
      <c r="D143" s="2">
        <v>5</v>
      </c>
      <c r="E143" s="2">
        <v>0</v>
      </c>
      <c r="F143" s="2">
        <v>12</v>
      </c>
      <c r="G143" s="2">
        <v>6</v>
      </c>
      <c r="H143" s="2">
        <v>5</v>
      </c>
      <c r="I143" s="2">
        <v>18</v>
      </c>
      <c r="J143" s="2">
        <v>71</v>
      </c>
      <c r="K143" s="2">
        <v>76</v>
      </c>
      <c r="L143" s="2">
        <v>0</v>
      </c>
      <c r="M143" s="2">
        <v>0</v>
      </c>
      <c r="N143" s="2">
        <v>0</v>
      </c>
      <c r="O143" s="2">
        <v>147</v>
      </c>
      <c r="P143" s="2">
        <v>147</v>
      </c>
      <c r="Q143" s="2">
        <v>147</v>
      </c>
      <c r="R143" s="2">
        <v>147</v>
      </c>
      <c r="S143" s="2">
        <v>71</v>
      </c>
      <c r="T143" s="2">
        <v>-0.26315789473684204</v>
      </c>
      <c r="U143" s="2">
        <v>0</v>
      </c>
      <c r="V143" s="2" t="e">
        <v>#DIV/0!</v>
      </c>
      <c r="W143" s="2">
        <v>0</v>
      </c>
      <c r="X143" s="2" t="e">
        <v>#DIV/0!</v>
      </c>
      <c r="Y143" s="2">
        <v>4</v>
      </c>
      <c r="Z143" s="2">
        <v>7</v>
      </c>
      <c r="AA143" s="2">
        <v>1</v>
      </c>
      <c r="AB143" s="2">
        <v>11</v>
      </c>
      <c r="AG143" s="2">
        <v>45</v>
      </c>
      <c r="AH143" s="2">
        <v>48</v>
      </c>
      <c r="AI143" s="2">
        <v>48</v>
      </c>
      <c r="AJ143" s="2">
        <v>48</v>
      </c>
      <c r="AK143" s="2">
        <v>48</v>
      </c>
      <c r="AL143" s="2">
        <v>53</v>
      </c>
      <c r="AM143" s="2">
        <v>744.11599999999999</v>
      </c>
      <c r="AN143" s="2">
        <v>879.24400000000003</v>
      </c>
      <c r="AO143" s="2">
        <v>-135.12800000000004</v>
      </c>
      <c r="AP143" s="2">
        <v>147.00143</v>
      </c>
      <c r="AQ143" s="65">
        <v>2</v>
      </c>
      <c r="AR143" s="65">
        <v>2</v>
      </c>
      <c r="AS143" s="65">
        <v>2</v>
      </c>
      <c r="AT143" s="65">
        <v>2</v>
      </c>
      <c r="AU143" s="65">
        <v>2</v>
      </c>
      <c r="AV143" s="65">
        <v>2</v>
      </c>
      <c r="AW143" s="65">
        <v>2</v>
      </c>
      <c r="AX143" s="65">
        <v>2</v>
      </c>
      <c r="AY143" s="65">
        <v>2</v>
      </c>
      <c r="AZ143" s="65">
        <v>2</v>
      </c>
      <c r="BA143" s="65">
        <v>2</v>
      </c>
      <c r="BB143" s="65">
        <v>2</v>
      </c>
      <c r="BC143" s="65">
        <v>2</v>
      </c>
      <c r="BD143" s="65">
        <v>2</v>
      </c>
      <c r="BE143" s="65">
        <v>2</v>
      </c>
      <c r="BF143" s="65">
        <v>2</v>
      </c>
      <c r="BG143" s="65">
        <v>2</v>
      </c>
      <c r="BH143" s="65">
        <v>2</v>
      </c>
      <c r="BI143" s="65">
        <v>2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1</v>
      </c>
      <c r="BT143" s="65">
        <v>0</v>
      </c>
      <c r="BU143" s="65">
        <v>1</v>
      </c>
      <c r="BV143" s="65">
        <v>1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1</v>
      </c>
      <c r="CH143" s="65">
        <v>0</v>
      </c>
      <c r="CI143" s="65">
        <v>1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7</v>
      </c>
      <c r="CT143" s="65">
        <v>5</v>
      </c>
      <c r="CU143" s="65">
        <v>8</v>
      </c>
      <c r="CV143" s="65">
        <v>5</v>
      </c>
      <c r="CW143" s="65">
        <v>7</v>
      </c>
      <c r="CX143" s="65">
        <v>7</v>
      </c>
      <c r="CY143" s="65">
        <v>6</v>
      </c>
      <c r="CZ143" s="65">
        <v>6</v>
      </c>
      <c r="DA143" s="65">
        <v>10</v>
      </c>
      <c r="DB143" s="65">
        <v>11</v>
      </c>
      <c r="DC143" s="65">
        <v>12</v>
      </c>
      <c r="DD143" s="65">
        <v>6</v>
      </c>
      <c r="DE143" s="65">
        <v>6</v>
      </c>
      <c r="DF143" s="65">
        <v>12</v>
      </c>
      <c r="DG143" s="65">
        <v>10</v>
      </c>
      <c r="DH143" s="65">
        <v>8</v>
      </c>
      <c r="DI143" s="65">
        <v>7</v>
      </c>
      <c r="DJ143" s="65">
        <v>7</v>
      </c>
      <c r="DK143" s="65">
        <v>7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408</v>
      </c>
      <c r="DU143" s="2" t="s">
        <v>488</v>
      </c>
      <c r="DV143" s="2">
        <v>48</v>
      </c>
      <c r="DW143" s="2" t="s">
        <v>1</v>
      </c>
      <c r="DX143" s="2">
        <v>48</v>
      </c>
      <c r="DY143" s="2">
        <v>3</v>
      </c>
      <c r="DZ143" s="2">
        <v>3</v>
      </c>
      <c r="EA143" s="2">
        <v>4</v>
      </c>
      <c r="EB143" s="2">
        <v>2</v>
      </c>
      <c r="EC143" s="2">
        <v>3</v>
      </c>
      <c r="ED143" s="2">
        <v>4</v>
      </c>
      <c r="EE143" s="2">
        <v>3</v>
      </c>
      <c r="EF143" s="2">
        <v>3</v>
      </c>
      <c r="EG143" s="2">
        <v>5</v>
      </c>
      <c r="EH143" s="2">
        <v>6</v>
      </c>
      <c r="EI143" s="2">
        <v>5</v>
      </c>
      <c r="EJ143" s="2">
        <v>3</v>
      </c>
      <c r="EK143" s="2">
        <v>3</v>
      </c>
      <c r="EL143" s="2">
        <v>8</v>
      </c>
      <c r="EM143" s="2">
        <v>6</v>
      </c>
      <c r="EN143" s="2">
        <v>2</v>
      </c>
      <c r="EO143" s="2">
        <v>3</v>
      </c>
      <c r="EP143" s="2">
        <v>2</v>
      </c>
      <c r="EQ143" s="2">
        <v>3</v>
      </c>
      <c r="ER143" s="2">
        <v>4</v>
      </c>
      <c r="ES143" s="2">
        <v>2</v>
      </c>
      <c r="ET143" s="2">
        <v>4</v>
      </c>
      <c r="EU143" s="2">
        <v>3</v>
      </c>
      <c r="EV143" s="2">
        <v>4</v>
      </c>
      <c r="EW143" s="2">
        <v>3</v>
      </c>
      <c r="EX143" s="2">
        <v>3</v>
      </c>
      <c r="EY143" s="2">
        <v>3</v>
      </c>
      <c r="EZ143" s="2">
        <v>5</v>
      </c>
      <c r="FA143" s="2">
        <v>5</v>
      </c>
      <c r="FB143" s="2">
        <v>7</v>
      </c>
      <c r="FC143" s="2">
        <v>3</v>
      </c>
      <c r="FD143" s="2">
        <v>3</v>
      </c>
      <c r="FE143" s="2">
        <v>4</v>
      </c>
      <c r="FF143" s="2">
        <v>4</v>
      </c>
      <c r="FG143" s="2">
        <v>6</v>
      </c>
      <c r="FH143" s="2">
        <v>4</v>
      </c>
      <c r="FI143" s="2">
        <v>5</v>
      </c>
      <c r="FJ143" s="2">
        <v>4</v>
      </c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</row>
    <row r="144" spans="1:200" x14ac:dyDescent="0.25">
      <c r="A144" s="2" t="s">
        <v>983</v>
      </c>
      <c r="B144" s="2" t="s">
        <v>11</v>
      </c>
      <c r="C144" s="2" t="s">
        <v>983</v>
      </c>
      <c r="D144" s="2">
        <v>0</v>
      </c>
      <c r="E144" s="2">
        <v>0</v>
      </c>
      <c r="F144" s="2">
        <v>16</v>
      </c>
      <c r="G144" s="2">
        <v>5</v>
      </c>
      <c r="H144" s="2">
        <v>0</v>
      </c>
      <c r="I144" s="2">
        <v>21</v>
      </c>
      <c r="J144" s="2">
        <v>76</v>
      </c>
      <c r="K144" s="2">
        <v>73</v>
      </c>
      <c r="L144" s="2">
        <v>0</v>
      </c>
      <c r="M144" s="2">
        <v>0</v>
      </c>
      <c r="N144" s="2">
        <v>0</v>
      </c>
      <c r="O144" s="2">
        <v>149</v>
      </c>
      <c r="P144" s="2">
        <v>149</v>
      </c>
      <c r="Q144" s="2">
        <v>149</v>
      </c>
      <c r="R144" s="2">
        <v>149</v>
      </c>
      <c r="S144" s="2">
        <v>76</v>
      </c>
      <c r="T144" s="2">
        <v>0.15789473684210531</v>
      </c>
      <c r="U144" s="2">
        <v>0</v>
      </c>
      <c r="V144" s="2" t="e">
        <v>#DIV/0!</v>
      </c>
      <c r="W144" s="2">
        <v>0</v>
      </c>
      <c r="X144" s="2" t="e">
        <v>#DIV/0!</v>
      </c>
      <c r="Y144" s="2">
        <v>0</v>
      </c>
      <c r="Z144" s="2">
        <v>10</v>
      </c>
      <c r="AA144" s="2">
        <v>0</v>
      </c>
      <c r="AB144" s="2">
        <v>11</v>
      </c>
      <c r="AG144" s="2">
        <v>59</v>
      </c>
      <c r="AH144" s="2">
        <v>51</v>
      </c>
      <c r="AI144" s="2">
        <v>51</v>
      </c>
      <c r="AJ144" s="2">
        <v>51</v>
      </c>
      <c r="AK144" s="2">
        <v>51</v>
      </c>
      <c r="AL144" s="2">
        <v>54</v>
      </c>
      <c r="AM144" s="2">
        <v>726.93100000000004</v>
      </c>
      <c r="AN144" s="2">
        <v>815.00099999999998</v>
      </c>
      <c r="AO144" s="2">
        <v>-88.069999999999936</v>
      </c>
      <c r="AP144" s="2">
        <v>149.00144</v>
      </c>
      <c r="AQ144" s="65">
        <v>2</v>
      </c>
      <c r="AR144" s="65">
        <v>2</v>
      </c>
      <c r="AS144" s="65">
        <v>2</v>
      </c>
      <c r="AT144" s="65">
        <v>2</v>
      </c>
      <c r="AU144" s="65">
        <v>2</v>
      </c>
      <c r="AV144" s="65">
        <v>2</v>
      </c>
      <c r="AW144" s="65">
        <v>2</v>
      </c>
      <c r="AX144" s="65">
        <v>2</v>
      </c>
      <c r="AY144" s="65">
        <v>2</v>
      </c>
      <c r="AZ144" s="65">
        <v>2</v>
      </c>
      <c r="BA144" s="65">
        <v>2</v>
      </c>
      <c r="BB144" s="65">
        <v>2</v>
      </c>
      <c r="BC144" s="65">
        <v>2</v>
      </c>
      <c r="BD144" s="65">
        <v>2</v>
      </c>
      <c r="BE144" s="65">
        <v>2</v>
      </c>
      <c r="BF144" s="65">
        <v>2</v>
      </c>
      <c r="BG144" s="65">
        <v>2</v>
      </c>
      <c r="BH144" s="65">
        <v>2</v>
      </c>
      <c r="BI144" s="65">
        <v>2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8</v>
      </c>
      <c r="CT144" s="65">
        <v>7</v>
      </c>
      <c r="CU144" s="65">
        <v>8</v>
      </c>
      <c r="CV144" s="65">
        <v>8</v>
      </c>
      <c r="CW144" s="65">
        <v>10</v>
      </c>
      <c r="CX144" s="65">
        <v>9</v>
      </c>
      <c r="CY144" s="65">
        <v>7</v>
      </c>
      <c r="CZ144" s="65">
        <v>7</v>
      </c>
      <c r="DA144" s="65">
        <v>9</v>
      </c>
      <c r="DB144" s="65">
        <v>9</v>
      </c>
      <c r="DC144" s="65">
        <v>10</v>
      </c>
      <c r="DD144" s="65">
        <v>9</v>
      </c>
      <c r="DE144" s="65">
        <v>7</v>
      </c>
      <c r="DF144" s="65">
        <v>7</v>
      </c>
      <c r="DG144" s="65">
        <v>6</v>
      </c>
      <c r="DH144" s="65">
        <v>6</v>
      </c>
      <c r="DI144" s="65">
        <v>7</v>
      </c>
      <c r="DJ144" s="65">
        <v>6</v>
      </c>
      <c r="DK144" s="65">
        <v>9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445</v>
      </c>
      <c r="DU144" s="2" t="s">
        <v>488</v>
      </c>
      <c r="DV144" s="2">
        <v>51</v>
      </c>
      <c r="DW144" s="2" t="s">
        <v>1</v>
      </c>
      <c r="DX144" s="2">
        <v>51</v>
      </c>
      <c r="DY144" s="2">
        <v>4</v>
      </c>
      <c r="DZ144" s="2">
        <v>3</v>
      </c>
      <c r="EA144" s="2">
        <v>3</v>
      </c>
      <c r="EB144" s="2">
        <v>4</v>
      </c>
      <c r="EC144" s="2">
        <v>5</v>
      </c>
      <c r="ED144" s="2">
        <v>5</v>
      </c>
      <c r="EE144" s="2">
        <v>3</v>
      </c>
      <c r="EF144" s="2">
        <v>4</v>
      </c>
      <c r="EG144" s="2">
        <v>4</v>
      </c>
      <c r="EH144" s="2">
        <v>4</v>
      </c>
      <c r="EI144" s="2">
        <v>6</v>
      </c>
      <c r="EJ144" s="2">
        <v>6</v>
      </c>
      <c r="EK144" s="2">
        <v>4</v>
      </c>
      <c r="EL144" s="2">
        <v>3</v>
      </c>
      <c r="EM144" s="2">
        <v>3</v>
      </c>
      <c r="EN144" s="2">
        <v>3</v>
      </c>
      <c r="EO144" s="2">
        <v>4</v>
      </c>
      <c r="EP144" s="2">
        <v>3</v>
      </c>
      <c r="EQ144" s="2">
        <v>5</v>
      </c>
      <c r="ER144" s="2">
        <v>4</v>
      </c>
      <c r="ES144" s="2">
        <v>4</v>
      </c>
      <c r="ET144" s="2">
        <v>5</v>
      </c>
      <c r="EU144" s="2">
        <v>4</v>
      </c>
      <c r="EV144" s="2">
        <v>5</v>
      </c>
      <c r="EW144" s="2">
        <v>4</v>
      </c>
      <c r="EX144" s="2">
        <v>4</v>
      </c>
      <c r="EY144" s="2">
        <v>3</v>
      </c>
      <c r="EZ144" s="2">
        <v>5</v>
      </c>
      <c r="FA144" s="2">
        <v>5</v>
      </c>
      <c r="FB144" s="2">
        <v>4</v>
      </c>
      <c r="FC144" s="2">
        <v>3</v>
      </c>
      <c r="FD144" s="2">
        <v>3</v>
      </c>
      <c r="FE144" s="2">
        <v>4</v>
      </c>
      <c r="FF144" s="2">
        <v>3</v>
      </c>
      <c r="FG144" s="2">
        <v>3</v>
      </c>
      <c r="FH144" s="2">
        <v>3</v>
      </c>
      <c r="FI144" s="2">
        <v>3</v>
      </c>
      <c r="FJ144" s="2">
        <v>4</v>
      </c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</row>
    <row r="145" spans="1:200" x14ac:dyDescent="0.25">
      <c r="A145" s="2" t="s">
        <v>984</v>
      </c>
      <c r="B145" s="2" t="s">
        <v>697</v>
      </c>
      <c r="C145" s="2" t="s">
        <v>984</v>
      </c>
      <c r="D145" s="2">
        <v>2</v>
      </c>
      <c r="E145" s="2">
        <v>0</v>
      </c>
      <c r="F145" s="2">
        <v>15</v>
      </c>
      <c r="G145" s="2">
        <v>6</v>
      </c>
      <c r="H145" s="2">
        <v>2</v>
      </c>
      <c r="I145" s="2">
        <v>21</v>
      </c>
      <c r="J145" s="2">
        <v>70</v>
      </c>
      <c r="K145" s="2">
        <v>79</v>
      </c>
      <c r="L145" s="2">
        <v>0</v>
      </c>
      <c r="M145" s="2">
        <v>0</v>
      </c>
      <c r="N145" s="2">
        <v>0</v>
      </c>
      <c r="O145" s="2">
        <v>149</v>
      </c>
      <c r="P145" s="2">
        <v>149</v>
      </c>
      <c r="Q145" s="2">
        <v>149</v>
      </c>
      <c r="R145" s="2">
        <v>149</v>
      </c>
      <c r="S145" s="2">
        <v>70</v>
      </c>
      <c r="T145" s="2">
        <v>-0.47368421052631593</v>
      </c>
      <c r="U145" s="2">
        <v>0</v>
      </c>
      <c r="V145" s="2" t="e">
        <v>#DIV/0!</v>
      </c>
      <c r="W145" s="2">
        <v>0</v>
      </c>
      <c r="X145" s="2" t="e">
        <v>#DIV/0!</v>
      </c>
      <c r="Y145" s="2">
        <v>2</v>
      </c>
      <c r="Z145" s="2">
        <v>10</v>
      </c>
      <c r="AA145" s="2">
        <v>0</v>
      </c>
      <c r="AB145" s="2">
        <v>11</v>
      </c>
      <c r="AG145" s="2">
        <v>4</v>
      </c>
      <c r="AH145" s="2">
        <v>4</v>
      </c>
      <c r="AI145" s="2">
        <v>4</v>
      </c>
      <c r="AJ145" s="2">
        <v>4</v>
      </c>
      <c r="AK145" s="2">
        <v>4</v>
      </c>
      <c r="AL145" s="2">
        <v>55</v>
      </c>
      <c r="AM145" s="2">
        <v>726.93100000000004</v>
      </c>
      <c r="AN145" s="2">
        <v>818.149</v>
      </c>
      <c r="AO145" s="2">
        <v>-91.217999999999961</v>
      </c>
      <c r="AP145" s="2">
        <v>149.00145000000001</v>
      </c>
      <c r="AQ145" s="65">
        <v>2</v>
      </c>
      <c r="AR145" s="65">
        <v>2</v>
      </c>
      <c r="AS145" s="65">
        <v>2</v>
      </c>
      <c r="AT145" s="65">
        <v>2</v>
      </c>
      <c r="AU145" s="65">
        <v>2</v>
      </c>
      <c r="AV145" s="65">
        <v>2</v>
      </c>
      <c r="AW145" s="65">
        <v>2</v>
      </c>
      <c r="AX145" s="65">
        <v>2</v>
      </c>
      <c r="AY145" s="65">
        <v>2</v>
      </c>
      <c r="AZ145" s="65">
        <v>2</v>
      </c>
      <c r="BA145" s="65">
        <v>2</v>
      </c>
      <c r="BB145" s="65">
        <v>2</v>
      </c>
      <c r="BC145" s="65">
        <v>2</v>
      </c>
      <c r="BD145" s="65">
        <v>2</v>
      </c>
      <c r="BE145" s="65">
        <v>2</v>
      </c>
      <c r="BF145" s="65">
        <v>2</v>
      </c>
      <c r="BG145" s="65">
        <v>2</v>
      </c>
      <c r="BH145" s="65">
        <v>2</v>
      </c>
      <c r="BI145" s="65">
        <v>2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1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1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7</v>
      </c>
      <c r="CT145" s="65">
        <v>6</v>
      </c>
      <c r="CU145" s="65">
        <v>7</v>
      </c>
      <c r="CV145" s="65">
        <v>7</v>
      </c>
      <c r="CW145" s="65">
        <v>8</v>
      </c>
      <c r="CX145" s="65">
        <v>7</v>
      </c>
      <c r="CY145" s="65">
        <v>6</v>
      </c>
      <c r="CZ145" s="65">
        <v>8</v>
      </c>
      <c r="DA145" s="65">
        <v>10</v>
      </c>
      <c r="DB145" s="65">
        <v>10</v>
      </c>
      <c r="DC145" s="65">
        <v>13</v>
      </c>
      <c r="DD145" s="65">
        <v>8</v>
      </c>
      <c r="DE145" s="65">
        <v>10</v>
      </c>
      <c r="DF145" s="65">
        <v>8</v>
      </c>
      <c r="DG145" s="65">
        <v>7</v>
      </c>
      <c r="DH145" s="65">
        <v>6</v>
      </c>
      <c r="DI145" s="65">
        <v>8</v>
      </c>
      <c r="DJ145" s="65">
        <v>6</v>
      </c>
      <c r="DK145" s="65">
        <v>7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212</v>
      </c>
      <c r="DU145" s="2" t="s">
        <v>490</v>
      </c>
      <c r="DV145" s="2">
        <v>4</v>
      </c>
      <c r="DW145" s="2" t="s">
        <v>16</v>
      </c>
      <c r="DX145" s="2">
        <v>4</v>
      </c>
      <c r="DY145" s="2">
        <v>2</v>
      </c>
      <c r="DZ145" s="2">
        <v>3</v>
      </c>
      <c r="EA145" s="2">
        <v>3</v>
      </c>
      <c r="EB145" s="2">
        <v>4</v>
      </c>
      <c r="EC145" s="2">
        <v>4</v>
      </c>
      <c r="ED145" s="2">
        <v>4</v>
      </c>
      <c r="EE145" s="2">
        <v>3</v>
      </c>
      <c r="EF145" s="2">
        <v>4</v>
      </c>
      <c r="EG145" s="2">
        <v>4</v>
      </c>
      <c r="EH145" s="2">
        <v>5</v>
      </c>
      <c r="EI145" s="2">
        <v>6</v>
      </c>
      <c r="EJ145" s="2">
        <v>3</v>
      </c>
      <c r="EK145" s="2">
        <v>4</v>
      </c>
      <c r="EL145" s="2">
        <v>4</v>
      </c>
      <c r="EM145" s="2">
        <v>4</v>
      </c>
      <c r="EN145" s="2">
        <v>3</v>
      </c>
      <c r="EO145" s="2">
        <v>4</v>
      </c>
      <c r="EP145" s="2">
        <v>2</v>
      </c>
      <c r="EQ145" s="2">
        <v>4</v>
      </c>
      <c r="ER145" s="2">
        <v>5</v>
      </c>
      <c r="ES145" s="2">
        <v>3</v>
      </c>
      <c r="ET145" s="2">
        <v>4</v>
      </c>
      <c r="EU145" s="2">
        <v>3</v>
      </c>
      <c r="EV145" s="2">
        <v>4</v>
      </c>
      <c r="EW145" s="2">
        <v>3</v>
      </c>
      <c r="EX145" s="2">
        <v>3</v>
      </c>
      <c r="EY145" s="2">
        <v>4</v>
      </c>
      <c r="EZ145" s="2">
        <v>6</v>
      </c>
      <c r="FA145" s="2">
        <v>5</v>
      </c>
      <c r="FB145" s="2">
        <v>7</v>
      </c>
      <c r="FC145" s="2">
        <v>5</v>
      </c>
      <c r="FD145" s="2">
        <v>6</v>
      </c>
      <c r="FE145" s="2">
        <v>4</v>
      </c>
      <c r="FF145" s="2">
        <v>3</v>
      </c>
      <c r="FG145" s="2">
        <v>3</v>
      </c>
      <c r="FH145" s="2">
        <v>4</v>
      </c>
      <c r="FI145" s="2">
        <v>4</v>
      </c>
      <c r="FJ145" s="2">
        <v>3</v>
      </c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</row>
    <row r="146" spans="1:200" x14ac:dyDescent="0.25">
      <c r="A146" s="2" t="s">
        <v>985</v>
      </c>
      <c r="B146" s="2" t="s">
        <v>687</v>
      </c>
      <c r="C146" s="2" t="s">
        <v>985</v>
      </c>
      <c r="D146" s="2">
        <v>1</v>
      </c>
      <c r="E146" s="2">
        <v>0</v>
      </c>
      <c r="F146" s="2">
        <v>19</v>
      </c>
      <c r="G146" s="2">
        <v>4</v>
      </c>
      <c r="H146" s="2">
        <v>1</v>
      </c>
      <c r="I146" s="2">
        <v>23</v>
      </c>
      <c r="J146" s="2">
        <v>69</v>
      </c>
      <c r="K146" s="2">
        <v>81</v>
      </c>
      <c r="L146" s="2">
        <v>0</v>
      </c>
      <c r="M146" s="2">
        <v>0</v>
      </c>
      <c r="N146" s="2">
        <v>0</v>
      </c>
      <c r="O146" s="2">
        <v>150</v>
      </c>
      <c r="P146" s="2">
        <v>150</v>
      </c>
      <c r="Q146" s="2">
        <v>150</v>
      </c>
      <c r="R146" s="2">
        <v>150</v>
      </c>
      <c r="S146" s="2">
        <v>69</v>
      </c>
      <c r="T146" s="2">
        <v>-0.63157894736842124</v>
      </c>
      <c r="U146" s="2">
        <v>0</v>
      </c>
      <c r="V146" s="2" t="e">
        <v>#DIV/0!</v>
      </c>
      <c r="W146" s="2">
        <v>0</v>
      </c>
      <c r="X146" s="2" t="e">
        <v>#DIV/0!</v>
      </c>
      <c r="Y146" s="2">
        <v>1</v>
      </c>
      <c r="Z146" s="2">
        <v>7</v>
      </c>
      <c r="AA146" s="2">
        <v>0</v>
      </c>
      <c r="AB146" s="2">
        <v>16</v>
      </c>
      <c r="AG146" s="2">
        <v>41</v>
      </c>
      <c r="AH146" s="2">
        <v>52</v>
      </c>
      <c r="AI146" s="2">
        <v>52</v>
      </c>
      <c r="AJ146" s="2">
        <v>52</v>
      </c>
      <c r="AK146" s="2">
        <v>52</v>
      </c>
      <c r="AL146" s="2">
        <v>56</v>
      </c>
      <c r="AM146" s="2">
        <v>718.33799999999997</v>
      </c>
      <c r="AN146" s="2">
        <v>671.274</v>
      </c>
      <c r="AO146" s="2">
        <v>47.063999999999965</v>
      </c>
      <c r="AP146" s="2">
        <v>150.00146000000001</v>
      </c>
      <c r="AQ146" s="65">
        <v>2</v>
      </c>
      <c r="AR146" s="65">
        <v>2</v>
      </c>
      <c r="AS146" s="65">
        <v>2</v>
      </c>
      <c r="AT146" s="65">
        <v>2</v>
      </c>
      <c r="AU146" s="65">
        <v>2</v>
      </c>
      <c r="AV146" s="65">
        <v>2</v>
      </c>
      <c r="AW146" s="65">
        <v>2</v>
      </c>
      <c r="AX146" s="65">
        <v>2</v>
      </c>
      <c r="AY146" s="65">
        <v>2</v>
      </c>
      <c r="AZ146" s="65">
        <v>2</v>
      </c>
      <c r="BA146" s="65">
        <v>2</v>
      </c>
      <c r="BB146" s="65">
        <v>2</v>
      </c>
      <c r="BC146" s="65">
        <v>2</v>
      </c>
      <c r="BD146" s="65">
        <v>2</v>
      </c>
      <c r="BE146" s="65">
        <v>2</v>
      </c>
      <c r="BF146" s="65">
        <v>2</v>
      </c>
      <c r="BG146" s="65">
        <v>2</v>
      </c>
      <c r="BH146" s="65">
        <v>2</v>
      </c>
      <c r="BI146" s="65">
        <v>2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1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8</v>
      </c>
      <c r="CT146" s="65">
        <v>7</v>
      </c>
      <c r="CU146" s="65">
        <v>7</v>
      </c>
      <c r="CV146" s="65">
        <v>7</v>
      </c>
      <c r="CW146" s="65">
        <v>9</v>
      </c>
      <c r="CX146" s="65">
        <v>7</v>
      </c>
      <c r="CY146" s="65">
        <v>7</v>
      </c>
      <c r="CZ146" s="65">
        <v>8</v>
      </c>
      <c r="DA146" s="65">
        <v>11</v>
      </c>
      <c r="DB146" s="65">
        <v>10</v>
      </c>
      <c r="DC146" s="65">
        <v>9</v>
      </c>
      <c r="DD146" s="65">
        <v>6</v>
      </c>
      <c r="DE146" s="65">
        <v>7</v>
      </c>
      <c r="DF146" s="65">
        <v>8</v>
      </c>
      <c r="DG146" s="65">
        <v>7</v>
      </c>
      <c r="DH146" s="65">
        <v>8</v>
      </c>
      <c r="DI146" s="65">
        <v>7</v>
      </c>
      <c r="DJ146" s="65">
        <v>10</v>
      </c>
      <c r="DK146" s="65">
        <v>7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591</v>
      </c>
      <c r="DU146" s="2" t="s">
        <v>488</v>
      </c>
      <c r="DV146" s="2">
        <v>52</v>
      </c>
      <c r="DW146" s="2" t="s">
        <v>1</v>
      </c>
      <c r="DX146" s="2">
        <v>52</v>
      </c>
      <c r="DY146" s="2">
        <v>4</v>
      </c>
      <c r="DZ146" s="2">
        <v>3</v>
      </c>
      <c r="EA146" s="2">
        <v>3</v>
      </c>
      <c r="EB146" s="2">
        <v>3</v>
      </c>
      <c r="EC146" s="2">
        <v>4</v>
      </c>
      <c r="ED146" s="2">
        <v>3</v>
      </c>
      <c r="EE146" s="2">
        <v>4</v>
      </c>
      <c r="EF146" s="2">
        <v>4</v>
      </c>
      <c r="EG146" s="2">
        <v>7</v>
      </c>
      <c r="EH146" s="2">
        <v>5</v>
      </c>
      <c r="EI146" s="2">
        <v>4</v>
      </c>
      <c r="EJ146" s="2">
        <v>3</v>
      </c>
      <c r="EK146" s="2">
        <v>3</v>
      </c>
      <c r="EL146" s="2">
        <v>4</v>
      </c>
      <c r="EM146" s="2">
        <v>2</v>
      </c>
      <c r="EN146" s="2">
        <v>3</v>
      </c>
      <c r="EO146" s="2">
        <v>3</v>
      </c>
      <c r="EP146" s="2">
        <v>4</v>
      </c>
      <c r="EQ146" s="2">
        <v>3</v>
      </c>
      <c r="ER146" s="2">
        <v>4</v>
      </c>
      <c r="ES146" s="2">
        <v>4</v>
      </c>
      <c r="ET146" s="2">
        <v>4</v>
      </c>
      <c r="EU146" s="2">
        <v>4</v>
      </c>
      <c r="EV146" s="2">
        <v>5</v>
      </c>
      <c r="EW146" s="2">
        <v>4</v>
      </c>
      <c r="EX146" s="2">
        <v>3</v>
      </c>
      <c r="EY146" s="2">
        <v>4</v>
      </c>
      <c r="EZ146" s="2">
        <v>4</v>
      </c>
      <c r="FA146" s="2">
        <v>5</v>
      </c>
      <c r="FB146" s="2">
        <v>5</v>
      </c>
      <c r="FC146" s="2">
        <v>3</v>
      </c>
      <c r="FD146" s="2">
        <v>4</v>
      </c>
      <c r="FE146" s="2">
        <v>4</v>
      </c>
      <c r="FF146" s="2">
        <v>5</v>
      </c>
      <c r="FG146" s="2">
        <v>5</v>
      </c>
      <c r="FH146" s="2">
        <v>4</v>
      </c>
      <c r="FI146" s="2">
        <v>6</v>
      </c>
      <c r="FJ146" s="2">
        <v>4</v>
      </c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</row>
    <row r="147" spans="1:200" x14ac:dyDescent="0.25">
      <c r="A147" s="2" t="s">
        <v>986</v>
      </c>
      <c r="B147" s="2" t="s">
        <v>692</v>
      </c>
      <c r="C147" s="2" t="s">
        <v>986</v>
      </c>
      <c r="D147" s="2">
        <v>2</v>
      </c>
      <c r="E147" s="2">
        <v>0</v>
      </c>
      <c r="F147" s="2">
        <v>20</v>
      </c>
      <c r="G147" s="2">
        <v>5</v>
      </c>
      <c r="H147" s="2">
        <v>2</v>
      </c>
      <c r="I147" s="2">
        <v>25</v>
      </c>
      <c r="J147" s="2">
        <v>74</v>
      </c>
      <c r="K147" s="2">
        <v>77</v>
      </c>
      <c r="L147" s="2">
        <v>0</v>
      </c>
      <c r="M147" s="2">
        <v>0</v>
      </c>
      <c r="N147" s="2">
        <v>0</v>
      </c>
      <c r="O147" s="2">
        <v>151</v>
      </c>
      <c r="P147" s="2">
        <v>151</v>
      </c>
      <c r="Q147" s="2">
        <v>151</v>
      </c>
      <c r="R147" s="2">
        <v>151</v>
      </c>
      <c r="S147" s="2">
        <v>74</v>
      </c>
      <c r="T147" s="2">
        <v>-0.15789473684210487</v>
      </c>
      <c r="U147" s="2">
        <v>0</v>
      </c>
      <c r="V147" s="2" t="e">
        <v>#DIV/0!</v>
      </c>
      <c r="W147" s="2">
        <v>0</v>
      </c>
      <c r="X147" s="2" t="e">
        <v>#DIV/0!</v>
      </c>
      <c r="Y147" s="2">
        <v>2</v>
      </c>
      <c r="Z147" s="2">
        <v>10</v>
      </c>
      <c r="AA147" s="2">
        <v>0</v>
      </c>
      <c r="AB147" s="2">
        <v>15</v>
      </c>
      <c r="AG147" s="2">
        <v>49</v>
      </c>
      <c r="AH147" s="2">
        <v>53</v>
      </c>
      <c r="AI147" s="2">
        <v>53</v>
      </c>
      <c r="AJ147" s="2">
        <v>53</v>
      </c>
      <c r="AK147" s="2">
        <v>53</v>
      </c>
      <c r="AL147" s="2">
        <v>57</v>
      </c>
      <c r="AM147" s="2">
        <v>709.74599999999998</v>
      </c>
      <c r="AN147" s="2">
        <v>823.12900000000002</v>
      </c>
      <c r="AO147" s="2">
        <v>-113.38300000000004</v>
      </c>
      <c r="AP147" s="2">
        <v>151.00147000000001</v>
      </c>
      <c r="AQ147" s="65">
        <v>2</v>
      </c>
      <c r="AR147" s="65">
        <v>2</v>
      </c>
      <c r="AS147" s="65">
        <v>2</v>
      </c>
      <c r="AT147" s="65">
        <v>2</v>
      </c>
      <c r="AU147" s="65">
        <v>2</v>
      </c>
      <c r="AV147" s="65">
        <v>2</v>
      </c>
      <c r="AW147" s="65">
        <v>2</v>
      </c>
      <c r="AX147" s="65">
        <v>2</v>
      </c>
      <c r="AY147" s="65">
        <v>2</v>
      </c>
      <c r="AZ147" s="65">
        <v>2</v>
      </c>
      <c r="BA147" s="65">
        <v>2</v>
      </c>
      <c r="BB147" s="65">
        <v>2</v>
      </c>
      <c r="BC147" s="65">
        <v>2</v>
      </c>
      <c r="BD147" s="65">
        <v>2</v>
      </c>
      <c r="BE147" s="65">
        <v>2</v>
      </c>
      <c r="BF147" s="65">
        <v>2</v>
      </c>
      <c r="BG147" s="65">
        <v>2</v>
      </c>
      <c r="BH147" s="65">
        <v>2</v>
      </c>
      <c r="BI147" s="65">
        <v>2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1</v>
      </c>
      <c r="CF147" s="65">
        <v>0</v>
      </c>
      <c r="CG147" s="65">
        <v>0</v>
      </c>
      <c r="CH147" s="65">
        <v>0</v>
      </c>
      <c r="CI147" s="65">
        <v>1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7</v>
      </c>
      <c r="CT147" s="65">
        <v>7</v>
      </c>
      <c r="CU147" s="65">
        <v>7</v>
      </c>
      <c r="CV147" s="65">
        <v>9</v>
      </c>
      <c r="CW147" s="65">
        <v>8</v>
      </c>
      <c r="CX147" s="65">
        <v>7</v>
      </c>
      <c r="CY147" s="65">
        <v>8</v>
      </c>
      <c r="CZ147" s="65">
        <v>7</v>
      </c>
      <c r="DA147" s="65">
        <v>9</v>
      </c>
      <c r="DB147" s="65">
        <v>12</v>
      </c>
      <c r="DC147" s="65">
        <v>11</v>
      </c>
      <c r="DD147" s="65">
        <v>9</v>
      </c>
      <c r="DE147" s="65">
        <v>8</v>
      </c>
      <c r="DF147" s="65">
        <v>6</v>
      </c>
      <c r="DG147" s="65">
        <v>8</v>
      </c>
      <c r="DH147" s="65">
        <v>6</v>
      </c>
      <c r="DI147" s="65">
        <v>7</v>
      </c>
      <c r="DJ147" s="65">
        <v>6</v>
      </c>
      <c r="DK147" s="65">
        <v>9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210</v>
      </c>
      <c r="DU147" s="2" t="s">
        <v>488</v>
      </c>
      <c r="DV147" s="2">
        <v>53</v>
      </c>
      <c r="DW147" s="2" t="s">
        <v>1</v>
      </c>
      <c r="DX147" s="2">
        <v>53</v>
      </c>
      <c r="DY147" s="2">
        <v>3</v>
      </c>
      <c r="DZ147" s="2">
        <v>4</v>
      </c>
      <c r="EA147" s="2">
        <v>3</v>
      </c>
      <c r="EB147" s="2">
        <v>4</v>
      </c>
      <c r="EC147" s="2">
        <v>4</v>
      </c>
      <c r="ED147" s="2">
        <v>3</v>
      </c>
      <c r="EE147" s="2">
        <v>4</v>
      </c>
      <c r="EF147" s="2">
        <v>3</v>
      </c>
      <c r="EG147" s="2">
        <v>4</v>
      </c>
      <c r="EH147" s="2">
        <v>7</v>
      </c>
      <c r="EI147" s="2">
        <v>6</v>
      </c>
      <c r="EJ147" s="2">
        <v>5</v>
      </c>
      <c r="EK147" s="2">
        <v>4</v>
      </c>
      <c r="EL147" s="2">
        <v>2</v>
      </c>
      <c r="EM147" s="2">
        <v>4</v>
      </c>
      <c r="EN147" s="2">
        <v>3</v>
      </c>
      <c r="EO147" s="2">
        <v>4</v>
      </c>
      <c r="EP147" s="2">
        <v>2</v>
      </c>
      <c r="EQ147" s="2">
        <v>5</v>
      </c>
      <c r="ER147" s="2">
        <v>4</v>
      </c>
      <c r="ES147" s="2">
        <v>3</v>
      </c>
      <c r="ET147" s="2">
        <v>4</v>
      </c>
      <c r="EU147" s="2">
        <v>5</v>
      </c>
      <c r="EV147" s="2">
        <v>4</v>
      </c>
      <c r="EW147" s="2">
        <v>4</v>
      </c>
      <c r="EX147" s="2">
        <v>4</v>
      </c>
      <c r="EY147" s="2">
        <v>4</v>
      </c>
      <c r="EZ147" s="2">
        <v>5</v>
      </c>
      <c r="FA147" s="2">
        <v>5</v>
      </c>
      <c r="FB147" s="2">
        <v>5</v>
      </c>
      <c r="FC147" s="2">
        <v>4</v>
      </c>
      <c r="FD147" s="2">
        <v>4</v>
      </c>
      <c r="FE147" s="2">
        <v>4</v>
      </c>
      <c r="FF147" s="2">
        <v>4</v>
      </c>
      <c r="FG147" s="2">
        <v>3</v>
      </c>
      <c r="FH147" s="2">
        <v>3</v>
      </c>
      <c r="FI147" s="2">
        <v>4</v>
      </c>
      <c r="FJ147" s="2">
        <v>4</v>
      </c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</row>
    <row r="148" spans="1:200" x14ac:dyDescent="0.25">
      <c r="A148" s="2" t="s">
        <v>987</v>
      </c>
      <c r="B148" s="2" t="s">
        <v>713</v>
      </c>
      <c r="C148" s="2" t="s">
        <v>986</v>
      </c>
      <c r="D148" s="2">
        <v>3</v>
      </c>
      <c r="E148" s="2">
        <v>0</v>
      </c>
      <c r="F148" s="2">
        <v>12</v>
      </c>
      <c r="G148" s="2">
        <v>8</v>
      </c>
      <c r="H148" s="2">
        <v>3</v>
      </c>
      <c r="I148" s="2">
        <v>20</v>
      </c>
      <c r="J148" s="2">
        <v>69</v>
      </c>
      <c r="K148" s="2">
        <v>82</v>
      </c>
      <c r="L148" s="2">
        <v>0</v>
      </c>
      <c r="M148" s="2">
        <v>0</v>
      </c>
      <c r="N148" s="2">
        <v>0</v>
      </c>
      <c r="O148" s="2">
        <v>151</v>
      </c>
      <c r="P148" s="2">
        <v>151</v>
      </c>
      <c r="Q148" s="2">
        <v>151</v>
      </c>
      <c r="R148" s="2">
        <v>151</v>
      </c>
      <c r="S148" s="2">
        <v>69</v>
      </c>
      <c r="T148" s="2">
        <v>-0.68421052631578938</v>
      </c>
      <c r="U148" s="2">
        <v>0</v>
      </c>
      <c r="V148" s="2" t="e">
        <v>#DIV/0!</v>
      </c>
      <c r="W148" s="2">
        <v>0</v>
      </c>
      <c r="X148" s="2" t="e">
        <v>#DIV/0!</v>
      </c>
      <c r="Y148" s="2">
        <v>3</v>
      </c>
      <c r="Z148" s="2">
        <v>7</v>
      </c>
      <c r="AA148" s="2">
        <v>0</v>
      </c>
      <c r="AB148" s="2">
        <v>13</v>
      </c>
      <c r="AG148" s="2">
        <v>41</v>
      </c>
      <c r="AH148" s="2">
        <v>53</v>
      </c>
      <c r="AI148" s="2">
        <v>53</v>
      </c>
      <c r="AJ148" s="2">
        <v>53</v>
      </c>
      <c r="AK148" s="2">
        <v>53</v>
      </c>
      <c r="AL148" s="2">
        <v>58</v>
      </c>
      <c r="AM148" s="2">
        <v>709.74599999999998</v>
      </c>
      <c r="AN148" s="2">
        <v>0</v>
      </c>
      <c r="AP148" s="2">
        <v>151.00147999999999</v>
      </c>
      <c r="AQ148" s="65">
        <v>2</v>
      </c>
      <c r="AR148" s="65">
        <v>2</v>
      </c>
      <c r="AS148" s="65">
        <v>2</v>
      </c>
      <c r="AT148" s="65">
        <v>2</v>
      </c>
      <c r="AU148" s="65">
        <v>2</v>
      </c>
      <c r="AV148" s="65">
        <v>2</v>
      </c>
      <c r="AW148" s="65">
        <v>2</v>
      </c>
      <c r="AX148" s="65">
        <v>2</v>
      </c>
      <c r="AY148" s="65">
        <v>2</v>
      </c>
      <c r="AZ148" s="65">
        <v>2</v>
      </c>
      <c r="BA148" s="65">
        <v>2</v>
      </c>
      <c r="BB148" s="65">
        <v>2</v>
      </c>
      <c r="BC148" s="65">
        <v>2</v>
      </c>
      <c r="BD148" s="65">
        <v>2</v>
      </c>
      <c r="BE148" s="65">
        <v>2</v>
      </c>
      <c r="BF148" s="65">
        <v>2</v>
      </c>
      <c r="BG148" s="65">
        <v>2</v>
      </c>
      <c r="BH148" s="65">
        <v>2</v>
      </c>
      <c r="BI148" s="65">
        <v>2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1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1</v>
      </c>
      <c r="CH148" s="65">
        <v>0</v>
      </c>
      <c r="CI148" s="65">
        <v>1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7</v>
      </c>
      <c r="CT148" s="65">
        <v>10</v>
      </c>
      <c r="CU148" s="65">
        <v>9</v>
      </c>
      <c r="CV148" s="65">
        <v>7</v>
      </c>
      <c r="CW148" s="65">
        <v>9</v>
      </c>
      <c r="CX148" s="65">
        <v>7</v>
      </c>
      <c r="CY148" s="65">
        <v>7</v>
      </c>
      <c r="CZ148" s="65">
        <v>7</v>
      </c>
      <c r="DA148" s="65">
        <v>9</v>
      </c>
      <c r="DB148" s="65">
        <v>13</v>
      </c>
      <c r="DC148" s="65">
        <v>8</v>
      </c>
      <c r="DD148" s="65">
        <v>7</v>
      </c>
      <c r="DE148" s="65">
        <v>12</v>
      </c>
      <c r="DF148" s="65">
        <v>6</v>
      </c>
      <c r="DG148" s="65">
        <v>8</v>
      </c>
      <c r="DH148" s="65">
        <v>5</v>
      </c>
      <c r="DI148" s="65">
        <v>6</v>
      </c>
      <c r="DJ148" s="65">
        <v>6</v>
      </c>
      <c r="DK148" s="65">
        <v>8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715</v>
      </c>
      <c r="DU148" s="2" t="s">
        <v>488</v>
      </c>
      <c r="DV148" s="2">
        <v>53</v>
      </c>
      <c r="DW148" s="2" t="s">
        <v>1</v>
      </c>
      <c r="DX148" s="2">
        <v>53</v>
      </c>
      <c r="DY148" s="2">
        <v>2</v>
      </c>
      <c r="DZ148" s="2">
        <v>4</v>
      </c>
      <c r="EA148" s="2">
        <v>4</v>
      </c>
      <c r="EB148" s="2">
        <v>3</v>
      </c>
      <c r="EC148" s="2">
        <v>5</v>
      </c>
      <c r="ED148" s="2">
        <v>3</v>
      </c>
      <c r="EE148" s="2">
        <v>3</v>
      </c>
      <c r="EF148" s="2">
        <v>3</v>
      </c>
      <c r="EG148" s="2">
        <v>4</v>
      </c>
      <c r="EH148" s="2">
        <v>6</v>
      </c>
      <c r="EI148" s="2">
        <v>4</v>
      </c>
      <c r="EJ148" s="2">
        <v>3</v>
      </c>
      <c r="EK148" s="2">
        <v>6</v>
      </c>
      <c r="EL148" s="2">
        <v>3</v>
      </c>
      <c r="EM148" s="2">
        <v>5</v>
      </c>
      <c r="EN148" s="2">
        <v>2</v>
      </c>
      <c r="EO148" s="2">
        <v>3</v>
      </c>
      <c r="EP148" s="2">
        <v>2</v>
      </c>
      <c r="EQ148" s="2">
        <v>4</v>
      </c>
      <c r="ER148" s="2">
        <v>5</v>
      </c>
      <c r="ES148" s="2">
        <v>6</v>
      </c>
      <c r="ET148" s="2">
        <v>5</v>
      </c>
      <c r="EU148" s="2">
        <v>4</v>
      </c>
      <c r="EV148" s="2">
        <v>4</v>
      </c>
      <c r="EW148" s="2">
        <v>4</v>
      </c>
      <c r="EX148" s="2">
        <v>4</v>
      </c>
      <c r="EY148" s="2">
        <v>4</v>
      </c>
      <c r="EZ148" s="2">
        <v>5</v>
      </c>
      <c r="FA148" s="2">
        <v>7</v>
      </c>
      <c r="FB148" s="2">
        <v>4</v>
      </c>
      <c r="FC148" s="2">
        <v>4</v>
      </c>
      <c r="FD148" s="2">
        <v>6</v>
      </c>
      <c r="FE148" s="2">
        <v>3</v>
      </c>
      <c r="FF148" s="2">
        <v>3</v>
      </c>
      <c r="FG148" s="2">
        <v>3</v>
      </c>
      <c r="FH148" s="2">
        <v>3</v>
      </c>
      <c r="FI148" s="2">
        <v>4</v>
      </c>
      <c r="FJ148" s="2">
        <v>4</v>
      </c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</row>
    <row r="149" spans="1:200" x14ac:dyDescent="0.25">
      <c r="A149" s="2" t="s">
        <v>988</v>
      </c>
      <c r="B149" s="2" t="s">
        <v>719</v>
      </c>
      <c r="C149" s="2" t="s">
        <v>988</v>
      </c>
      <c r="D149" s="2">
        <v>4</v>
      </c>
      <c r="E149" s="2">
        <v>0</v>
      </c>
      <c r="F149" s="2">
        <v>16</v>
      </c>
      <c r="G149" s="2">
        <v>8</v>
      </c>
      <c r="H149" s="2">
        <v>4</v>
      </c>
      <c r="I149" s="2">
        <v>24</v>
      </c>
      <c r="J149" s="2">
        <v>80</v>
      </c>
      <c r="K149" s="2">
        <v>72</v>
      </c>
      <c r="L149" s="2">
        <v>0</v>
      </c>
      <c r="M149" s="2">
        <v>0</v>
      </c>
      <c r="N149" s="2">
        <v>0</v>
      </c>
      <c r="O149" s="2">
        <v>152</v>
      </c>
      <c r="P149" s="2">
        <v>152</v>
      </c>
      <c r="Q149" s="2">
        <v>152</v>
      </c>
      <c r="R149" s="2">
        <v>152</v>
      </c>
      <c r="S149" s="2">
        <v>80</v>
      </c>
      <c r="T149" s="2">
        <v>0.42105263157894735</v>
      </c>
      <c r="U149" s="2">
        <v>0</v>
      </c>
      <c r="V149" s="2" t="e">
        <v>#DIV/0!</v>
      </c>
      <c r="W149" s="2">
        <v>0</v>
      </c>
      <c r="X149" s="2" t="e">
        <v>#DIV/0!</v>
      </c>
      <c r="Y149" s="2">
        <v>2</v>
      </c>
      <c r="Z149" s="2">
        <v>16</v>
      </c>
      <c r="AA149" s="2">
        <v>2</v>
      </c>
      <c r="AB149" s="2">
        <v>8</v>
      </c>
      <c r="AG149" s="2">
        <v>7</v>
      </c>
      <c r="AH149" s="2">
        <v>5</v>
      </c>
      <c r="AI149" s="2">
        <v>5</v>
      </c>
      <c r="AJ149" s="2">
        <v>5</v>
      </c>
      <c r="AK149" s="2">
        <v>5</v>
      </c>
      <c r="AL149" s="2">
        <v>59</v>
      </c>
      <c r="AM149" s="2">
        <v>701.15300000000002</v>
      </c>
      <c r="AN149" s="2">
        <v>0</v>
      </c>
      <c r="AP149" s="2">
        <v>152.00148999999999</v>
      </c>
      <c r="AQ149" s="65">
        <v>2</v>
      </c>
      <c r="AR149" s="65">
        <v>2</v>
      </c>
      <c r="AS149" s="65">
        <v>2</v>
      </c>
      <c r="AT149" s="65">
        <v>2</v>
      </c>
      <c r="AU149" s="65">
        <v>2</v>
      </c>
      <c r="AV149" s="65">
        <v>2</v>
      </c>
      <c r="AW149" s="65">
        <v>2</v>
      </c>
      <c r="AX149" s="65">
        <v>2</v>
      </c>
      <c r="AY149" s="65">
        <v>2</v>
      </c>
      <c r="AZ149" s="65">
        <v>2</v>
      </c>
      <c r="BA149" s="65">
        <v>2</v>
      </c>
      <c r="BB149" s="65">
        <v>2</v>
      </c>
      <c r="BC149" s="65">
        <v>2</v>
      </c>
      <c r="BD149" s="65">
        <v>2</v>
      </c>
      <c r="BE149" s="65">
        <v>2</v>
      </c>
      <c r="BF149" s="65">
        <v>2</v>
      </c>
      <c r="BG149" s="65">
        <v>2</v>
      </c>
      <c r="BH149" s="65">
        <v>2</v>
      </c>
      <c r="BI149" s="65">
        <v>2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1</v>
      </c>
      <c r="BU149" s="65">
        <v>1</v>
      </c>
      <c r="BV149" s="65">
        <v>0</v>
      </c>
      <c r="BW149" s="65">
        <v>0</v>
      </c>
      <c r="BX149" s="65">
        <v>0</v>
      </c>
      <c r="BY149" s="65">
        <v>1</v>
      </c>
      <c r="BZ149" s="65">
        <v>0</v>
      </c>
      <c r="CA149" s="65">
        <v>0</v>
      </c>
      <c r="CB149" s="65">
        <v>0</v>
      </c>
      <c r="CC149" s="65">
        <v>0</v>
      </c>
      <c r="CD149" s="65">
        <v>1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7</v>
      </c>
      <c r="CT149" s="65">
        <v>7</v>
      </c>
      <c r="CU149" s="65">
        <v>6</v>
      </c>
      <c r="CV149" s="65">
        <v>5</v>
      </c>
      <c r="CW149" s="65">
        <v>11</v>
      </c>
      <c r="CX149" s="65">
        <v>8</v>
      </c>
      <c r="CY149" s="65">
        <v>8</v>
      </c>
      <c r="CZ149" s="65">
        <v>6</v>
      </c>
      <c r="DA149" s="65">
        <v>12</v>
      </c>
      <c r="DB149" s="65">
        <v>10</v>
      </c>
      <c r="DC149" s="65">
        <v>10</v>
      </c>
      <c r="DD149" s="65">
        <v>7</v>
      </c>
      <c r="DE149" s="65">
        <v>5</v>
      </c>
      <c r="DF149" s="65">
        <v>8</v>
      </c>
      <c r="DG149" s="65">
        <v>8</v>
      </c>
      <c r="DH149" s="65">
        <v>7</v>
      </c>
      <c r="DI149" s="65">
        <v>7</v>
      </c>
      <c r="DJ149" s="65">
        <v>12</v>
      </c>
      <c r="DK149" s="65">
        <v>8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 t="s">
        <v>716</v>
      </c>
      <c r="DU149" s="2" t="s">
        <v>490</v>
      </c>
      <c r="DV149" s="2">
        <v>5</v>
      </c>
      <c r="DW149" s="2" t="s">
        <v>16</v>
      </c>
      <c r="DX149" s="2">
        <v>5</v>
      </c>
      <c r="DY149" s="2">
        <v>4</v>
      </c>
      <c r="DZ149" s="2">
        <v>4</v>
      </c>
      <c r="EA149" s="2">
        <v>4</v>
      </c>
      <c r="EB149" s="2">
        <v>2</v>
      </c>
      <c r="EC149" s="2">
        <v>5</v>
      </c>
      <c r="ED149" s="2">
        <v>4</v>
      </c>
      <c r="EE149" s="2">
        <v>3</v>
      </c>
      <c r="EF149" s="2">
        <v>4</v>
      </c>
      <c r="EG149" s="2">
        <v>6</v>
      </c>
      <c r="EH149" s="2">
        <v>5</v>
      </c>
      <c r="EI149" s="2">
        <v>5</v>
      </c>
      <c r="EJ149" s="2">
        <v>4</v>
      </c>
      <c r="EK149" s="2">
        <v>2</v>
      </c>
      <c r="EL149" s="2">
        <v>5</v>
      </c>
      <c r="EM149" s="2">
        <v>5</v>
      </c>
      <c r="EN149" s="2">
        <v>4</v>
      </c>
      <c r="EO149" s="2">
        <v>4</v>
      </c>
      <c r="EP149" s="2">
        <v>6</v>
      </c>
      <c r="EQ149" s="2">
        <v>4</v>
      </c>
      <c r="ER149" s="2">
        <v>3</v>
      </c>
      <c r="ES149" s="2">
        <v>3</v>
      </c>
      <c r="ET149" s="2">
        <v>2</v>
      </c>
      <c r="EU149" s="2">
        <v>3</v>
      </c>
      <c r="EV149" s="2">
        <v>6</v>
      </c>
      <c r="EW149" s="2">
        <v>4</v>
      </c>
      <c r="EX149" s="2">
        <v>5</v>
      </c>
      <c r="EY149" s="2">
        <v>2</v>
      </c>
      <c r="EZ149" s="2">
        <v>6</v>
      </c>
      <c r="FA149" s="2">
        <v>5</v>
      </c>
      <c r="FB149" s="2">
        <v>5</v>
      </c>
      <c r="FC149" s="2">
        <v>3</v>
      </c>
      <c r="FD149" s="2">
        <v>3</v>
      </c>
      <c r="FE149" s="2">
        <v>3</v>
      </c>
      <c r="FF149" s="2">
        <v>3</v>
      </c>
      <c r="FG149" s="2">
        <v>3</v>
      </c>
      <c r="FH149" s="2">
        <v>3</v>
      </c>
      <c r="FI149" s="2">
        <v>6</v>
      </c>
      <c r="FJ149" s="2">
        <v>4</v>
      </c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</row>
    <row r="150" spans="1:200" x14ac:dyDescent="0.25">
      <c r="A150" s="2" t="s">
        <v>989</v>
      </c>
      <c r="B150" s="2" t="s">
        <v>420</v>
      </c>
      <c r="C150" s="2" t="s">
        <v>989</v>
      </c>
      <c r="D150" s="2">
        <v>0</v>
      </c>
      <c r="E150" s="2">
        <v>0</v>
      </c>
      <c r="F150" s="2">
        <v>11</v>
      </c>
      <c r="G150" s="2">
        <v>10</v>
      </c>
      <c r="H150" s="2">
        <v>0</v>
      </c>
      <c r="I150" s="2">
        <v>21</v>
      </c>
      <c r="J150" s="2">
        <v>75</v>
      </c>
      <c r="K150" s="2">
        <v>79</v>
      </c>
      <c r="L150" s="2">
        <v>0</v>
      </c>
      <c r="M150" s="2">
        <v>0</v>
      </c>
      <c r="N150" s="2">
        <v>0</v>
      </c>
      <c r="O150" s="2">
        <v>154</v>
      </c>
      <c r="P150" s="2">
        <v>154</v>
      </c>
      <c r="Q150" s="2">
        <v>154</v>
      </c>
      <c r="R150" s="2">
        <v>154</v>
      </c>
      <c r="S150" s="2">
        <v>75</v>
      </c>
      <c r="T150" s="2">
        <v>-0.21052631578947389</v>
      </c>
      <c r="U150" s="2">
        <v>0</v>
      </c>
      <c r="V150" s="2" t="e">
        <v>#DIV/0!</v>
      </c>
      <c r="W150" s="2">
        <v>0</v>
      </c>
      <c r="X150" s="2" t="e">
        <v>#DIV/0!</v>
      </c>
      <c r="Y150" s="2">
        <v>0</v>
      </c>
      <c r="Z150" s="2">
        <v>10</v>
      </c>
      <c r="AA150" s="2">
        <v>0</v>
      </c>
      <c r="AB150" s="2">
        <v>11</v>
      </c>
      <c r="AG150" s="2">
        <v>56</v>
      </c>
      <c r="AH150" s="2">
        <v>55</v>
      </c>
      <c r="AI150" s="2">
        <v>55</v>
      </c>
      <c r="AJ150" s="2">
        <v>55</v>
      </c>
      <c r="AK150" s="2">
        <v>55</v>
      </c>
      <c r="AL150" s="2">
        <v>60</v>
      </c>
      <c r="AM150" s="2">
        <v>683.96799999999996</v>
      </c>
      <c r="AN150" s="2">
        <v>679.64400000000001</v>
      </c>
      <c r="AO150" s="2">
        <v>4.3239999999999554</v>
      </c>
      <c r="AP150" s="2">
        <v>154.00149999999999</v>
      </c>
      <c r="AQ150" s="65">
        <v>2</v>
      </c>
      <c r="AR150" s="65">
        <v>2</v>
      </c>
      <c r="AS150" s="65">
        <v>2</v>
      </c>
      <c r="AT150" s="65">
        <v>2</v>
      </c>
      <c r="AU150" s="65">
        <v>2</v>
      </c>
      <c r="AV150" s="65">
        <v>2</v>
      </c>
      <c r="AW150" s="65">
        <v>2</v>
      </c>
      <c r="AX150" s="65">
        <v>2</v>
      </c>
      <c r="AY150" s="65">
        <v>2</v>
      </c>
      <c r="AZ150" s="65">
        <v>2</v>
      </c>
      <c r="BA150" s="65">
        <v>2</v>
      </c>
      <c r="BB150" s="65">
        <v>2</v>
      </c>
      <c r="BC150" s="65">
        <v>2</v>
      </c>
      <c r="BD150" s="65">
        <v>2</v>
      </c>
      <c r="BE150" s="65">
        <v>2</v>
      </c>
      <c r="BF150" s="65">
        <v>2</v>
      </c>
      <c r="BG150" s="65">
        <v>2</v>
      </c>
      <c r="BH150" s="65">
        <v>2</v>
      </c>
      <c r="BI150" s="65">
        <v>2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7</v>
      </c>
      <c r="CT150" s="65">
        <v>10</v>
      </c>
      <c r="CU150" s="65">
        <v>9</v>
      </c>
      <c r="CV150" s="65">
        <v>8</v>
      </c>
      <c r="CW150" s="65">
        <v>10</v>
      </c>
      <c r="CX150" s="65">
        <v>8</v>
      </c>
      <c r="CY150" s="65">
        <v>8</v>
      </c>
      <c r="CZ150" s="65">
        <v>6</v>
      </c>
      <c r="DA150" s="65">
        <v>9</v>
      </c>
      <c r="DB150" s="65">
        <v>10</v>
      </c>
      <c r="DC150" s="65">
        <v>12</v>
      </c>
      <c r="DD150" s="65">
        <v>6</v>
      </c>
      <c r="DE150" s="65">
        <v>6</v>
      </c>
      <c r="DF150" s="65">
        <v>6</v>
      </c>
      <c r="DG150" s="65">
        <v>6</v>
      </c>
      <c r="DH150" s="65">
        <v>8</v>
      </c>
      <c r="DI150" s="65">
        <v>6</v>
      </c>
      <c r="DJ150" s="65">
        <v>10</v>
      </c>
      <c r="DK150" s="65">
        <v>9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 t="s">
        <v>688</v>
      </c>
      <c r="DU150" s="2" t="s">
        <v>488</v>
      </c>
      <c r="DV150" s="2">
        <v>55</v>
      </c>
      <c r="DW150" s="2" t="s">
        <v>1</v>
      </c>
      <c r="DX150" s="2">
        <v>55</v>
      </c>
      <c r="DY150" s="2">
        <v>4</v>
      </c>
      <c r="DZ150" s="2">
        <v>5</v>
      </c>
      <c r="EA150" s="2">
        <v>5</v>
      </c>
      <c r="EB150" s="2">
        <v>4</v>
      </c>
      <c r="EC150" s="2">
        <v>4</v>
      </c>
      <c r="ED150" s="2">
        <v>4</v>
      </c>
      <c r="EE150" s="2">
        <v>4</v>
      </c>
      <c r="EF150" s="2">
        <v>3</v>
      </c>
      <c r="EG150" s="2">
        <v>4</v>
      </c>
      <c r="EH150" s="2">
        <v>4</v>
      </c>
      <c r="EI150" s="2">
        <v>6</v>
      </c>
      <c r="EJ150" s="2">
        <v>3</v>
      </c>
      <c r="EK150" s="2">
        <v>3</v>
      </c>
      <c r="EL150" s="2">
        <v>3</v>
      </c>
      <c r="EM150" s="2">
        <v>3</v>
      </c>
      <c r="EN150" s="2">
        <v>5</v>
      </c>
      <c r="EO150" s="2">
        <v>3</v>
      </c>
      <c r="EP150" s="2">
        <v>4</v>
      </c>
      <c r="EQ150" s="2">
        <v>4</v>
      </c>
      <c r="ER150" s="2">
        <v>3</v>
      </c>
      <c r="ES150" s="2">
        <v>5</v>
      </c>
      <c r="ET150" s="2">
        <v>4</v>
      </c>
      <c r="EU150" s="2">
        <v>4</v>
      </c>
      <c r="EV150" s="2">
        <v>6</v>
      </c>
      <c r="EW150" s="2">
        <v>4</v>
      </c>
      <c r="EX150" s="2">
        <v>4</v>
      </c>
      <c r="EY150" s="2">
        <v>3</v>
      </c>
      <c r="EZ150" s="2">
        <v>5</v>
      </c>
      <c r="FA150" s="2">
        <v>6</v>
      </c>
      <c r="FB150" s="2">
        <v>6</v>
      </c>
      <c r="FC150" s="2">
        <v>3</v>
      </c>
      <c r="FD150" s="2">
        <v>3</v>
      </c>
      <c r="FE150" s="2">
        <v>3</v>
      </c>
      <c r="FF150" s="2">
        <v>3</v>
      </c>
      <c r="FG150" s="2">
        <v>3</v>
      </c>
      <c r="FH150" s="2">
        <v>3</v>
      </c>
      <c r="FI150" s="2">
        <v>6</v>
      </c>
      <c r="FJ150" s="2">
        <v>5</v>
      </c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</row>
    <row r="151" spans="1:200" x14ac:dyDescent="0.25">
      <c r="A151" s="2" t="s">
        <v>990</v>
      </c>
      <c r="B151" s="2" t="s">
        <v>718</v>
      </c>
      <c r="C151" s="2" t="s">
        <v>990</v>
      </c>
      <c r="D151" s="2">
        <v>1</v>
      </c>
      <c r="E151" s="2">
        <v>0</v>
      </c>
      <c r="F151" s="2">
        <v>13</v>
      </c>
      <c r="G151" s="2">
        <v>10</v>
      </c>
      <c r="H151" s="2">
        <v>1</v>
      </c>
      <c r="I151" s="2">
        <v>23</v>
      </c>
      <c r="J151" s="2">
        <v>75</v>
      </c>
      <c r="K151" s="2">
        <v>80</v>
      </c>
      <c r="L151" s="2">
        <v>0</v>
      </c>
      <c r="M151" s="2">
        <v>0</v>
      </c>
      <c r="N151" s="2">
        <v>0</v>
      </c>
      <c r="O151" s="2">
        <v>155</v>
      </c>
      <c r="P151" s="2">
        <v>155</v>
      </c>
      <c r="Q151" s="2">
        <v>155</v>
      </c>
      <c r="R151" s="2">
        <v>155</v>
      </c>
      <c r="S151" s="2">
        <v>75</v>
      </c>
      <c r="T151" s="2">
        <v>-0.26315789473684204</v>
      </c>
      <c r="U151" s="2">
        <v>0</v>
      </c>
      <c r="V151" s="2" t="e">
        <v>#DIV/0!</v>
      </c>
      <c r="W151" s="2">
        <v>0</v>
      </c>
      <c r="X151" s="2" t="e">
        <v>#DIV/0!</v>
      </c>
      <c r="Y151" s="2">
        <v>0</v>
      </c>
      <c r="Z151" s="2">
        <v>10</v>
      </c>
      <c r="AA151" s="2">
        <v>1</v>
      </c>
      <c r="AB151" s="2">
        <v>13</v>
      </c>
      <c r="AG151" s="2">
        <v>56</v>
      </c>
      <c r="AH151" s="2">
        <v>56</v>
      </c>
      <c r="AI151" s="2">
        <v>56</v>
      </c>
      <c r="AJ151" s="2">
        <v>56</v>
      </c>
      <c r="AK151" s="2">
        <v>56</v>
      </c>
      <c r="AL151" s="2">
        <v>61</v>
      </c>
      <c r="AM151" s="2">
        <v>675.375</v>
      </c>
      <c r="AN151" s="2">
        <v>0</v>
      </c>
      <c r="AP151" s="2">
        <v>155.00151</v>
      </c>
      <c r="AQ151" s="65">
        <v>2</v>
      </c>
      <c r="AR151" s="65">
        <v>2</v>
      </c>
      <c r="AS151" s="65">
        <v>2</v>
      </c>
      <c r="AT151" s="65">
        <v>2</v>
      </c>
      <c r="AU151" s="65">
        <v>2</v>
      </c>
      <c r="AV151" s="65">
        <v>2</v>
      </c>
      <c r="AW151" s="65">
        <v>2</v>
      </c>
      <c r="AX151" s="65">
        <v>2</v>
      </c>
      <c r="AY151" s="65">
        <v>2</v>
      </c>
      <c r="AZ151" s="65">
        <v>2</v>
      </c>
      <c r="BA151" s="65">
        <v>2</v>
      </c>
      <c r="BB151" s="65">
        <v>2</v>
      </c>
      <c r="BC151" s="65">
        <v>2</v>
      </c>
      <c r="BD151" s="65">
        <v>2</v>
      </c>
      <c r="BE151" s="65">
        <v>2</v>
      </c>
      <c r="BF151" s="65">
        <v>2</v>
      </c>
      <c r="BG151" s="65">
        <v>2</v>
      </c>
      <c r="BH151" s="65">
        <v>2</v>
      </c>
      <c r="BI151" s="65">
        <v>2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1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9</v>
      </c>
      <c r="CT151" s="65">
        <v>6</v>
      </c>
      <c r="CU151" s="65">
        <v>8</v>
      </c>
      <c r="CV151" s="65">
        <v>6</v>
      </c>
      <c r="CW151" s="65">
        <v>11</v>
      </c>
      <c r="CX151" s="65">
        <v>9</v>
      </c>
      <c r="CY151" s="65">
        <v>7</v>
      </c>
      <c r="CZ151" s="65">
        <v>6</v>
      </c>
      <c r="DA151" s="65">
        <v>10</v>
      </c>
      <c r="DB151" s="65">
        <v>12</v>
      </c>
      <c r="DC151" s="65">
        <v>10</v>
      </c>
      <c r="DD151" s="65">
        <v>6</v>
      </c>
      <c r="DE151" s="65">
        <v>8</v>
      </c>
      <c r="DF151" s="65">
        <v>8</v>
      </c>
      <c r="DG151" s="65">
        <v>8</v>
      </c>
      <c r="DH151" s="65">
        <v>8</v>
      </c>
      <c r="DI151" s="65">
        <v>8</v>
      </c>
      <c r="DJ151" s="65">
        <v>7</v>
      </c>
      <c r="DK151" s="65">
        <v>8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 t="s">
        <v>717</v>
      </c>
      <c r="DU151" s="2" t="s">
        <v>488</v>
      </c>
      <c r="DV151" s="2">
        <v>56</v>
      </c>
      <c r="DW151" s="2" t="s">
        <v>1</v>
      </c>
      <c r="DX151" s="2">
        <v>56</v>
      </c>
      <c r="DY151" s="2">
        <v>3</v>
      </c>
      <c r="DZ151" s="2">
        <v>3</v>
      </c>
      <c r="EA151" s="2">
        <v>4</v>
      </c>
      <c r="EB151" s="2">
        <v>3</v>
      </c>
      <c r="EC151" s="2">
        <v>5</v>
      </c>
      <c r="ED151" s="2">
        <v>5</v>
      </c>
      <c r="EE151" s="2">
        <v>3</v>
      </c>
      <c r="EF151" s="2">
        <v>3</v>
      </c>
      <c r="EG151" s="2">
        <v>4</v>
      </c>
      <c r="EH151" s="2">
        <v>6</v>
      </c>
      <c r="EI151" s="2">
        <v>4</v>
      </c>
      <c r="EJ151" s="2">
        <v>3</v>
      </c>
      <c r="EK151" s="2">
        <v>5</v>
      </c>
      <c r="EL151" s="2">
        <v>3</v>
      </c>
      <c r="EM151" s="2">
        <v>4</v>
      </c>
      <c r="EN151" s="2">
        <v>4</v>
      </c>
      <c r="EO151" s="2">
        <v>4</v>
      </c>
      <c r="EP151" s="2">
        <v>5</v>
      </c>
      <c r="EQ151" s="2">
        <v>4</v>
      </c>
      <c r="ER151" s="2">
        <v>6</v>
      </c>
      <c r="ES151" s="2">
        <v>3</v>
      </c>
      <c r="ET151" s="2">
        <v>4</v>
      </c>
      <c r="EU151" s="2">
        <v>3</v>
      </c>
      <c r="EV151" s="2">
        <v>6</v>
      </c>
      <c r="EW151" s="2">
        <v>4</v>
      </c>
      <c r="EX151" s="2">
        <v>4</v>
      </c>
      <c r="EY151" s="2">
        <v>3</v>
      </c>
      <c r="EZ151" s="2">
        <v>6</v>
      </c>
      <c r="FA151" s="2">
        <v>6</v>
      </c>
      <c r="FB151" s="2">
        <v>6</v>
      </c>
      <c r="FC151" s="2">
        <v>3</v>
      </c>
      <c r="FD151" s="2">
        <v>3</v>
      </c>
      <c r="FE151" s="2">
        <v>5</v>
      </c>
      <c r="FF151" s="2">
        <v>4</v>
      </c>
      <c r="FG151" s="2">
        <v>4</v>
      </c>
      <c r="FH151" s="2">
        <v>4</v>
      </c>
      <c r="FI151" s="2">
        <v>2</v>
      </c>
      <c r="FJ151" s="2">
        <v>4</v>
      </c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</row>
    <row r="152" spans="1:200" x14ac:dyDescent="0.25">
      <c r="A152" s="2" t="s">
        <v>991</v>
      </c>
      <c r="B152" s="2" t="s">
        <v>456</v>
      </c>
      <c r="C152" s="2" t="s">
        <v>990</v>
      </c>
      <c r="D152" s="2">
        <v>2</v>
      </c>
      <c r="E152" s="2">
        <v>0</v>
      </c>
      <c r="F152" s="2">
        <v>13</v>
      </c>
      <c r="G152" s="2">
        <v>9</v>
      </c>
      <c r="H152" s="2">
        <v>2</v>
      </c>
      <c r="I152" s="2">
        <v>22</v>
      </c>
      <c r="J152" s="2">
        <v>75</v>
      </c>
      <c r="K152" s="2">
        <v>80</v>
      </c>
      <c r="L152" s="2">
        <v>0</v>
      </c>
      <c r="M152" s="2">
        <v>0</v>
      </c>
      <c r="N152" s="2">
        <v>0</v>
      </c>
      <c r="O152" s="2">
        <v>155</v>
      </c>
      <c r="P152" s="2">
        <v>155</v>
      </c>
      <c r="Q152" s="2">
        <v>155</v>
      </c>
      <c r="R152" s="2">
        <v>155</v>
      </c>
      <c r="S152" s="2">
        <v>75</v>
      </c>
      <c r="T152" s="2">
        <v>-0.26315789473684204</v>
      </c>
      <c r="U152" s="2">
        <v>0</v>
      </c>
      <c r="V152" s="2" t="e">
        <v>#DIV/0!</v>
      </c>
      <c r="W152" s="2">
        <v>0</v>
      </c>
      <c r="X152" s="2" t="e">
        <v>#DIV/0!</v>
      </c>
      <c r="Y152" s="2">
        <v>2</v>
      </c>
      <c r="Z152" s="2">
        <v>8</v>
      </c>
      <c r="AA152" s="2">
        <v>0</v>
      </c>
      <c r="AB152" s="2">
        <v>14</v>
      </c>
      <c r="AG152" s="2">
        <v>56</v>
      </c>
      <c r="AH152" s="2">
        <v>56</v>
      </c>
      <c r="AI152" s="2">
        <v>56</v>
      </c>
      <c r="AJ152" s="2">
        <v>56</v>
      </c>
      <c r="AK152" s="2">
        <v>56</v>
      </c>
      <c r="AL152" s="2">
        <v>62</v>
      </c>
      <c r="AM152" s="2">
        <v>675.375</v>
      </c>
      <c r="AN152" s="2">
        <v>720.58100000000002</v>
      </c>
      <c r="AO152" s="2">
        <v>-45.206000000000017</v>
      </c>
      <c r="AP152" s="2">
        <v>155.00152</v>
      </c>
      <c r="AQ152" s="65">
        <v>2</v>
      </c>
      <c r="AR152" s="65">
        <v>2</v>
      </c>
      <c r="AS152" s="65">
        <v>2</v>
      </c>
      <c r="AT152" s="65">
        <v>2</v>
      </c>
      <c r="AU152" s="65">
        <v>2</v>
      </c>
      <c r="AV152" s="65">
        <v>2</v>
      </c>
      <c r="AW152" s="65">
        <v>2</v>
      </c>
      <c r="AX152" s="65">
        <v>2</v>
      </c>
      <c r="AY152" s="65">
        <v>2</v>
      </c>
      <c r="AZ152" s="65">
        <v>2</v>
      </c>
      <c r="BA152" s="65">
        <v>2</v>
      </c>
      <c r="BB152" s="65">
        <v>2</v>
      </c>
      <c r="BC152" s="65">
        <v>2</v>
      </c>
      <c r="BD152" s="65">
        <v>2</v>
      </c>
      <c r="BE152" s="65">
        <v>2</v>
      </c>
      <c r="BF152" s="65">
        <v>2</v>
      </c>
      <c r="BG152" s="65">
        <v>2</v>
      </c>
      <c r="BH152" s="65">
        <v>2</v>
      </c>
      <c r="BI152" s="65">
        <v>2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1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1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5</v>
      </c>
      <c r="CT152" s="65">
        <v>7</v>
      </c>
      <c r="CU152" s="65">
        <v>10</v>
      </c>
      <c r="CV152" s="65">
        <v>9</v>
      </c>
      <c r="CW152" s="65">
        <v>10</v>
      </c>
      <c r="CX152" s="65">
        <v>8</v>
      </c>
      <c r="CY152" s="65">
        <v>7</v>
      </c>
      <c r="CZ152" s="65">
        <v>7</v>
      </c>
      <c r="DA152" s="65">
        <v>11</v>
      </c>
      <c r="DB152" s="65">
        <v>10</v>
      </c>
      <c r="DC152" s="65">
        <v>15</v>
      </c>
      <c r="DD152" s="65">
        <v>8</v>
      </c>
      <c r="DE152" s="65">
        <v>6</v>
      </c>
      <c r="DF152" s="65">
        <v>7</v>
      </c>
      <c r="DG152" s="65">
        <v>7</v>
      </c>
      <c r="DH152" s="65">
        <v>8</v>
      </c>
      <c r="DI152" s="65">
        <v>7</v>
      </c>
      <c r="DJ152" s="65">
        <v>6</v>
      </c>
      <c r="DK152" s="65">
        <v>7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 t="s">
        <v>416</v>
      </c>
      <c r="DU152" s="2" t="s">
        <v>488</v>
      </c>
      <c r="DV152" s="2">
        <v>56</v>
      </c>
      <c r="DW152" s="2" t="s">
        <v>1</v>
      </c>
      <c r="DX152" s="2">
        <v>56</v>
      </c>
      <c r="DY152" s="2">
        <v>2</v>
      </c>
      <c r="DZ152" s="2">
        <v>3</v>
      </c>
      <c r="EA152" s="2">
        <v>5</v>
      </c>
      <c r="EB152" s="2">
        <v>6</v>
      </c>
      <c r="EC152" s="2">
        <v>5</v>
      </c>
      <c r="ED152" s="2">
        <v>4</v>
      </c>
      <c r="EE152" s="2">
        <v>3</v>
      </c>
      <c r="EF152" s="2">
        <v>3</v>
      </c>
      <c r="EG152" s="2">
        <v>6</v>
      </c>
      <c r="EH152" s="2">
        <v>4</v>
      </c>
      <c r="EI152" s="2">
        <v>8</v>
      </c>
      <c r="EJ152" s="2">
        <v>3</v>
      </c>
      <c r="EK152" s="2">
        <v>3</v>
      </c>
      <c r="EL152" s="2">
        <v>3</v>
      </c>
      <c r="EM152" s="2">
        <v>3</v>
      </c>
      <c r="EN152" s="2">
        <v>5</v>
      </c>
      <c r="EO152" s="2">
        <v>3</v>
      </c>
      <c r="EP152" s="2">
        <v>2</v>
      </c>
      <c r="EQ152" s="2">
        <v>4</v>
      </c>
      <c r="ER152" s="2">
        <v>3</v>
      </c>
      <c r="ES152" s="2">
        <v>4</v>
      </c>
      <c r="ET152" s="2">
        <v>5</v>
      </c>
      <c r="EU152" s="2">
        <v>3</v>
      </c>
      <c r="EV152" s="2">
        <v>5</v>
      </c>
      <c r="EW152" s="2">
        <v>4</v>
      </c>
      <c r="EX152" s="2">
        <v>4</v>
      </c>
      <c r="EY152" s="2">
        <v>4</v>
      </c>
      <c r="EZ152" s="2">
        <v>5</v>
      </c>
      <c r="FA152" s="2">
        <v>6</v>
      </c>
      <c r="FB152" s="2">
        <v>7</v>
      </c>
      <c r="FC152" s="2">
        <v>5</v>
      </c>
      <c r="FD152" s="2">
        <v>3</v>
      </c>
      <c r="FE152" s="2">
        <v>4</v>
      </c>
      <c r="FF152" s="2">
        <v>4</v>
      </c>
      <c r="FG152" s="2">
        <v>3</v>
      </c>
      <c r="FH152" s="2">
        <v>4</v>
      </c>
      <c r="FI152" s="2">
        <v>4</v>
      </c>
      <c r="FJ152" s="2">
        <v>3</v>
      </c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</row>
    <row r="153" spans="1:200" x14ac:dyDescent="0.25">
      <c r="A153" s="2" t="s">
        <v>992</v>
      </c>
      <c r="B153" s="2" t="s">
        <v>700</v>
      </c>
      <c r="C153" s="2" t="s">
        <v>992</v>
      </c>
      <c r="D153" s="2">
        <v>1</v>
      </c>
      <c r="E153" s="2">
        <v>0</v>
      </c>
      <c r="F153" s="2">
        <v>13</v>
      </c>
      <c r="G153" s="2">
        <v>10</v>
      </c>
      <c r="H153" s="2">
        <v>1</v>
      </c>
      <c r="I153" s="2">
        <v>23</v>
      </c>
      <c r="J153" s="2">
        <v>84</v>
      </c>
      <c r="K153" s="2">
        <v>75</v>
      </c>
      <c r="L153" s="2">
        <v>0</v>
      </c>
      <c r="M153" s="2">
        <v>0</v>
      </c>
      <c r="N153" s="2">
        <v>0</v>
      </c>
      <c r="O153" s="2">
        <v>159</v>
      </c>
      <c r="P153" s="2">
        <v>159</v>
      </c>
      <c r="Q153" s="2">
        <v>159</v>
      </c>
      <c r="R153" s="2">
        <v>159</v>
      </c>
      <c r="S153" s="2">
        <v>84</v>
      </c>
      <c r="T153" s="2">
        <v>0.47368421052631637</v>
      </c>
      <c r="U153" s="2">
        <v>0</v>
      </c>
      <c r="V153" s="2" t="e">
        <v>#DIV/0!</v>
      </c>
      <c r="W153" s="2">
        <v>0</v>
      </c>
      <c r="X153" s="2" t="e">
        <v>#DIV/0!</v>
      </c>
      <c r="Y153" s="2">
        <v>0</v>
      </c>
      <c r="Z153" s="2">
        <v>12</v>
      </c>
      <c r="AA153" s="2">
        <v>1</v>
      </c>
      <c r="AB153" s="2">
        <v>11</v>
      </c>
      <c r="AG153" s="2">
        <v>62</v>
      </c>
      <c r="AH153" s="2">
        <v>58</v>
      </c>
      <c r="AI153" s="2">
        <v>58</v>
      </c>
      <c r="AJ153" s="2">
        <v>58</v>
      </c>
      <c r="AK153" s="2">
        <v>58</v>
      </c>
      <c r="AL153" s="2">
        <v>63</v>
      </c>
      <c r="AM153" s="2">
        <v>641.005</v>
      </c>
      <c r="AN153" s="2">
        <v>0</v>
      </c>
      <c r="AP153" s="2">
        <v>159.00153</v>
      </c>
      <c r="AQ153" s="65">
        <v>2</v>
      </c>
      <c r="AR153" s="65">
        <v>2</v>
      </c>
      <c r="AS153" s="65">
        <v>2</v>
      </c>
      <c r="AT153" s="65">
        <v>2</v>
      </c>
      <c r="AU153" s="65">
        <v>2</v>
      </c>
      <c r="AV153" s="65">
        <v>2</v>
      </c>
      <c r="AW153" s="65">
        <v>2</v>
      </c>
      <c r="AX153" s="65">
        <v>2</v>
      </c>
      <c r="AY153" s="65">
        <v>2</v>
      </c>
      <c r="AZ153" s="65">
        <v>2</v>
      </c>
      <c r="BA153" s="65">
        <v>2</v>
      </c>
      <c r="BB153" s="65">
        <v>2</v>
      </c>
      <c r="BC153" s="65">
        <v>2</v>
      </c>
      <c r="BD153" s="65">
        <v>2</v>
      </c>
      <c r="BE153" s="65">
        <v>2</v>
      </c>
      <c r="BF153" s="65">
        <v>2</v>
      </c>
      <c r="BG153" s="65">
        <v>2</v>
      </c>
      <c r="BH153" s="65">
        <v>2</v>
      </c>
      <c r="BI153" s="65">
        <v>2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1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14</v>
      </c>
      <c r="CT153" s="65">
        <v>6</v>
      </c>
      <c r="CU153" s="65">
        <v>8</v>
      </c>
      <c r="CV153" s="65">
        <v>9</v>
      </c>
      <c r="CW153" s="65">
        <v>9</v>
      </c>
      <c r="CX153" s="65">
        <v>8</v>
      </c>
      <c r="CY153" s="65">
        <v>7</v>
      </c>
      <c r="CZ153" s="65">
        <v>6</v>
      </c>
      <c r="DA153" s="65">
        <v>9</v>
      </c>
      <c r="DB153" s="65">
        <v>11</v>
      </c>
      <c r="DC153" s="65">
        <v>10</v>
      </c>
      <c r="DD153" s="65">
        <v>10</v>
      </c>
      <c r="DE153" s="65">
        <v>6</v>
      </c>
      <c r="DF153" s="65">
        <v>6</v>
      </c>
      <c r="DG153" s="65">
        <v>10</v>
      </c>
      <c r="DH153" s="65">
        <v>5</v>
      </c>
      <c r="DI153" s="65">
        <v>8</v>
      </c>
      <c r="DJ153" s="65">
        <v>10</v>
      </c>
      <c r="DK153" s="65">
        <v>7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 t="s">
        <v>718</v>
      </c>
      <c r="DU153" s="2" t="s">
        <v>686</v>
      </c>
      <c r="DV153" s="2">
        <v>58</v>
      </c>
      <c r="DW153" s="2" t="s">
        <v>1</v>
      </c>
      <c r="DX153" s="2">
        <v>58</v>
      </c>
      <c r="DY153" s="2">
        <v>8</v>
      </c>
      <c r="DZ153" s="2">
        <v>3</v>
      </c>
      <c r="EA153" s="2">
        <v>5</v>
      </c>
      <c r="EB153" s="2">
        <v>5</v>
      </c>
      <c r="EC153" s="2">
        <v>5</v>
      </c>
      <c r="ED153" s="2">
        <v>4</v>
      </c>
      <c r="EE153" s="2">
        <v>3</v>
      </c>
      <c r="EF153" s="2">
        <v>3</v>
      </c>
      <c r="EG153" s="2">
        <v>5</v>
      </c>
      <c r="EH153" s="2">
        <v>6</v>
      </c>
      <c r="EI153" s="2">
        <v>5</v>
      </c>
      <c r="EJ153" s="2">
        <v>6</v>
      </c>
      <c r="EK153" s="2">
        <v>3</v>
      </c>
      <c r="EL153" s="2">
        <v>3</v>
      </c>
      <c r="EM153" s="2">
        <v>5</v>
      </c>
      <c r="EN153" s="2">
        <v>3</v>
      </c>
      <c r="EO153" s="2">
        <v>4</v>
      </c>
      <c r="EP153" s="2">
        <v>5</v>
      </c>
      <c r="EQ153" s="2">
        <v>3</v>
      </c>
      <c r="ER153" s="2">
        <v>6</v>
      </c>
      <c r="ES153" s="2">
        <v>3</v>
      </c>
      <c r="ET153" s="2">
        <v>3</v>
      </c>
      <c r="EU153" s="2">
        <v>4</v>
      </c>
      <c r="EV153" s="2">
        <v>4</v>
      </c>
      <c r="EW153" s="2">
        <v>4</v>
      </c>
      <c r="EX153" s="2">
        <v>4</v>
      </c>
      <c r="EY153" s="2">
        <v>3</v>
      </c>
      <c r="EZ153" s="2">
        <v>4</v>
      </c>
      <c r="FA153" s="2">
        <v>5</v>
      </c>
      <c r="FB153" s="2">
        <v>5</v>
      </c>
      <c r="FC153" s="2">
        <v>4</v>
      </c>
      <c r="FD153" s="2">
        <v>3</v>
      </c>
      <c r="FE153" s="2">
        <v>3</v>
      </c>
      <c r="FF153" s="2">
        <v>5</v>
      </c>
      <c r="FG153" s="2">
        <v>2</v>
      </c>
      <c r="FH153" s="2">
        <v>4</v>
      </c>
      <c r="FI153" s="2">
        <v>5</v>
      </c>
      <c r="FJ153" s="2">
        <v>4</v>
      </c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</row>
    <row r="154" spans="1:200" x14ac:dyDescent="0.25">
      <c r="A154" s="2" t="s">
        <v>993</v>
      </c>
      <c r="B154" s="2" t="s">
        <v>13</v>
      </c>
      <c r="C154" s="2" t="s">
        <v>993</v>
      </c>
      <c r="D154" s="2">
        <v>1</v>
      </c>
      <c r="E154" s="2">
        <v>0</v>
      </c>
      <c r="F154" s="2">
        <v>17</v>
      </c>
      <c r="G154" s="2">
        <v>11</v>
      </c>
      <c r="H154" s="2">
        <v>1</v>
      </c>
      <c r="I154" s="2">
        <v>28</v>
      </c>
      <c r="J154" s="2">
        <v>78</v>
      </c>
      <c r="K154" s="2">
        <v>84</v>
      </c>
      <c r="L154" s="2">
        <v>0</v>
      </c>
      <c r="M154" s="2">
        <v>0</v>
      </c>
      <c r="N154" s="2">
        <v>0</v>
      </c>
      <c r="O154" s="2">
        <v>162</v>
      </c>
      <c r="P154" s="2">
        <v>162</v>
      </c>
      <c r="Q154" s="2">
        <v>162</v>
      </c>
      <c r="R154" s="2">
        <v>162</v>
      </c>
      <c r="S154" s="2">
        <v>78</v>
      </c>
      <c r="T154" s="2">
        <v>-0.31578947368421062</v>
      </c>
      <c r="U154" s="2">
        <v>0</v>
      </c>
      <c r="V154" s="2" t="e">
        <v>#DIV/0!</v>
      </c>
      <c r="W154" s="2">
        <v>0</v>
      </c>
      <c r="X154" s="2" t="e">
        <v>#DIV/0!</v>
      </c>
      <c r="Y154" s="2">
        <v>1</v>
      </c>
      <c r="Z154" s="2">
        <v>12</v>
      </c>
      <c r="AA154" s="2">
        <v>0</v>
      </c>
      <c r="AB154" s="2">
        <v>16</v>
      </c>
      <c r="AG154" s="2">
        <v>61</v>
      </c>
      <c r="AH154" s="2">
        <v>59</v>
      </c>
      <c r="AI154" s="2">
        <v>59</v>
      </c>
      <c r="AJ154" s="2">
        <v>59</v>
      </c>
      <c r="AK154" s="2">
        <v>59</v>
      </c>
      <c r="AL154" s="2">
        <v>64</v>
      </c>
      <c r="AM154" s="2">
        <v>615.22699999999998</v>
      </c>
      <c r="AN154" s="2">
        <v>690.61599999999999</v>
      </c>
      <c r="AO154" s="2">
        <v>-75.38900000000001</v>
      </c>
      <c r="AP154" s="2">
        <v>162.00154000000001</v>
      </c>
      <c r="AQ154" s="65">
        <v>2</v>
      </c>
      <c r="AR154" s="65">
        <v>2</v>
      </c>
      <c r="AS154" s="65">
        <v>2</v>
      </c>
      <c r="AT154" s="65">
        <v>2</v>
      </c>
      <c r="AU154" s="65">
        <v>2</v>
      </c>
      <c r="AV154" s="65">
        <v>2</v>
      </c>
      <c r="AW154" s="65">
        <v>2</v>
      </c>
      <c r="AX154" s="65">
        <v>2</v>
      </c>
      <c r="AY154" s="65">
        <v>2</v>
      </c>
      <c r="AZ154" s="65">
        <v>2</v>
      </c>
      <c r="BA154" s="65">
        <v>2</v>
      </c>
      <c r="BB154" s="65">
        <v>2</v>
      </c>
      <c r="BC154" s="65">
        <v>2</v>
      </c>
      <c r="BD154" s="65">
        <v>2</v>
      </c>
      <c r="BE154" s="65">
        <v>2</v>
      </c>
      <c r="BF154" s="65">
        <v>2</v>
      </c>
      <c r="BG154" s="65">
        <v>2</v>
      </c>
      <c r="BH154" s="65">
        <v>2</v>
      </c>
      <c r="BI154" s="65">
        <v>2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1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6</v>
      </c>
      <c r="CT154" s="65">
        <v>7</v>
      </c>
      <c r="CU154" s="65">
        <v>7</v>
      </c>
      <c r="CV154" s="65">
        <v>8</v>
      </c>
      <c r="CW154" s="65">
        <v>10</v>
      </c>
      <c r="CX154" s="65">
        <v>7</v>
      </c>
      <c r="CY154" s="65">
        <v>7</v>
      </c>
      <c r="CZ154" s="65">
        <v>7</v>
      </c>
      <c r="DA154" s="65">
        <v>12</v>
      </c>
      <c r="DB154" s="65">
        <v>12</v>
      </c>
      <c r="DC154" s="65">
        <v>12</v>
      </c>
      <c r="DD154" s="65">
        <v>9</v>
      </c>
      <c r="DE154" s="65">
        <v>6</v>
      </c>
      <c r="DF154" s="65">
        <v>9</v>
      </c>
      <c r="DG154" s="65">
        <v>8</v>
      </c>
      <c r="DH154" s="65">
        <v>8</v>
      </c>
      <c r="DI154" s="65">
        <v>8</v>
      </c>
      <c r="DJ154" s="65">
        <v>10</v>
      </c>
      <c r="DK154" s="65">
        <v>9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 t="s">
        <v>418</v>
      </c>
      <c r="DU154" s="2" t="s">
        <v>488</v>
      </c>
      <c r="DV154" s="2">
        <v>59</v>
      </c>
      <c r="DW154" s="2" t="s">
        <v>1</v>
      </c>
      <c r="DX154" s="2">
        <v>59</v>
      </c>
      <c r="DY154" s="2">
        <v>2</v>
      </c>
      <c r="DZ154" s="2">
        <v>3</v>
      </c>
      <c r="EA154" s="2">
        <v>4</v>
      </c>
      <c r="EB154" s="2">
        <v>5</v>
      </c>
      <c r="EC154" s="2">
        <v>5</v>
      </c>
      <c r="ED154" s="2">
        <v>3</v>
      </c>
      <c r="EE154" s="2">
        <v>3</v>
      </c>
      <c r="EF154" s="2">
        <v>3</v>
      </c>
      <c r="EG154" s="2">
        <v>7</v>
      </c>
      <c r="EH154" s="2">
        <v>6</v>
      </c>
      <c r="EI154" s="2">
        <v>6</v>
      </c>
      <c r="EJ154" s="2">
        <v>4</v>
      </c>
      <c r="EK154" s="2">
        <v>3</v>
      </c>
      <c r="EL154" s="2">
        <v>5</v>
      </c>
      <c r="EM154" s="2">
        <v>4</v>
      </c>
      <c r="EN154" s="2">
        <v>3</v>
      </c>
      <c r="EO154" s="2">
        <v>4</v>
      </c>
      <c r="EP154" s="2">
        <v>4</v>
      </c>
      <c r="EQ154" s="2">
        <v>4</v>
      </c>
      <c r="ER154" s="2">
        <v>4</v>
      </c>
      <c r="ES154" s="2">
        <v>4</v>
      </c>
      <c r="ET154" s="2">
        <v>3</v>
      </c>
      <c r="EU154" s="2">
        <v>3</v>
      </c>
      <c r="EV154" s="2">
        <v>5</v>
      </c>
      <c r="EW154" s="2">
        <v>4</v>
      </c>
      <c r="EX154" s="2">
        <v>4</v>
      </c>
      <c r="EY154" s="2">
        <v>4</v>
      </c>
      <c r="EZ154" s="2">
        <v>5</v>
      </c>
      <c r="FA154" s="2">
        <v>6</v>
      </c>
      <c r="FB154" s="2">
        <v>6</v>
      </c>
      <c r="FC154" s="2">
        <v>5</v>
      </c>
      <c r="FD154" s="2">
        <v>3</v>
      </c>
      <c r="FE154" s="2">
        <v>4</v>
      </c>
      <c r="FF154" s="2">
        <v>4</v>
      </c>
      <c r="FG154" s="2">
        <v>5</v>
      </c>
      <c r="FH154" s="2">
        <v>4</v>
      </c>
      <c r="FI154" s="2">
        <v>6</v>
      </c>
      <c r="FJ154" s="2">
        <v>5</v>
      </c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</row>
    <row r="155" spans="1:200" x14ac:dyDescent="0.25">
      <c r="A155" s="2" t="s">
        <v>994</v>
      </c>
      <c r="B155" s="2" t="s">
        <v>691</v>
      </c>
      <c r="C155" s="2" t="s">
        <v>993</v>
      </c>
      <c r="D155" s="2">
        <v>1</v>
      </c>
      <c r="E155" s="2">
        <v>0</v>
      </c>
      <c r="F155" s="2">
        <v>14</v>
      </c>
      <c r="G155" s="2">
        <v>12</v>
      </c>
      <c r="H155" s="2">
        <v>1</v>
      </c>
      <c r="I155" s="2">
        <v>26</v>
      </c>
      <c r="J155" s="2">
        <v>76</v>
      </c>
      <c r="K155" s="2">
        <v>86</v>
      </c>
      <c r="L155" s="2">
        <v>0</v>
      </c>
      <c r="M155" s="2">
        <v>0</v>
      </c>
      <c r="N155" s="2">
        <v>0</v>
      </c>
      <c r="O155" s="2">
        <v>162</v>
      </c>
      <c r="P155" s="2">
        <v>162</v>
      </c>
      <c r="Q155" s="2">
        <v>162</v>
      </c>
      <c r="R155" s="2">
        <v>162</v>
      </c>
      <c r="S155" s="2">
        <v>76</v>
      </c>
      <c r="T155" s="2">
        <v>-0.52631578947368407</v>
      </c>
      <c r="U155" s="2">
        <v>0</v>
      </c>
      <c r="V155" s="2" t="e">
        <v>#DIV/0!</v>
      </c>
      <c r="W155" s="2">
        <v>0</v>
      </c>
      <c r="X155" s="2" t="e">
        <v>#DIV/0!</v>
      </c>
      <c r="Y155" s="2">
        <v>0</v>
      </c>
      <c r="Z155" s="2">
        <v>11</v>
      </c>
      <c r="AA155" s="2">
        <v>1</v>
      </c>
      <c r="AB155" s="2">
        <v>15</v>
      </c>
      <c r="AG155" s="2">
        <v>59</v>
      </c>
      <c r="AH155" s="2">
        <v>59</v>
      </c>
      <c r="AI155" s="2">
        <v>59</v>
      </c>
      <c r="AJ155" s="2">
        <v>59</v>
      </c>
      <c r="AK155" s="2">
        <v>59</v>
      </c>
      <c r="AL155" s="2">
        <v>65</v>
      </c>
      <c r="AM155" s="2">
        <v>615.22699999999998</v>
      </c>
      <c r="AN155" s="2">
        <v>648.52</v>
      </c>
      <c r="AO155" s="2">
        <v>-33.293000000000006</v>
      </c>
      <c r="AP155" s="2">
        <v>162.00155000000001</v>
      </c>
      <c r="AQ155" s="65">
        <v>2</v>
      </c>
      <c r="AR155" s="65">
        <v>2</v>
      </c>
      <c r="AS155" s="65">
        <v>2</v>
      </c>
      <c r="AT155" s="65">
        <v>2</v>
      </c>
      <c r="AU155" s="65">
        <v>2</v>
      </c>
      <c r="AV155" s="65">
        <v>2</v>
      </c>
      <c r="AW155" s="65">
        <v>2</v>
      </c>
      <c r="AX155" s="65">
        <v>2</v>
      </c>
      <c r="AY155" s="65">
        <v>2</v>
      </c>
      <c r="AZ155" s="65">
        <v>2</v>
      </c>
      <c r="BA155" s="65">
        <v>2</v>
      </c>
      <c r="BB155" s="65">
        <v>2</v>
      </c>
      <c r="BC155" s="65">
        <v>2</v>
      </c>
      <c r="BD155" s="65">
        <v>2</v>
      </c>
      <c r="BE155" s="65">
        <v>2</v>
      </c>
      <c r="BF155" s="65">
        <v>2</v>
      </c>
      <c r="BG155" s="65">
        <v>2</v>
      </c>
      <c r="BH155" s="65">
        <v>2</v>
      </c>
      <c r="BI155" s="65">
        <v>2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1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9</v>
      </c>
      <c r="CT155" s="65">
        <v>8</v>
      </c>
      <c r="CU155" s="65">
        <v>5</v>
      </c>
      <c r="CV155" s="65">
        <v>7</v>
      </c>
      <c r="CW155" s="65">
        <v>10</v>
      </c>
      <c r="CX155" s="65">
        <v>7</v>
      </c>
      <c r="CY155" s="65">
        <v>9</v>
      </c>
      <c r="CZ155" s="65">
        <v>9</v>
      </c>
      <c r="DA155" s="65">
        <v>9</v>
      </c>
      <c r="DB155" s="65">
        <v>11</v>
      </c>
      <c r="DC155" s="65">
        <v>11</v>
      </c>
      <c r="DD155" s="65">
        <v>8</v>
      </c>
      <c r="DE155" s="65">
        <v>8</v>
      </c>
      <c r="DF155" s="65">
        <v>7</v>
      </c>
      <c r="DG155" s="65">
        <v>10</v>
      </c>
      <c r="DH155" s="65">
        <v>7</v>
      </c>
      <c r="DI155" s="65">
        <v>8</v>
      </c>
      <c r="DJ155" s="65">
        <v>11</v>
      </c>
      <c r="DK155" s="65">
        <v>8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 t="s">
        <v>692</v>
      </c>
      <c r="DU155" s="2" t="s">
        <v>488</v>
      </c>
      <c r="DV155" s="2">
        <v>59</v>
      </c>
      <c r="DW155" s="2" t="s">
        <v>1</v>
      </c>
      <c r="DX155" s="2">
        <v>59</v>
      </c>
      <c r="DY155" s="2">
        <v>3</v>
      </c>
      <c r="DZ155" s="2">
        <v>3</v>
      </c>
      <c r="EA155" s="2">
        <v>3</v>
      </c>
      <c r="EB155" s="2">
        <v>3</v>
      </c>
      <c r="EC155" s="2">
        <v>4</v>
      </c>
      <c r="ED155" s="2">
        <v>4</v>
      </c>
      <c r="EE155" s="2">
        <v>5</v>
      </c>
      <c r="EF155" s="2">
        <v>5</v>
      </c>
      <c r="EG155" s="2">
        <v>5</v>
      </c>
      <c r="EH155" s="2">
        <v>5</v>
      </c>
      <c r="EI155" s="2">
        <v>5</v>
      </c>
      <c r="EJ155" s="2">
        <v>3</v>
      </c>
      <c r="EK155" s="2">
        <v>3</v>
      </c>
      <c r="EL155" s="2">
        <v>4</v>
      </c>
      <c r="EM155" s="2">
        <v>4</v>
      </c>
      <c r="EN155" s="2">
        <v>3</v>
      </c>
      <c r="EO155" s="2">
        <v>4</v>
      </c>
      <c r="EP155" s="2">
        <v>6</v>
      </c>
      <c r="EQ155" s="2">
        <v>4</v>
      </c>
      <c r="ER155" s="2">
        <v>6</v>
      </c>
      <c r="ES155" s="2">
        <v>5</v>
      </c>
      <c r="ET155" s="2">
        <v>2</v>
      </c>
      <c r="EU155" s="2">
        <v>4</v>
      </c>
      <c r="EV155" s="2">
        <v>6</v>
      </c>
      <c r="EW155" s="2">
        <v>3</v>
      </c>
      <c r="EX155" s="2">
        <v>4</v>
      </c>
      <c r="EY155" s="2">
        <v>4</v>
      </c>
      <c r="EZ155" s="2">
        <v>4</v>
      </c>
      <c r="FA155" s="2">
        <v>6</v>
      </c>
      <c r="FB155" s="2">
        <v>6</v>
      </c>
      <c r="FC155" s="2">
        <v>5</v>
      </c>
      <c r="FD155" s="2">
        <v>5</v>
      </c>
      <c r="FE155" s="2">
        <v>3</v>
      </c>
      <c r="FF155" s="2">
        <v>6</v>
      </c>
      <c r="FG155" s="2">
        <v>4</v>
      </c>
      <c r="FH155" s="2">
        <v>4</v>
      </c>
      <c r="FI155" s="2">
        <v>5</v>
      </c>
      <c r="FJ155" s="2">
        <v>4</v>
      </c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</row>
    <row r="156" spans="1:200" x14ac:dyDescent="0.25">
      <c r="A156" s="2" t="s">
        <v>995</v>
      </c>
      <c r="B156" s="2" t="s">
        <v>708</v>
      </c>
      <c r="C156" s="2" t="s">
        <v>995</v>
      </c>
      <c r="D156" s="2">
        <v>1</v>
      </c>
      <c r="E156" s="2">
        <v>0</v>
      </c>
      <c r="F156" s="2">
        <v>15</v>
      </c>
      <c r="G156" s="2">
        <v>11</v>
      </c>
      <c r="H156" s="2">
        <v>1</v>
      </c>
      <c r="I156" s="2">
        <v>26</v>
      </c>
      <c r="J156" s="2">
        <v>78</v>
      </c>
      <c r="K156" s="2">
        <v>86</v>
      </c>
      <c r="L156" s="2">
        <v>0</v>
      </c>
      <c r="M156" s="2">
        <v>0</v>
      </c>
      <c r="N156" s="2">
        <v>0</v>
      </c>
      <c r="O156" s="2">
        <v>164</v>
      </c>
      <c r="P156" s="2">
        <v>164</v>
      </c>
      <c r="Q156" s="2">
        <v>164</v>
      </c>
      <c r="R156" s="2">
        <v>164</v>
      </c>
      <c r="S156" s="2">
        <v>78</v>
      </c>
      <c r="T156" s="2">
        <v>-0.4210526315789469</v>
      </c>
      <c r="U156" s="2">
        <v>0</v>
      </c>
      <c r="V156" s="2" t="e">
        <v>#DIV/0!</v>
      </c>
      <c r="W156" s="2">
        <v>0</v>
      </c>
      <c r="X156" s="2" t="e">
        <v>#DIV/0!</v>
      </c>
      <c r="Y156" s="2">
        <v>1</v>
      </c>
      <c r="Z156" s="2">
        <v>11</v>
      </c>
      <c r="AA156" s="2">
        <v>0</v>
      </c>
      <c r="AB156" s="2">
        <v>15</v>
      </c>
      <c r="AG156" s="2">
        <v>5</v>
      </c>
      <c r="AH156" s="2">
        <v>6</v>
      </c>
      <c r="AI156" s="2">
        <v>6</v>
      </c>
      <c r="AJ156" s="2">
        <v>6</v>
      </c>
      <c r="AK156" s="2">
        <v>6</v>
      </c>
      <c r="AL156" s="2">
        <v>66</v>
      </c>
      <c r="AM156" s="2">
        <v>598.04200000000003</v>
      </c>
      <c r="AN156" s="2">
        <v>0</v>
      </c>
      <c r="AP156" s="2">
        <v>164.00156000000001</v>
      </c>
      <c r="AQ156" s="65">
        <v>2</v>
      </c>
      <c r="AR156" s="65">
        <v>2</v>
      </c>
      <c r="AS156" s="65">
        <v>2</v>
      </c>
      <c r="AT156" s="65">
        <v>2</v>
      </c>
      <c r="AU156" s="65">
        <v>2</v>
      </c>
      <c r="AV156" s="65">
        <v>2</v>
      </c>
      <c r="AW156" s="65">
        <v>2</v>
      </c>
      <c r="AX156" s="65">
        <v>2</v>
      </c>
      <c r="AY156" s="65">
        <v>2</v>
      </c>
      <c r="AZ156" s="65">
        <v>2</v>
      </c>
      <c r="BA156" s="65">
        <v>2</v>
      </c>
      <c r="BB156" s="65">
        <v>2</v>
      </c>
      <c r="BC156" s="65">
        <v>2</v>
      </c>
      <c r="BD156" s="65">
        <v>2</v>
      </c>
      <c r="BE156" s="65">
        <v>2</v>
      </c>
      <c r="BF156" s="65">
        <v>2</v>
      </c>
      <c r="BG156" s="65">
        <v>2</v>
      </c>
      <c r="BH156" s="65">
        <v>2</v>
      </c>
      <c r="BI156" s="65">
        <v>2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1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6</v>
      </c>
      <c r="CT156" s="65">
        <v>7</v>
      </c>
      <c r="CU156" s="65">
        <v>11</v>
      </c>
      <c r="CV156" s="65">
        <v>11</v>
      </c>
      <c r="CW156" s="65">
        <v>10</v>
      </c>
      <c r="CX156" s="65">
        <v>9</v>
      </c>
      <c r="CY156" s="65">
        <v>9</v>
      </c>
      <c r="CZ156" s="65">
        <v>7</v>
      </c>
      <c r="DA156" s="65">
        <v>11</v>
      </c>
      <c r="DB156" s="65">
        <v>12</v>
      </c>
      <c r="DC156" s="65">
        <v>13</v>
      </c>
      <c r="DD156" s="65">
        <v>9</v>
      </c>
      <c r="DE156" s="65">
        <v>7</v>
      </c>
      <c r="DF156" s="65">
        <v>7</v>
      </c>
      <c r="DG156" s="65">
        <v>7</v>
      </c>
      <c r="DH156" s="65">
        <v>6</v>
      </c>
      <c r="DI156" s="65">
        <v>8</v>
      </c>
      <c r="DJ156" s="65">
        <v>6</v>
      </c>
      <c r="DK156" s="65">
        <v>8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 t="s">
        <v>719</v>
      </c>
      <c r="DU156" s="2" t="s">
        <v>490</v>
      </c>
      <c r="DV156" s="2">
        <v>6</v>
      </c>
      <c r="DW156" s="2" t="s">
        <v>16</v>
      </c>
      <c r="DX156" s="2">
        <v>6</v>
      </c>
      <c r="DY156" s="2">
        <v>3</v>
      </c>
      <c r="DZ156" s="2">
        <v>4</v>
      </c>
      <c r="EA156" s="2">
        <v>5</v>
      </c>
      <c r="EB156" s="2">
        <v>7</v>
      </c>
      <c r="EC156" s="2">
        <v>5</v>
      </c>
      <c r="ED156" s="2">
        <v>5</v>
      </c>
      <c r="EE156" s="2">
        <v>3</v>
      </c>
      <c r="EF156" s="2">
        <v>3</v>
      </c>
      <c r="EG156" s="2">
        <v>4</v>
      </c>
      <c r="EH156" s="2">
        <v>6</v>
      </c>
      <c r="EI156" s="2">
        <v>6</v>
      </c>
      <c r="EJ156" s="2">
        <v>4</v>
      </c>
      <c r="EK156" s="2">
        <v>3</v>
      </c>
      <c r="EL156" s="2">
        <v>4</v>
      </c>
      <c r="EM156" s="2">
        <v>3</v>
      </c>
      <c r="EN156" s="2">
        <v>3</v>
      </c>
      <c r="EO156" s="2">
        <v>4</v>
      </c>
      <c r="EP156" s="2">
        <v>2</v>
      </c>
      <c r="EQ156" s="2">
        <v>4</v>
      </c>
      <c r="ER156" s="2">
        <v>3</v>
      </c>
      <c r="ES156" s="2">
        <v>3</v>
      </c>
      <c r="ET156" s="2">
        <v>6</v>
      </c>
      <c r="EU156" s="2">
        <v>4</v>
      </c>
      <c r="EV156" s="2">
        <v>5</v>
      </c>
      <c r="EW156" s="2">
        <v>4</v>
      </c>
      <c r="EX156" s="2">
        <v>6</v>
      </c>
      <c r="EY156" s="2">
        <v>4</v>
      </c>
      <c r="EZ156" s="2">
        <v>7</v>
      </c>
      <c r="FA156" s="2">
        <v>6</v>
      </c>
      <c r="FB156" s="2">
        <v>7</v>
      </c>
      <c r="FC156" s="2">
        <v>5</v>
      </c>
      <c r="FD156" s="2">
        <v>4</v>
      </c>
      <c r="FE156" s="2">
        <v>3</v>
      </c>
      <c r="FF156" s="2">
        <v>4</v>
      </c>
      <c r="FG156" s="2">
        <v>3</v>
      </c>
      <c r="FH156" s="2">
        <v>4</v>
      </c>
      <c r="FI156" s="2">
        <v>4</v>
      </c>
      <c r="FJ156" s="2">
        <v>4</v>
      </c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</row>
    <row r="157" spans="1:200" x14ac:dyDescent="0.25">
      <c r="A157" s="2" t="s">
        <v>996</v>
      </c>
      <c r="B157" s="2" t="s">
        <v>458</v>
      </c>
      <c r="C157" s="2" t="s">
        <v>996</v>
      </c>
      <c r="D157" s="2">
        <v>1</v>
      </c>
      <c r="E157" s="2">
        <v>0</v>
      </c>
      <c r="F157" s="2">
        <v>19</v>
      </c>
      <c r="G157" s="2">
        <v>9</v>
      </c>
      <c r="H157" s="2">
        <v>1</v>
      </c>
      <c r="I157" s="2">
        <v>28</v>
      </c>
      <c r="J157" s="2">
        <v>74</v>
      </c>
      <c r="K157" s="2">
        <v>90</v>
      </c>
      <c r="L157" s="2">
        <v>0</v>
      </c>
      <c r="M157" s="2">
        <v>0</v>
      </c>
      <c r="N157" s="2">
        <v>0</v>
      </c>
      <c r="O157" s="2">
        <v>164</v>
      </c>
      <c r="P157" s="2">
        <v>164</v>
      </c>
      <c r="Q157" s="2">
        <v>164</v>
      </c>
      <c r="R157" s="2">
        <v>164</v>
      </c>
      <c r="S157" s="2">
        <v>74</v>
      </c>
      <c r="T157" s="2">
        <v>-0.84210526315789425</v>
      </c>
      <c r="U157" s="2">
        <v>0</v>
      </c>
      <c r="V157" s="2" t="e">
        <v>#DIV/0!</v>
      </c>
      <c r="W157" s="2">
        <v>0</v>
      </c>
      <c r="X157" s="2" t="e">
        <v>#DIV/0!</v>
      </c>
      <c r="Y157" s="2">
        <v>1</v>
      </c>
      <c r="Z157" s="2">
        <v>11</v>
      </c>
      <c r="AA157" s="2">
        <v>0</v>
      </c>
      <c r="AB157" s="2">
        <v>17</v>
      </c>
      <c r="AG157" s="2">
        <v>49</v>
      </c>
      <c r="AH157" s="2">
        <v>61</v>
      </c>
      <c r="AI157" s="2">
        <v>61</v>
      </c>
      <c r="AJ157" s="2">
        <v>61</v>
      </c>
      <c r="AK157" s="2">
        <v>61</v>
      </c>
      <c r="AL157" s="2">
        <v>67</v>
      </c>
      <c r="AM157" s="2">
        <v>598.04200000000003</v>
      </c>
      <c r="AN157" s="2">
        <v>509.74700000000001</v>
      </c>
      <c r="AO157" s="2">
        <v>88.295000000000016</v>
      </c>
      <c r="AP157" s="2">
        <v>164.00156999999999</v>
      </c>
      <c r="AQ157" s="65">
        <v>2</v>
      </c>
      <c r="AR157" s="65">
        <v>2</v>
      </c>
      <c r="AS157" s="65">
        <v>2</v>
      </c>
      <c r="AT157" s="65">
        <v>2</v>
      </c>
      <c r="AU157" s="65">
        <v>2</v>
      </c>
      <c r="AV157" s="65">
        <v>2</v>
      </c>
      <c r="AW157" s="65">
        <v>2</v>
      </c>
      <c r="AX157" s="65">
        <v>2</v>
      </c>
      <c r="AY157" s="65">
        <v>2</v>
      </c>
      <c r="AZ157" s="65">
        <v>2</v>
      </c>
      <c r="BA157" s="65">
        <v>2</v>
      </c>
      <c r="BB157" s="65">
        <v>2</v>
      </c>
      <c r="BC157" s="65">
        <v>2</v>
      </c>
      <c r="BD157" s="65">
        <v>2</v>
      </c>
      <c r="BE157" s="65">
        <v>2</v>
      </c>
      <c r="BF157" s="65">
        <v>2</v>
      </c>
      <c r="BG157" s="65">
        <v>2</v>
      </c>
      <c r="BH157" s="65">
        <v>2</v>
      </c>
      <c r="BI157" s="65">
        <v>2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1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10</v>
      </c>
      <c r="CT157" s="65">
        <v>7</v>
      </c>
      <c r="CU157" s="65">
        <v>7</v>
      </c>
      <c r="CV157" s="65">
        <v>8</v>
      </c>
      <c r="CW157" s="65">
        <v>9</v>
      </c>
      <c r="CX157" s="65">
        <v>10</v>
      </c>
      <c r="CY157" s="65">
        <v>10</v>
      </c>
      <c r="CZ157" s="65">
        <v>8</v>
      </c>
      <c r="DA157" s="65">
        <v>10</v>
      </c>
      <c r="DB157" s="65">
        <v>10</v>
      </c>
      <c r="DC157" s="65">
        <v>10</v>
      </c>
      <c r="DD157" s="65">
        <v>9</v>
      </c>
      <c r="DE157" s="65">
        <v>8</v>
      </c>
      <c r="DF157" s="65">
        <v>7</v>
      </c>
      <c r="DG157" s="65">
        <v>7</v>
      </c>
      <c r="DH157" s="65">
        <v>7</v>
      </c>
      <c r="DI157" s="65">
        <v>7</v>
      </c>
      <c r="DJ157" s="65">
        <v>9</v>
      </c>
      <c r="DK157" s="65">
        <v>11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 t="s">
        <v>621</v>
      </c>
      <c r="DU157" s="2" t="s">
        <v>488</v>
      </c>
      <c r="DV157" s="2">
        <v>61</v>
      </c>
      <c r="DW157" s="2" t="s">
        <v>1</v>
      </c>
      <c r="DX157" s="2">
        <v>61</v>
      </c>
      <c r="DY157" s="2">
        <v>4</v>
      </c>
      <c r="DZ157" s="2">
        <v>3</v>
      </c>
      <c r="EA157" s="2">
        <v>3</v>
      </c>
      <c r="EB157" s="2">
        <v>4</v>
      </c>
      <c r="EC157" s="2">
        <v>4</v>
      </c>
      <c r="ED157" s="2">
        <v>4</v>
      </c>
      <c r="EE157" s="2">
        <v>5</v>
      </c>
      <c r="EF157" s="2">
        <v>5</v>
      </c>
      <c r="EG157" s="2">
        <v>5</v>
      </c>
      <c r="EH157" s="2">
        <v>5</v>
      </c>
      <c r="EI157" s="2">
        <v>4</v>
      </c>
      <c r="EJ157" s="2">
        <v>5</v>
      </c>
      <c r="EK157" s="2">
        <v>4</v>
      </c>
      <c r="EL157" s="2">
        <v>3</v>
      </c>
      <c r="EM157" s="2">
        <v>4</v>
      </c>
      <c r="EN157" s="2">
        <v>3</v>
      </c>
      <c r="EO157" s="2">
        <v>3</v>
      </c>
      <c r="EP157" s="2">
        <v>2</v>
      </c>
      <c r="EQ157" s="2">
        <v>4</v>
      </c>
      <c r="ER157" s="2">
        <v>6</v>
      </c>
      <c r="ES157" s="2">
        <v>4</v>
      </c>
      <c r="ET157" s="2">
        <v>4</v>
      </c>
      <c r="EU157" s="2">
        <v>4</v>
      </c>
      <c r="EV157" s="2">
        <v>5</v>
      </c>
      <c r="EW157" s="2">
        <v>6</v>
      </c>
      <c r="EX157" s="2">
        <v>5</v>
      </c>
      <c r="EY157" s="2">
        <v>3</v>
      </c>
      <c r="EZ157" s="2">
        <v>5</v>
      </c>
      <c r="FA157" s="2">
        <v>5</v>
      </c>
      <c r="FB157" s="2">
        <v>6</v>
      </c>
      <c r="FC157" s="2">
        <v>4</v>
      </c>
      <c r="FD157" s="2">
        <v>4</v>
      </c>
      <c r="FE157" s="2">
        <v>4</v>
      </c>
      <c r="FF157" s="2">
        <v>3</v>
      </c>
      <c r="FG157" s="2">
        <v>4</v>
      </c>
      <c r="FH157" s="2">
        <v>4</v>
      </c>
      <c r="FI157" s="2">
        <v>7</v>
      </c>
      <c r="FJ157" s="2">
        <v>7</v>
      </c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</row>
    <row r="158" spans="1:200" x14ac:dyDescent="0.25">
      <c r="A158" s="2" t="s">
        <v>997</v>
      </c>
      <c r="B158" s="2" t="s">
        <v>706</v>
      </c>
      <c r="C158" s="2" t="s">
        <v>997</v>
      </c>
      <c r="D158" s="2">
        <v>2</v>
      </c>
      <c r="E158" s="2">
        <v>0</v>
      </c>
      <c r="F158" s="2">
        <v>15</v>
      </c>
      <c r="G158" s="2">
        <v>18</v>
      </c>
      <c r="H158" s="2">
        <v>2</v>
      </c>
      <c r="I158" s="2">
        <v>33</v>
      </c>
      <c r="J158" s="2">
        <v>83</v>
      </c>
      <c r="K158" s="2">
        <v>94</v>
      </c>
      <c r="L158" s="2">
        <v>0</v>
      </c>
      <c r="M158" s="2">
        <v>0</v>
      </c>
      <c r="N158" s="2">
        <v>0</v>
      </c>
      <c r="O158" s="2">
        <v>177</v>
      </c>
      <c r="P158" s="2">
        <v>177</v>
      </c>
      <c r="Q158" s="2">
        <v>177</v>
      </c>
      <c r="R158" s="2">
        <v>177</v>
      </c>
      <c r="S158" s="2">
        <v>83</v>
      </c>
      <c r="T158" s="2">
        <v>-0.5789473684210531</v>
      </c>
      <c r="U158" s="2">
        <v>0</v>
      </c>
      <c r="V158" s="2" t="e">
        <v>#DIV/0!</v>
      </c>
      <c r="W158" s="2">
        <v>0</v>
      </c>
      <c r="X158" s="2" t="e">
        <v>#DIV/0!</v>
      </c>
      <c r="Y158" s="2">
        <v>1</v>
      </c>
      <c r="Z158" s="2">
        <v>15</v>
      </c>
      <c r="AA158" s="2">
        <v>1</v>
      </c>
      <c r="AB158" s="2">
        <v>18</v>
      </c>
      <c r="AG158" s="2">
        <v>8</v>
      </c>
      <c r="AH158" s="2">
        <v>7</v>
      </c>
      <c r="AI158" s="2">
        <v>7</v>
      </c>
      <c r="AJ158" s="2">
        <v>7</v>
      </c>
      <c r="AK158" s="2">
        <v>7</v>
      </c>
      <c r="AL158" s="2">
        <v>68</v>
      </c>
      <c r="AM158" s="2">
        <v>486.339</v>
      </c>
      <c r="AN158" s="2">
        <v>384.25200000000001</v>
      </c>
      <c r="AO158" s="2">
        <v>102.08699999999999</v>
      </c>
      <c r="AP158" s="2">
        <v>177.00157999999999</v>
      </c>
      <c r="AQ158" s="65">
        <v>2</v>
      </c>
      <c r="AR158" s="65">
        <v>2</v>
      </c>
      <c r="AS158" s="65">
        <v>2</v>
      </c>
      <c r="AT158" s="65">
        <v>2</v>
      </c>
      <c r="AU158" s="65">
        <v>2</v>
      </c>
      <c r="AV158" s="65">
        <v>2</v>
      </c>
      <c r="AW158" s="65">
        <v>2</v>
      </c>
      <c r="AX158" s="65">
        <v>2</v>
      </c>
      <c r="AY158" s="65">
        <v>2</v>
      </c>
      <c r="AZ158" s="65">
        <v>2</v>
      </c>
      <c r="BA158" s="65">
        <v>2</v>
      </c>
      <c r="BB158" s="65">
        <v>2</v>
      </c>
      <c r="BC158" s="65">
        <v>2</v>
      </c>
      <c r="BD158" s="65">
        <v>2</v>
      </c>
      <c r="BE158" s="65">
        <v>2</v>
      </c>
      <c r="BF158" s="65">
        <v>2</v>
      </c>
      <c r="BG158" s="65">
        <v>2</v>
      </c>
      <c r="BH158" s="65">
        <v>2</v>
      </c>
      <c r="BI158" s="65">
        <v>2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1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1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5</v>
      </c>
      <c r="CT158" s="65">
        <v>8</v>
      </c>
      <c r="CU158" s="65">
        <v>9</v>
      </c>
      <c r="CV158" s="65">
        <v>7</v>
      </c>
      <c r="CW158" s="65">
        <v>11</v>
      </c>
      <c r="CX158" s="65">
        <v>10</v>
      </c>
      <c r="CY158" s="65">
        <v>10</v>
      </c>
      <c r="CZ158" s="65">
        <v>6</v>
      </c>
      <c r="DA158" s="65">
        <v>13</v>
      </c>
      <c r="DB158" s="65">
        <v>12</v>
      </c>
      <c r="DC158" s="65">
        <v>13</v>
      </c>
      <c r="DD158" s="65">
        <v>9</v>
      </c>
      <c r="DE158" s="65">
        <v>9</v>
      </c>
      <c r="DF158" s="65">
        <v>9</v>
      </c>
      <c r="DG158" s="65">
        <v>10</v>
      </c>
      <c r="DH158" s="65">
        <v>8</v>
      </c>
      <c r="DI158" s="65">
        <v>9</v>
      </c>
      <c r="DJ158" s="65">
        <v>11</v>
      </c>
      <c r="DK158" s="65">
        <v>8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 t="s">
        <v>370</v>
      </c>
      <c r="DU158" s="2" t="s">
        <v>490</v>
      </c>
      <c r="DV158" s="2">
        <v>7</v>
      </c>
      <c r="DW158" s="2" t="s">
        <v>16</v>
      </c>
      <c r="DX158" s="2">
        <v>7</v>
      </c>
      <c r="DY158" s="2">
        <v>3</v>
      </c>
      <c r="DZ158" s="2">
        <v>4</v>
      </c>
      <c r="EA158" s="2">
        <v>5</v>
      </c>
      <c r="EB158" s="2">
        <v>3</v>
      </c>
      <c r="EC158" s="2">
        <v>4</v>
      </c>
      <c r="ED158" s="2">
        <v>5</v>
      </c>
      <c r="EE158" s="2">
        <v>4</v>
      </c>
      <c r="EF158" s="2">
        <v>2</v>
      </c>
      <c r="EG158" s="2">
        <v>6</v>
      </c>
      <c r="EH158" s="2">
        <v>5</v>
      </c>
      <c r="EI158" s="2">
        <v>7</v>
      </c>
      <c r="EJ158" s="2">
        <v>5</v>
      </c>
      <c r="EK158" s="2">
        <v>4</v>
      </c>
      <c r="EL158" s="2">
        <v>4</v>
      </c>
      <c r="EM158" s="2">
        <v>5</v>
      </c>
      <c r="EN158" s="2">
        <v>4</v>
      </c>
      <c r="EO158" s="2">
        <v>4</v>
      </c>
      <c r="EP158" s="2">
        <v>5</v>
      </c>
      <c r="EQ158" s="2">
        <v>4</v>
      </c>
      <c r="ER158" s="2">
        <v>2</v>
      </c>
      <c r="ES158" s="2">
        <v>4</v>
      </c>
      <c r="ET158" s="2">
        <v>4</v>
      </c>
      <c r="EU158" s="2">
        <v>4</v>
      </c>
      <c r="EV158" s="2">
        <v>7</v>
      </c>
      <c r="EW158" s="2">
        <v>5</v>
      </c>
      <c r="EX158" s="2">
        <v>6</v>
      </c>
      <c r="EY158" s="2">
        <v>4</v>
      </c>
      <c r="EZ158" s="2">
        <v>7</v>
      </c>
      <c r="FA158" s="2">
        <v>7</v>
      </c>
      <c r="FB158" s="2">
        <v>6</v>
      </c>
      <c r="FC158" s="2">
        <v>4</v>
      </c>
      <c r="FD158" s="2">
        <v>5</v>
      </c>
      <c r="FE158" s="2">
        <v>5</v>
      </c>
      <c r="FF158" s="2">
        <v>5</v>
      </c>
      <c r="FG158" s="2">
        <v>4</v>
      </c>
      <c r="FH158" s="2">
        <v>5</v>
      </c>
      <c r="FI158" s="2">
        <v>6</v>
      </c>
      <c r="FJ158" s="2">
        <v>4</v>
      </c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</row>
    <row r="159" spans="1:200" x14ac:dyDescent="0.25">
      <c r="A159" s="2" t="s">
        <v>998</v>
      </c>
      <c r="B159" s="2" t="s">
        <v>716</v>
      </c>
      <c r="C159" s="2" t="s">
        <v>998</v>
      </c>
      <c r="D159" s="2">
        <v>1</v>
      </c>
      <c r="E159" s="2">
        <v>0</v>
      </c>
      <c r="F159" s="2">
        <v>9</v>
      </c>
      <c r="G159" s="2">
        <v>27</v>
      </c>
      <c r="H159" s="2">
        <v>1</v>
      </c>
      <c r="I159" s="2">
        <v>36</v>
      </c>
      <c r="J159" s="2">
        <v>94</v>
      </c>
      <c r="K159" s="2">
        <v>107</v>
      </c>
      <c r="L159" s="2">
        <v>0</v>
      </c>
      <c r="M159" s="2">
        <v>0</v>
      </c>
      <c r="N159" s="2">
        <v>0</v>
      </c>
      <c r="O159" s="2">
        <v>201</v>
      </c>
      <c r="P159" s="2">
        <v>201</v>
      </c>
      <c r="Q159" s="2">
        <v>201</v>
      </c>
      <c r="R159" s="2">
        <v>201</v>
      </c>
      <c r="S159" s="2">
        <v>94</v>
      </c>
      <c r="T159" s="2">
        <v>-0.68421052631578938</v>
      </c>
      <c r="U159" s="2">
        <v>0</v>
      </c>
      <c r="V159" s="2" t="e">
        <v>#DIV/0!</v>
      </c>
      <c r="W159" s="2">
        <v>0</v>
      </c>
      <c r="X159" s="2" t="e">
        <v>#DIV/0!</v>
      </c>
      <c r="Y159" s="2">
        <v>1</v>
      </c>
      <c r="Z159" s="2">
        <v>18</v>
      </c>
      <c r="AA159" s="2">
        <v>0</v>
      </c>
      <c r="AB159" s="2">
        <v>18</v>
      </c>
      <c r="AG159" s="2">
        <v>9</v>
      </c>
      <c r="AH159" s="2">
        <v>8</v>
      </c>
      <c r="AI159" s="2">
        <v>8</v>
      </c>
      <c r="AJ159" s="2">
        <v>8</v>
      </c>
      <c r="AK159" s="2">
        <v>8</v>
      </c>
      <c r="AL159" s="2">
        <v>69</v>
      </c>
      <c r="AM159" s="2">
        <v>280.11799999999999</v>
      </c>
      <c r="AN159" s="2">
        <v>0</v>
      </c>
      <c r="AP159" s="2">
        <v>201.00158999999999</v>
      </c>
      <c r="AQ159" s="65">
        <v>2</v>
      </c>
      <c r="AR159" s="65">
        <v>2</v>
      </c>
      <c r="AS159" s="65">
        <v>2</v>
      </c>
      <c r="AT159" s="65">
        <v>2</v>
      </c>
      <c r="AU159" s="65">
        <v>2</v>
      </c>
      <c r="AV159" s="65">
        <v>2</v>
      </c>
      <c r="AW159" s="65">
        <v>2</v>
      </c>
      <c r="AX159" s="65">
        <v>2</v>
      </c>
      <c r="AY159" s="65">
        <v>2</v>
      </c>
      <c r="AZ159" s="65">
        <v>2</v>
      </c>
      <c r="BA159" s="65">
        <v>2</v>
      </c>
      <c r="BB159" s="65">
        <v>2</v>
      </c>
      <c r="BC159" s="65">
        <v>2</v>
      </c>
      <c r="BD159" s="65">
        <v>2</v>
      </c>
      <c r="BE159" s="65">
        <v>2</v>
      </c>
      <c r="BF159" s="65">
        <v>2</v>
      </c>
      <c r="BG159" s="65">
        <v>2</v>
      </c>
      <c r="BH159" s="65">
        <v>2</v>
      </c>
      <c r="BI159" s="65">
        <v>2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1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11</v>
      </c>
      <c r="CT159" s="65">
        <v>11</v>
      </c>
      <c r="CU159" s="65">
        <v>12</v>
      </c>
      <c r="CV159" s="65">
        <v>11</v>
      </c>
      <c r="CW159" s="65">
        <v>13</v>
      </c>
      <c r="CX159" s="65">
        <v>9</v>
      </c>
      <c r="CY159" s="65">
        <v>9</v>
      </c>
      <c r="CZ159" s="65">
        <v>9</v>
      </c>
      <c r="DA159" s="65">
        <v>13</v>
      </c>
      <c r="DB159" s="65">
        <v>14</v>
      </c>
      <c r="DC159" s="65">
        <v>17</v>
      </c>
      <c r="DD159" s="65">
        <v>12</v>
      </c>
      <c r="DE159" s="65">
        <v>8</v>
      </c>
      <c r="DF159" s="65">
        <v>10</v>
      </c>
      <c r="DG159" s="65">
        <v>9</v>
      </c>
      <c r="DH159" s="65">
        <v>8</v>
      </c>
      <c r="DI159" s="65">
        <v>10</v>
      </c>
      <c r="DJ159" s="65">
        <v>5</v>
      </c>
      <c r="DK159" s="65">
        <v>10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 t="s">
        <v>720</v>
      </c>
      <c r="DU159" s="2" t="s">
        <v>490</v>
      </c>
      <c r="DV159" s="2">
        <v>8</v>
      </c>
      <c r="DW159" s="2" t="s">
        <v>16</v>
      </c>
      <c r="DX159" s="2">
        <v>8</v>
      </c>
      <c r="DY159" s="2">
        <v>6</v>
      </c>
      <c r="DZ159" s="2">
        <v>5</v>
      </c>
      <c r="EA159" s="2">
        <v>5</v>
      </c>
      <c r="EB159" s="2">
        <v>5</v>
      </c>
      <c r="EC159" s="2">
        <v>6</v>
      </c>
      <c r="ED159" s="2">
        <v>4</v>
      </c>
      <c r="EE159" s="2">
        <v>5</v>
      </c>
      <c r="EF159" s="2">
        <v>4</v>
      </c>
      <c r="EG159" s="2">
        <v>7</v>
      </c>
      <c r="EH159" s="2">
        <v>6</v>
      </c>
      <c r="EI159" s="2">
        <v>7</v>
      </c>
      <c r="EJ159" s="2">
        <v>6</v>
      </c>
      <c r="EK159" s="2">
        <v>4</v>
      </c>
      <c r="EL159" s="2">
        <v>5</v>
      </c>
      <c r="EM159" s="2">
        <v>4</v>
      </c>
      <c r="EN159" s="2">
        <v>4</v>
      </c>
      <c r="EO159" s="2">
        <v>4</v>
      </c>
      <c r="EP159" s="2">
        <v>2</v>
      </c>
      <c r="EQ159" s="2">
        <v>5</v>
      </c>
      <c r="ER159" s="2">
        <v>5</v>
      </c>
      <c r="ES159" s="2">
        <v>6</v>
      </c>
      <c r="ET159" s="2">
        <v>7</v>
      </c>
      <c r="EU159" s="2">
        <v>6</v>
      </c>
      <c r="EV159" s="2">
        <v>7</v>
      </c>
      <c r="EW159" s="2">
        <v>5</v>
      </c>
      <c r="EX159" s="2">
        <v>4</v>
      </c>
      <c r="EY159" s="2">
        <v>5</v>
      </c>
      <c r="EZ159" s="2">
        <v>6</v>
      </c>
      <c r="FA159" s="2">
        <v>8</v>
      </c>
      <c r="FB159" s="2">
        <v>10</v>
      </c>
      <c r="FC159" s="2">
        <v>6</v>
      </c>
      <c r="FD159" s="2">
        <v>4</v>
      </c>
      <c r="FE159" s="2">
        <v>5</v>
      </c>
      <c r="FF159" s="2">
        <v>5</v>
      </c>
      <c r="FG159" s="2">
        <v>4</v>
      </c>
      <c r="FH159" s="2">
        <v>6</v>
      </c>
      <c r="FI159" s="2">
        <v>3</v>
      </c>
      <c r="FJ159" s="2">
        <v>5</v>
      </c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</row>
    <row r="160" spans="1:200" x14ac:dyDescent="0.25">
      <c r="A160" s="2" t="s">
        <v>999</v>
      </c>
      <c r="B160" s="2" t="s">
        <v>715</v>
      </c>
      <c r="C160" s="2" t="s">
        <v>1000</v>
      </c>
      <c r="D160" s="2">
        <v>0</v>
      </c>
      <c r="E160" s="2">
        <v>0</v>
      </c>
      <c r="F160" s="2">
        <v>14</v>
      </c>
      <c r="G160" s="2">
        <v>6</v>
      </c>
      <c r="H160" s="2">
        <v>0</v>
      </c>
      <c r="I160" s="2">
        <v>20</v>
      </c>
      <c r="J160" s="2">
        <v>78</v>
      </c>
      <c r="K160" s="2">
        <v>999</v>
      </c>
      <c r="L160" s="2">
        <v>0</v>
      </c>
      <c r="M160" s="2">
        <v>0</v>
      </c>
      <c r="N160" s="2">
        <v>0</v>
      </c>
      <c r="O160" s="2">
        <v>1077</v>
      </c>
      <c r="P160" s="2">
        <v>1077</v>
      </c>
      <c r="Q160" s="2">
        <v>1077</v>
      </c>
      <c r="R160" s="2">
        <v>1077</v>
      </c>
      <c r="S160" s="2">
        <v>0</v>
      </c>
      <c r="U160" s="2">
        <v>0</v>
      </c>
      <c r="V160" s="2" t="e">
        <v>#DIV/0!</v>
      </c>
      <c r="W160" s="2">
        <v>0</v>
      </c>
      <c r="X160" s="2" t="e">
        <v>#DIV/0!</v>
      </c>
      <c r="Y160" s="2">
        <v>0</v>
      </c>
      <c r="Z160" s="2">
        <v>13</v>
      </c>
      <c r="AG160" s="2">
        <v>5</v>
      </c>
      <c r="AH160" s="2" t="s">
        <v>807</v>
      </c>
      <c r="AI160" s="2" t="s">
        <v>807</v>
      </c>
      <c r="AJ160" s="2" t="s">
        <v>807</v>
      </c>
      <c r="AK160" s="2" t="s">
        <v>807</v>
      </c>
      <c r="AL160" s="2">
        <v>71</v>
      </c>
      <c r="AM160" s="2">
        <v>0</v>
      </c>
      <c r="AP160" s="2">
        <v>1077.0016000000001</v>
      </c>
      <c r="AQ160" s="65">
        <v>2</v>
      </c>
      <c r="AR160" s="65">
        <v>2</v>
      </c>
      <c r="AS160" s="65">
        <v>2</v>
      </c>
      <c r="AT160" s="65">
        <v>2</v>
      </c>
      <c r="AU160" s="65">
        <v>2</v>
      </c>
      <c r="AV160" s="65">
        <v>1</v>
      </c>
      <c r="AW160" s="65">
        <v>1</v>
      </c>
      <c r="AX160" s="65">
        <v>1</v>
      </c>
      <c r="AY160" s="65">
        <v>1</v>
      </c>
      <c r="AZ160" s="65">
        <v>1</v>
      </c>
      <c r="BA160" s="65">
        <v>1</v>
      </c>
      <c r="BB160" s="65">
        <v>1</v>
      </c>
      <c r="BC160" s="65">
        <v>1</v>
      </c>
      <c r="BD160" s="65">
        <v>1</v>
      </c>
      <c r="BE160" s="65">
        <v>1</v>
      </c>
      <c r="BF160" s="65">
        <v>1</v>
      </c>
      <c r="BG160" s="65">
        <v>1</v>
      </c>
      <c r="BH160" s="65">
        <v>2</v>
      </c>
      <c r="BI160" s="65">
        <v>2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10</v>
      </c>
      <c r="CT160" s="65">
        <v>8</v>
      </c>
      <c r="CU160" s="65">
        <v>7</v>
      </c>
      <c r="CV160" s="65">
        <v>9</v>
      </c>
      <c r="CW160" s="65">
        <v>12</v>
      </c>
      <c r="CX160" s="65">
        <v>3</v>
      </c>
      <c r="CY160" s="65">
        <v>4</v>
      </c>
      <c r="CZ160" s="65">
        <v>4</v>
      </c>
      <c r="DA160" s="65">
        <v>5</v>
      </c>
      <c r="DB160" s="65">
        <v>5</v>
      </c>
      <c r="DC160" s="65">
        <v>6</v>
      </c>
      <c r="DD160" s="65">
        <v>6</v>
      </c>
      <c r="DE160" s="65">
        <v>3</v>
      </c>
      <c r="DF160" s="65">
        <v>5</v>
      </c>
      <c r="DG160" s="65">
        <v>4</v>
      </c>
      <c r="DH160" s="65">
        <v>3</v>
      </c>
      <c r="DI160" s="65">
        <v>4</v>
      </c>
      <c r="DJ160" s="65">
        <v>8</v>
      </c>
      <c r="DK160" s="65">
        <v>7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 t="s">
        <v>721</v>
      </c>
      <c r="DU160" s="2" t="s">
        <v>490</v>
      </c>
      <c r="DW160" s="2" t="s">
        <v>16</v>
      </c>
      <c r="DX160" s="2" t="s">
        <v>807</v>
      </c>
      <c r="DY160" s="2">
        <v>4</v>
      </c>
      <c r="DZ160" s="2">
        <v>4</v>
      </c>
      <c r="EA160" s="2">
        <v>3</v>
      </c>
      <c r="EB160" s="2">
        <v>3</v>
      </c>
      <c r="EC160" s="2">
        <v>5</v>
      </c>
      <c r="ED160" s="2">
        <v>3</v>
      </c>
      <c r="EE160" s="2">
        <v>4</v>
      </c>
      <c r="EF160" s="2">
        <v>4</v>
      </c>
      <c r="EG160" s="2">
        <v>5</v>
      </c>
      <c r="EH160" s="2">
        <v>5</v>
      </c>
      <c r="EI160" s="2">
        <v>6</v>
      </c>
      <c r="EJ160" s="2">
        <v>6</v>
      </c>
      <c r="EK160" s="2">
        <v>3</v>
      </c>
      <c r="EL160" s="2">
        <v>5</v>
      </c>
      <c r="EM160" s="2">
        <v>4</v>
      </c>
      <c r="EN160" s="2">
        <v>3</v>
      </c>
      <c r="EO160" s="2">
        <v>4</v>
      </c>
      <c r="EP160" s="2">
        <v>4</v>
      </c>
      <c r="EQ160" s="2">
        <v>3</v>
      </c>
      <c r="ER160" s="2">
        <v>6</v>
      </c>
      <c r="ES160" s="2">
        <v>4</v>
      </c>
      <c r="ET160" s="2">
        <v>4</v>
      </c>
      <c r="EU160" s="2">
        <v>6</v>
      </c>
      <c r="EV160" s="2">
        <v>7</v>
      </c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>
        <v>4</v>
      </c>
      <c r="FJ160" s="2">
        <v>4</v>
      </c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</row>
    <row r="161" spans="1:200" x14ac:dyDescent="0.25">
      <c r="A161" s="2" t="s">
        <v>1001</v>
      </c>
      <c r="B161" s="2" t="s">
        <v>408</v>
      </c>
      <c r="C161" s="2" t="s">
        <v>1002</v>
      </c>
      <c r="D161" s="2">
        <v>3</v>
      </c>
      <c r="E161" s="2">
        <v>0</v>
      </c>
      <c r="F161" s="2">
        <v>5</v>
      </c>
      <c r="G161" s="2">
        <v>1</v>
      </c>
      <c r="H161" s="2">
        <v>3</v>
      </c>
      <c r="I161" s="2">
        <v>6</v>
      </c>
      <c r="J161" s="2">
        <v>66</v>
      </c>
      <c r="K161" s="2">
        <v>999</v>
      </c>
      <c r="L161" s="2">
        <v>0</v>
      </c>
      <c r="M161" s="2">
        <v>0</v>
      </c>
      <c r="N161" s="2">
        <v>0</v>
      </c>
      <c r="O161" s="2">
        <v>1065</v>
      </c>
      <c r="P161" s="2">
        <v>1065</v>
      </c>
      <c r="Q161" s="2">
        <v>1065</v>
      </c>
      <c r="R161" s="2">
        <v>1065</v>
      </c>
      <c r="S161" s="2">
        <v>0</v>
      </c>
      <c r="U161" s="2">
        <v>0</v>
      </c>
      <c r="V161" s="2" t="e">
        <v>#DIV/0!</v>
      </c>
      <c r="W161" s="2">
        <v>0</v>
      </c>
      <c r="X161" s="2" t="e">
        <v>#DIV/0!</v>
      </c>
      <c r="Y161" s="2">
        <v>3</v>
      </c>
      <c r="Z161" s="2">
        <v>6</v>
      </c>
      <c r="AG161" s="2">
        <v>32</v>
      </c>
      <c r="AH161" s="2" t="s">
        <v>807</v>
      </c>
      <c r="AI161" s="2" t="s">
        <v>807</v>
      </c>
      <c r="AJ161" s="2" t="s">
        <v>807</v>
      </c>
      <c r="AK161" s="2" t="s">
        <v>807</v>
      </c>
      <c r="AL161" s="2">
        <v>70</v>
      </c>
      <c r="AM161" s="2">
        <v>0</v>
      </c>
      <c r="AP161" s="2">
        <v>1065.00161</v>
      </c>
      <c r="AQ161" s="65">
        <v>1</v>
      </c>
      <c r="AR161" s="65">
        <v>1</v>
      </c>
      <c r="AS161" s="65">
        <v>1</v>
      </c>
      <c r="AT161" s="65">
        <v>1</v>
      </c>
      <c r="AU161" s="65">
        <v>1</v>
      </c>
      <c r="AV161" s="65">
        <v>1</v>
      </c>
      <c r="AW161" s="65">
        <v>1</v>
      </c>
      <c r="AX161" s="65">
        <v>1</v>
      </c>
      <c r="AY161" s="65">
        <v>1</v>
      </c>
      <c r="AZ161" s="65">
        <v>1</v>
      </c>
      <c r="BA161" s="65">
        <v>1</v>
      </c>
      <c r="BB161" s="65">
        <v>1</v>
      </c>
      <c r="BC161" s="65">
        <v>1</v>
      </c>
      <c r="BD161" s="65">
        <v>1</v>
      </c>
      <c r="BE161" s="65">
        <v>1</v>
      </c>
      <c r="BF161" s="65">
        <v>1</v>
      </c>
      <c r="BG161" s="65">
        <v>1</v>
      </c>
      <c r="BH161" s="65">
        <v>1</v>
      </c>
      <c r="BI161" s="65">
        <v>1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1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1</v>
      </c>
      <c r="CD161" s="65">
        <v>1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3</v>
      </c>
      <c r="CT161" s="65">
        <v>2</v>
      </c>
      <c r="CU161" s="65">
        <v>3</v>
      </c>
      <c r="CV161" s="65">
        <v>3</v>
      </c>
      <c r="CW161" s="65">
        <v>5</v>
      </c>
      <c r="CX161" s="65">
        <v>3</v>
      </c>
      <c r="CY161" s="65">
        <v>3</v>
      </c>
      <c r="CZ161" s="65">
        <v>3</v>
      </c>
      <c r="DA161" s="65">
        <v>5</v>
      </c>
      <c r="DB161" s="65">
        <v>4</v>
      </c>
      <c r="DC161" s="65">
        <v>4</v>
      </c>
      <c r="DD161" s="65">
        <v>2</v>
      </c>
      <c r="DE161" s="65">
        <v>2</v>
      </c>
      <c r="DF161" s="65">
        <v>4</v>
      </c>
      <c r="DG161" s="65">
        <v>4</v>
      </c>
      <c r="DH161" s="65">
        <v>3</v>
      </c>
      <c r="DI161" s="65">
        <v>3</v>
      </c>
      <c r="DJ161" s="65">
        <v>6</v>
      </c>
      <c r="DK161" s="65">
        <v>4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 t="s">
        <v>722</v>
      </c>
      <c r="DU161" s="2" t="s">
        <v>488</v>
      </c>
      <c r="DW161" s="2" t="s">
        <v>1</v>
      </c>
      <c r="DX161" s="2" t="s">
        <v>807</v>
      </c>
      <c r="DY161" s="2">
        <v>3</v>
      </c>
      <c r="DZ161" s="2">
        <v>2</v>
      </c>
      <c r="EA161" s="2">
        <v>3</v>
      </c>
      <c r="EB161" s="2">
        <v>3</v>
      </c>
      <c r="EC161" s="2">
        <v>5</v>
      </c>
      <c r="ED161" s="2">
        <v>3</v>
      </c>
      <c r="EE161" s="2">
        <v>3</v>
      </c>
      <c r="EF161" s="2">
        <v>3</v>
      </c>
      <c r="EG161" s="2">
        <v>5</v>
      </c>
      <c r="EH161" s="2">
        <v>4</v>
      </c>
      <c r="EI161" s="2">
        <v>4</v>
      </c>
      <c r="EJ161" s="2">
        <v>2</v>
      </c>
      <c r="EK161" s="2">
        <v>2</v>
      </c>
      <c r="EL161" s="2">
        <v>4</v>
      </c>
      <c r="EM161" s="2">
        <v>4</v>
      </c>
      <c r="EN161" s="2">
        <v>3</v>
      </c>
      <c r="EO161" s="2">
        <v>3</v>
      </c>
      <c r="EP161" s="2">
        <v>6</v>
      </c>
      <c r="EQ161" s="2">
        <v>4</v>
      </c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</row>
    <row r="162" spans="1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0</v>
      </c>
      <c r="M162" s="2">
        <v>0</v>
      </c>
      <c r="N162" s="2">
        <v>0</v>
      </c>
      <c r="O162" s="2">
        <v>1998</v>
      </c>
      <c r="P162" s="2">
        <v>1998</v>
      </c>
      <c r="Q162" s="2">
        <v>1998</v>
      </c>
      <c r="R162" s="2">
        <v>1998</v>
      </c>
      <c r="S162" s="2">
        <v>0</v>
      </c>
      <c r="U162" s="2">
        <v>0</v>
      </c>
      <c r="V162" s="2" t="e">
        <v>#DIV/0!</v>
      </c>
      <c r="W162" s="2">
        <v>0</v>
      </c>
      <c r="X162" s="2" t="e">
        <v>#DIV/0!</v>
      </c>
      <c r="AG162" s="2" t="s">
        <v>807</v>
      </c>
      <c r="AH162" s="2" t="s">
        <v>807</v>
      </c>
      <c r="AI162" s="2" t="s">
        <v>807</v>
      </c>
      <c r="AJ162" s="2" t="s">
        <v>807</v>
      </c>
      <c r="AK162" s="2" t="s">
        <v>807</v>
      </c>
      <c r="AL162" s="2">
        <v>72</v>
      </c>
      <c r="AM162" s="2">
        <v>0</v>
      </c>
      <c r="AP162" s="2">
        <v>1998.00162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</row>
    <row r="163" spans="1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0</v>
      </c>
      <c r="M163" s="2">
        <v>0</v>
      </c>
      <c r="N163" s="2">
        <v>0</v>
      </c>
      <c r="O163" s="2">
        <v>1998</v>
      </c>
      <c r="P163" s="2">
        <v>1998</v>
      </c>
      <c r="Q163" s="2">
        <v>1998</v>
      </c>
      <c r="R163" s="2">
        <v>1998</v>
      </c>
      <c r="S163" s="2">
        <v>0</v>
      </c>
      <c r="U163" s="2">
        <v>0</v>
      </c>
      <c r="V163" s="2" t="e">
        <v>#DIV/0!</v>
      </c>
      <c r="W163" s="2">
        <v>0</v>
      </c>
      <c r="X163" s="2" t="e">
        <v>#DIV/0!</v>
      </c>
      <c r="AG163" s="2" t="s">
        <v>807</v>
      </c>
      <c r="AH163" s="2" t="s">
        <v>807</v>
      </c>
      <c r="AI163" s="2" t="s">
        <v>807</v>
      </c>
      <c r="AJ163" s="2" t="s">
        <v>807</v>
      </c>
      <c r="AK163" s="2" t="s">
        <v>807</v>
      </c>
      <c r="AL163" s="2">
        <v>73</v>
      </c>
      <c r="AM163" s="2">
        <v>0</v>
      </c>
      <c r="AP163" s="2">
        <v>1998.00163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</row>
    <row r="164" spans="1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0</v>
      </c>
      <c r="M164" s="2">
        <v>0</v>
      </c>
      <c r="N164" s="2">
        <v>0</v>
      </c>
      <c r="O164" s="2">
        <v>1998</v>
      </c>
      <c r="P164" s="2">
        <v>1998</v>
      </c>
      <c r="Q164" s="2">
        <v>1998</v>
      </c>
      <c r="R164" s="2">
        <v>1998</v>
      </c>
      <c r="S164" s="2">
        <v>0</v>
      </c>
      <c r="U164" s="2">
        <v>0</v>
      </c>
      <c r="V164" s="2" t="e">
        <v>#DIV/0!</v>
      </c>
      <c r="W164" s="2">
        <v>0</v>
      </c>
      <c r="X164" s="2" t="e">
        <v>#DIV/0!</v>
      </c>
      <c r="AG164" s="2" t="s">
        <v>807</v>
      </c>
      <c r="AH164" s="2" t="s">
        <v>807</v>
      </c>
      <c r="AI164" s="2" t="s">
        <v>807</v>
      </c>
      <c r="AJ164" s="2" t="s">
        <v>807</v>
      </c>
      <c r="AK164" s="2" t="s">
        <v>807</v>
      </c>
      <c r="AL164" s="2">
        <v>74</v>
      </c>
      <c r="AM164" s="2">
        <v>0</v>
      </c>
      <c r="AP164" s="2">
        <v>1998.00164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</row>
    <row r="165" spans="1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0</v>
      </c>
      <c r="M165" s="2">
        <v>0</v>
      </c>
      <c r="N165" s="2">
        <v>0</v>
      </c>
      <c r="O165" s="2">
        <v>1998</v>
      </c>
      <c r="P165" s="2">
        <v>1998</v>
      </c>
      <c r="Q165" s="2">
        <v>1998</v>
      </c>
      <c r="R165" s="2">
        <v>1998</v>
      </c>
      <c r="S165" s="2">
        <v>0</v>
      </c>
      <c r="U165" s="2">
        <v>0</v>
      </c>
      <c r="V165" s="2" t="e">
        <v>#DIV/0!</v>
      </c>
      <c r="W165" s="2">
        <v>0</v>
      </c>
      <c r="X165" s="2" t="e">
        <v>#DIV/0!</v>
      </c>
      <c r="AG165" s="2" t="s">
        <v>807</v>
      </c>
      <c r="AH165" s="2" t="s">
        <v>807</v>
      </c>
      <c r="AI165" s="2" t="s">
        <v>807</v>
      </c>
      <c r="AJ165" s="2" t="s">
        <v>807</v>
      </c>
      <c r="AK165" s="2" t="s">
        <v>807</v>
      </c>
      <c r="AL165" s="2">
        <v>75</v>
      </c>
      <c r="AM165" s="2">
        <v>0</v>
      </c>
      <c r="AP165" s="2">
        <v>1998.0016499999999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</row>
    <row r="166" spans="1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0</v>
      </c>
      <c r="M166" s="2">
        <v>0</v>
      </c>
      <c r="N166" s="2">
        <v>0</v>
      </c>
      <c r="O166" s="2">
        <v>1998</v>
      </c>
      <c r="P166" s="2">
        <v>1998</v>
      </c>
      <c r="Q166" s="2">
        <v>1998</v>
      </c>
      <c r="R166" s="2">
        <v>1998</v>
      </c>
      <c r="S166" s="2">
        <v>0</v>
      </c>
      <c r="U166" s="2">
        <v>0</v>
      </c>
      <c r="V166" s="2" t="e">
        <v>#DIV/0!</v>
      </c>
      <c r="W166" s="2">
        <v>0</v>
      </c>
      <c r="X166" s="2" t="e">
        <v>#DIV/0!</v>
      </c>
      <c r="AG166" s="2" t="s">
        <v>807</v>
      </c>
      <c r="AH166" s="2" t="s">
        <v>807</v>
      </c>
      <c r="AI166" s="2" t="s">
        <v>807</v>
      </c>
      <c r="AJ166" s="2" t="s">
        <v>807</v>
      </c>
      <c r="AK166" s="2" t="s">
        <v>807</v>
      </c>
      <c r="AL166" s="2">
        <v>76</v>
      </c>
      <c r="AM166" s="2">
        <v>0</v>
      </c>
      <c r="AP166" s="2">
        <v>1998.0016599999999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</row>
    <row r="167" spans="1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0</v>
      </c>
      <c r="M167" s="2">
        <v>0</v>
      </c>
      <c r="N167" s="2">
        <v>0</v>
      </c>
      <c r="O167" s="2">
        <v>1998</v>
      </c>
      <c r="P167" s="2">
        <v>1998</v>
      </c>
      <c r="Q167" s="2">
        <v>1998</v>
      </c>
      <c r="R167" s="2">
        <v>1998</v>
      </c>
      <c r="S167" s="2">
        <v>0</v>
      </c>
      <c r="U167" s="2">
        <v>0</v>
      </c>
      <c r="V167" s="2" t="e">
        <v>#DIV/0!</v>
      </c>
      <c r="W167" s="2">
        <v>0</v>
      </c>
      <c r="X167" s="2" t="e">
        <v>#DIV/0!</v>
      </c>
      <c r="AG167" s="2" t="s">
        <v>807</v>
      </c>
      <c r="AH167" s="2" t="s">
        <v>807</v>
      </c>
      <c r="AI167" s="2" t="s">
        <v>807</v>
      </c>
      <c r="AJ167" s="2" t="s">
        <v>807</v>
      </c>
      <c r="AK167" s="2" t="s">
        <v>807</v>
      </c>
      <c r="AL167" s="2">
        <v>77</v>
      </c>
      <c r="AM167" s="2">
        <v>0</v>
      </c>
      <c r="AP167" s="2">
        <v>1998.0016700000001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</row>
    <row r="168" spans="1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0</v>
      </c>
      <c r="M168" s="2">
        <v>0</v>
      </c>
      <c r="N168" s="2">
        <v>0</v>
      </c>
      <c r="O168" s="2">
        <v>1998</v>
      </c>
      <c r="P168" s="2">
        <v>1998</v>
      </c>
      <c r="Q168" s="2">
        <v>1998</v>
      </c>
      <c r="R168" s="2">
        <v>1998</v>
      </c>
      <c r="S168" s="2">
        <v>0</v>
      </c>
      <c r="U168" s="2">
        <v>0</v>
      </c>
      <c r="V168" s="2" t="e">
        <v>#DIV/0!</v>
      </c>
      <c r="W168" s="2">
        <v>0</v>
      </c>
      <c r="X168" s="2" t="e">
        <v>#DIV/0!</v>
      </c>
      <c r="AG168" s="2" t="s">
        <v>807</v>
      </c>
      <c r="AH168" s="2" t="s">
        <v>807</v>
      </c>
      <c r="AI168" s="2" t="s">
        <v>807</v>
      </c>
      <c r="AJ168" s="2" t="s">
        <v>807</v>
      </c>
      <c r="AK168" s="2" t="s">
        <v>807</v>
      </c>
      <c r="AL168" s="2">
        <v>78</v>
      </c>
      <c r="AM168" s="2">
        <v>0</v>
      </c>
      <c r="AP168" s="2">
        <v>1998.0016800000001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</row>
    <row r="169" spans="1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0</v>
      </c>
      <c r="M169" s="2">
        <v>0</v>
      </c>
      <c r="N169" s="2">
        <v>0</v>
      </c>
      <c r="O169" s="2">
        <v>1998</v>
      </c>
      <c r="P169" s="2">
        <v>1998</v>
      </c>
      <c r="Q169" s="2">
        <v>1998</v>
      </c>
      <c r="R169" s="2">
        <v>1998</v>
      </c>
      <c r="S169" s="2">
        <v>0</v>
      </c>
      <c r="U169" s="2">
        <v>0</v>
      </c>
      <c r="V169" s="2" t="e">
        <v>#DIV/0!</v>
      </c>
      <c r="W169" s="2">
        <v>0</v>
      </c>
      <c r="X169" s="2" t="e">
        <v>#DIV/0!</v>
      </c>
      <c r="AG169" s="2" t="s">
        <v>807</v>
      </c>
      <c r="AH169" s="2" t="s">
        <v>807</v>
      </c>
      <c r="AI169" s="2" t="s">
        <v>807</v>
      </c>
      <c r="AJ169" s="2" t="s">
        <v>807</v>
      </c>
      <c r="AK169" s="2" t="s">
        <v>807</v>
      </c>
      <c r="AL169" s="2">
        <v>79</v>
      </c>
      <c r="AM169" s="2">
        <v>0</v>
      </c>
      <c r="AP169" s="2">
        <v>1998.0016900000001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</row>
    <row r="170" spans="1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0</v>
      </c>
      <c r="M170" s="2">
        <v>0</v>
      </c>
      <c r="N170" s="2">
        <v>0</v>
      </c>
      <c r="O170" s="2">
        <v>1998</v>
      </c>
      <c r="P170" s="2">
        <v>1998</v>
      </c>
      <c r="Q170" s="2">
        <v>1998</v>
      </c>
      <c r="R170" s="2">
        <v>1998</v>
      </c>
      <c r="S170" s="2">
        <v>0</v>
      </c>
      <c r="U170" s="2">
        <v>0</v>
      </c>
      <c r="V170" s="2" t="e">
        <v>#DIV/0!</v>
      </c>
      <c r="W170" s="2">
        <v>0</v>
      </c>
      <c r="X170" s="2" t="e">
        <v>#DIV/0!</v>
      </c>
      <c r="AG170" s="2" t="s">
        <v>807</v>
      </c>
      <c r="AH170" s="2" t="s">
        <v>807</v>
      </c>
      <c r="AI170" s="2" t="s">
        <v>807</v>
      </c>
      <c r="AJ170" s="2" t="s">
        <v>807</v>
      </c>
      <c r="AK170" s="2" t="s">
        <v>807</v>
      </c>
      <c r="AL170" s="2">
        <v>80</v>
      </c>
      <c r="AM170" s="2">
        <v>0</v>
      </c>
      <c r="AP170" s="2">
        <v>1998.0017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</row>
    <row r="171" spans="1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0</v>
      </c>
      <c r="M171" s="2">
        <v>0</v>
      </c>
      <c r="N171" s="2">
        <v>0</v>
      </c>
      <c r="O171" s="2">
        <v>1998</v>
      </c>
      <c r="P171" s="2">
        <v>1998</v>
      </c>
      <c r="Q171" s="2">
        <v>1998</v>
      </c>
      <c r="R171" s="2">
        <v>1998</v>
      </c>
      <c r="S171" s="78">
        <v>0</v>
      </c>
      <c r="T171" s="2"/>
      <c r="U171" s="78">
        <v>0</v>
      </c>
      <c r="V171" s="2" t="e">
        <v>#DIV/0!</v>
      </c>
      <c r="W171" s="78">
        <v>0</v>
      </c>
      <c r="X171" s="2" t="e">
        <v>#DIV/0!</v>
      </c>
      <c r="Y171" s="2"/>
      <c r="Z171" s="2"/>
      <c r="AA171" s="2"/>
      <c r="AB171" s="2"/>
      <c r="AC171" s="2"/>
      <c r="AD171" s="2"/>
      <c r="AE171" s="2"/>
      <c r="AF171" s="2"/>
      <c r="AG171" s="2" t="s">
        <v>807</v>
      </c>
      <c r="AH171" s="2" t="s">
        <v>807</v>
      </c>
      <c r="AI171" s="2" t="s">
        <v>807</v>
      </c>
      <c r="AJ171" s="2" t="s">
        <v>807</v>
      </c>
      <c r="AK171" s="2" t="s">
        <v>807</v>
      </c>
      <c r="AL171" s="78">
        <v>81</v>
      </c>
      <c r="AM171" s="78">
        <v>0</v>
      </c>
      <c r="AP171" s="2">
        <v>1998.00171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</row>
    <row r="172" spans="1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0</v>
      </c>
      <c r="M172" s="2">
        <v>0</v>
      </c>
      <c r="N172" s="2">
        <v>0</v>
      </c>
      <c r="O172" s="2">
        <v>1998</v>
      </c>
      <c r="P172" s="2">
        <v>1998</v>
      </c>
      <c r="Q172" s="2">
        <v>1998</v>
      </c>
      <c r="R172" s="2">
        <v>1998</v>
      </c>
      <c r="S172" s="78">
        <v>0</v>
      </c>
      <c r="T172" s="2"/>
      <c r="U172" s="78">
        <v>0</v>
      </c>
      <c r="V172" s="2" t="e">
        <v>#DIV/0!</v>
      </c>
      <c r="W172" s="78">
        <v>0</v>
      </c>
      <c r="X172" s="2" t="e">
        <v>#DIV/0!</v>
      </c>
      <c r="Y172" s="2"/>
      <c r="Z172" s="2"/>
      <c r="AA172" s="2"/>
      <c r="AB172" s="2"/>
      <c r="AC172" s="2"/>
      <c r="AD172" s="2"/>
      <c r="AE172" s="2"/>
      <c r="AF172" s="2"/>
      <c r="AG172" s="2" t="s">
        <v>807</v>
      </c>
      <c r="AH172" s="2" t="s">
        <v>807</v>
      </c>
      <c r="AI172" s="2" t="s">
        <v>807</v>
      </c>
      <c r="AJ172" s="2" t="s">
        <v>807</v>
      </c>
      <c r="AK172" s="2" t="s">
        <v>807</v>
      </c>
      <c r="AL172" s="78">
        <v>82</v>
      </c>
      <c r="AM172" s="78">
        <v>0</v>
      </c>
      <c r="AP172" s="2">
        <v>1998.00172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1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0</v>
      </c>
      <c r="M173" s="2">
        <v>0</v>
      </c>
      <c r="N173" s="2">
        <v>0</v>
      </c>
      <c r="O173" s="2">
        <v>1998</v>
      </c>
      <c r="P173" s="2">
        <v>1998</v>
      </c>
      <c r="Q173" s="2">
        <v>1998</v>
      </c>
      <c r="R173" s="2">
        <v>1998</v>
      </c>
      <c r="S173" s="78">
        <v>0</v>
      </c>
      <c r="T173" s="2"/>
      <c r="U173" s="78">
        <v>0</v>
      </c>
      <c r="V173" s="2" t="e">
        <v>#DIV/0!</v>
      </c>
      <c r="W173" s="78">
        <v>0</v>
      </c>
      <c r="X173" s="2" t="e">
        <v>#DIV/0!</v>
      </c>
      <c r="Y173" s="2"/>
      <c r="Z173" s="2"/>
      <c r="AA173" s="2"/>
      <c r="AB173" s="2"/>
      <c r="AC173" s="2"/>
      <c r="AD173" s="2"/>
      <c r="AE173" s="2"/>
      <c r="AF173" s="2"/>
      <c r="AG173" s="2" t="s">
        <v>807</v>
      </c>
      <c r="AH173" s="2" t="s">
        <v>807</v>
      </c>
      <c r="AI173" s="2" t="s">
        <v>807</v>
      </c>
      <c r="AJ173" s="2" t="s">
        <v>807</v>
      </c>
      <c r="AK173" s="2" t="s">
        <v>807</v>
      </c>
      <c r="AL173" s="78">
        <v>83</v>
      </c>
      <c r="AM173" s="78">
        <v>0</v>
      </c>
      <c r="AP173" s="2">
        <v>1998.00173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1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0</v>
      </c>
      <c r="M174" s="2">
        <v>0</v>
      </c>
      <c r="N174" s="2">
        <v>0</v>
      </c>
      <c r="O174" s="2">
        <v>1998</v>
      </c>
      <c r="P174" s="2">
        <v>1998</v>
      </c>
      <c r="Q174" s="2">
        <v>1998</v>
      </c>
      <c r="R174" s="2">
        <v>1998</v>
      </c>
      <c r="S174" s="78">
        <v>0</v>
      </c>
      <c r="T174" s="2"/>
      <c r="U174" s="78">
        <v>0</v>
      </c>
      <c r="V174" s="2" t="e">
        <v>#DIV/0!</v>
      </c>
      <c r="W174" s="78">
        <v>0</v>
      </c>
      <c r="X174" s="2" t="e">
        <v>#DIV/0!</v>
      </c>
      <c r="Y174" s="2"/>
      <c r="Z174" s="2"/>
      <c r="AA174" s="2"/>
      <c r="AB174" s="2"/>
      <c r="AC174" s="2"/>
      <c r="AD174" s="2"/>
      <c r="AE174" s="2"/>
      <c r="AF174" s="2"/>
      <c r="AG174" s="2" t="s">
        <v>807</v>
      </c>
      <c r="AH174" s="2" t="s">
        <v>807</v>
      </c>
      <c r="AI174" s="2" t="s">
        <v>807</v>
      </c>
      <c r="AJ174" s="2" t="s">
        <v>807</v>
      </c>
      <c r="AK174" s="2" t="s">
        <v>807</v>
      </c>
      <c r="AL174" s="78">
        <v>84</v>
      </c>
      <c r="AM174" s="78">
        <v>0</v>
      </c>
      <c r="AP174" s="2">
        <v>1998.0017399999999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1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0</v>
      </c>
      <c r="M175" s="2">
        <v>0</v>
      </c>
      <c r="N175" s="2">
        <v>0</v>
      </c>
      <c r="O175" s="2">
        <v>1998</v>
      </c>
      <c r="P175" s="2">
        <v>1998</v>
      </c>
      <c r="Q175" s="2">
        <v>1998</v>
      </c>
      <c r="R175" s="2">
        <v>1998</v>
      </c>
      <c r="S175" s="78">
        <v>0</v>
      </c>
      <c r="T175" s="2"/>
      <c r="U175" s="78">
        <v>0</v>
      </c>
      <c r="V175" s="2" t="e">
        <v>#DIV/0!</v>
      </c>
      <c r="W175" s="78">
        <v>0</v>
      </c>
      <c r="X175" s="2" t="e">
        <v>#DIV/0!</v>
      </c>
      <c r="Y175" s="2"/>
      <c r="Z175" s="2"/>
      <c r="AA175" s="2"/>
      <c r="AB175" s="2"/>
      <c r="AC175" s="2"/>
      <c r="AD175" s="2"/>
      <c r="AE175" s="2"/>
      <c r="AF175" s="2"/>
      <c r="AG175" s="2" t="s">
        <v>807</v>
      </c>
      <c r="AH175" s="2" t="s">
        <v>807</v>
      </c>
      <c r="AI175" s="2" t="s">
        <v>807</v>
      </c>
      <c r="AJ175" s="2" t="s">
        <v>807</v>
      </c>
      <c r="AK175" s="2" t="s">
        <v>807</v>
      </c>
      <c r="AL175" s="78">
        <v>85</v>
      </c>
      <c r="AM175" s="78">
        <v>0</v>
      </c>
      <c r="AP175" s="2">
        <v>1998.0017499999999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1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0</v>
      </c>
      <c r="M176" s="2">
        <v>0</v>
      </c>
      <c r="N176" s="2">
        <v>0</v>
      </c>
      <c r="O176" s="2">
        <v>1998</v>
      </c>
      <c r="P176" s="2">
        <v>1998</v>
      </c>
      <c r="Q176" s="2">
        <v>1998</v>
      </c>
      <c r="R176" s="2">
        <v>1998</v>
      </c>
      <c r="S176" s="78">
        <v>0</v>
      </c>
      <c r="T176" s="2"/>
      <c r="U176" s="78">
        <v>0</v>
      </c>
      <c r="V176" s="2" t="e">
        <v>#DIV/0!</v>
      </c>
      <c r="W176" s="78">
        <v>0</v>
      </c>
      <c r="X176" s="2" t="e">
        <v>#DIV/0!</v>
      </c>
      <c r="Y176" s="2"/>
      <c r="Z176" s="2"/>
      <c r="AA176" s="2"/>
      <c r="AB176" s="2"/>
      <c r="AC176" s="2"/>
      <c r="AD176" s="2"/>
      <c r="AE176" s="2"/>
      <c r="AF176" s="2"/>
      <c r="AG176" s="2" t="s">
        <v>807</v>
      </c>
      <c r="AH176" s="2" t="s">
        <v>807</v>
      </c>
      <c r="AI176" s="2" t="s">
        <v>807</v>
      </c>
      <c r="AJ176" s="2" t="s">
        <v>807</v>
      </c>
      <c r="AK176" s="2" t="s">
        <v>807</v>
      </c>
      <c r="AL176" s="78">
        <v>86</v>
      </c>
      <c r="AM176" s="78">
        <v>0</v>
      </c>
      <c r="AP176" s="2">
        <v>1998.0017600000001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0</v>
      </c>
      <c r="M177" s="2">
        <v>0</v>
      </c>
      <c r="N177" s="2">
        <v>0</v>
      </c>
      <c r="O177" s="2">
        <v>1998</v>
      </c>
      <c r="P177" s="2">
        <v>1998</v>
      </c>
      <c r="Q177" s="2">
        <v>1998</v>
      </c>
      <c r="R177" s="2">
        <v>1998</v>
      </c>
      <c r="S177" s="78">
        <v>0</v>
      </c>
      <c r="T177" s="2"/>
      <c r="U177" s="78">
        <v>0</v>
      </c>
      <c r="V177" s="2" t="e">
        <v>#DIV/0!</v>
      </c>
      <c r="W177" s="78">
        <v>0</v>
      </c>
      <c r="X177" s="2" t="e">
        <v>#DIV/0!</v>
      </c>
      <c r="Y177" s="2"/>
      <c r="Z177" s="2"/>
      <c r="AA177" s="2"/>
      <c r="AB177" s="2"/>
      <c r="AC177" s="2"/>
      <c r="AD177" s="2"/>
      <c r="AE177" s="2"/>
      <c r="AF177" s="2"/>
      <c r="AG177" s="2" t="s">
        <v>807</v>
      </c>
      <c r="AH177" s="2" t="s">
        <v>807</v>
      </c>
      <c r="AI177" s="2" t="s">
        <v>807</v>
      </c>
      <c r="AJ177" s="2" t="s">
        <v>807</v>
      </c>
      <c r="AK177" s="2" t="s">
        <v>807</v>
      </c>
      <c r="AL177" s="78">
        <v>87</v>
      </c>
      <c r="AM177" s="78">
        <v>0</v>
      </c>
      <c r="AP177" s="2">
        <v>1998.0017700000001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0</v>
      </c>
      <c r="M178" s="2">
        <v>0</v>
      </c>
      <c r="N178" s="2">
        <v>0</v>
      </c>
      <c r="O178" s="2">
        <v>1998</v>
      </c>
      <c r="P178" s="2">
        <v>1998</v>
      </c>
      <c r="Q178" s="2">
        <v>1998</v>
      </c>
      <c r="R178" s="2">
        <v>1998</v>
      </c>
      <c r="S178" s="78">
        <v>0</v>
      </c>
      <c r="T178" s="2"/>
      <c r="U178" s="78">
        <v>0</v>
      </c>
      <c r="V178" s="2" t="e">
        <v>#DIV/0!</v>
      </c>
      <c r="W178" s="78">
        <v>0</v>
      </c>
      <c r="X178" s="2" t="e">
        <v>#DIV/0!</v>
      </c>
      <c r="Y178" s="2"/>
      <c r="Z178" s="2"/>
      <c r="AA178" s="2"/>
      <c r="AB178" s="2"/>
      <c r="AC178" s="2"/>
      <c r="AD178" s="2"/>
      <c r="AE178" s="2"/>
      <c r="AF178" s="2"/>
      <c r="AG178" s="2" t="s">
        <v>807</v>
      </c>
      <c r="AH178" s="2" t="s">
        <v>807</v>
      </c>
      <c r="AI178" s="2" t="s">
        <v>807</v>
      </c>
      <c r="AJ178" s="2" t="s">
        <v>807</v>
      </c>
      <c r="AK178" s="2" t="s">
        <v>807</v>
      </c>
      <c r="AL178" s="78">
        <v>88</v>
      </c>
      <c r="AM178" s="78">
        <v>0</v>
      </c>
      <c r="AP178" s="2">
        <v>1998.0017800000001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0</v>
      </c>
      <c r="M179" s="2">
        <v>0</v>
      </c>
      <c r="N179" s="2">
        <v>0</v>
      </c>
      <c r="O179" s="2">
        <v>1998</v>
      </c>
      <c r="P179" s="2">
        <v>1998</v>
      </c>
      <c r="Q179" s="2">
        <v>1998</v>
      </c>
      <c r="R179" s="2">
        <v>1998</v>
      </c>
      <c r="S179" s="78">
        <v>0</v>
      </c>
      <c r="T179" s="2"/>
      <c r="U179" s="78">
        <v>0</v>
      </c>
      <c r="V179" s="2" t="e">
        <v>#DIV/0!</v>
      </c>
      <c r="W179" s="78">
        <v>0</v>
      </c>
      <c r="X179" s="2" t="e">
        <v>#DIV/0!</v>
      </c>
      <c r="Y179" s="2"/>
      <c r="Z179" s="2"/>
      <c r="AA179" s="2"/>
      <c r="AB179" s="2"/>
      <c r="AC179" s="2"/>
      <c r="AD179" s="2"/>
      <c r="AE179" s="2"/>
      <c r="AF179" s="2"/>
      <c r="AG179" s="2" t="s">
        <v>807</v>
      </c>
      <c r="AH179" s="2" t="s">
        <v>807</v>
      </c>
      <c r="AI179" s="2" t="s">
        <v>807</v>
      </c>
      <c r="AJ179" s="2" t="s">
        <v>807</v>
      </c>
      <c r="AK179" s="2" t="s">
        <v>807</v>
      </c>
      <c r="AL179" s="78">
        <v>89</v>
      </c>
      <c r="AM179" s="78">
        <v>0</v>
      </c>
      <c r="AP179" s="2">
        <v>1998.00179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0</v>
      </c>
      <c r="M180" s="2">
        <v>0</v>
      </c>
      <c r="N180" s="2">
        <v>0</v>
      </c>
      <c r="O180" s="2">
        <v>1998</v>
      </c>
      <c r="P180" s="2">
        <v>1998</v>
      </c>
      <c r="Q180" s="2">
        <v>1998</v>
      </c>
      <c r="R180" s="2">
        <v>1998</v>
      </c>
      <c r="S180" s="78">
        <v>0</v>
      </c>
      <c r="T180" s="2"/>
      <c r="U180" s="78">
        <v>0</v>
      </c>
      <c r="V180" s="2" t="e">
        <v>#DIV/0!</v>
      </c>
      <c r="W180" s="78">
        <v>0</v>
      </c>
      <c r="X180" s="2" t="e">
        <v>#DIV/0!</v>
      </c>
      <c r="Y180" s="2"/>
      <c r="Z180" s="2"/>
      <c r="AA180" s="2"/>
      <c r="AB180" s="2"/>
      <c r="AC180" s="2"/>
      <c r="AD180" s="2"/>
      <c r="AE180" s="2"/>
      <c r="AF180" s="2"/>
      <c r="AG180" s="2" t="s">
        <v>807</v>
      </c>
      <c r="AH180" s="2" t="s">
        <v>807</v>
      </c>
      <c r="AI180" s="2" t="s">
        <v>807</v>
      </c>
      <c r="AJ180" s="2" t="s">
        <v>807</v>
      </c>
      <c r="AK180" s="2" t="s">
        <v>807</v>
      </c>
      <c r="AL180" s="78">
        <v>90</v>
      </c>
      <c r="AM180" s="78">
        <v>0</v>
      </c>
      <c r="AP180" s="2">
        <v>1998.0018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0</v>
      </c>
      <c r="M181" s="2">
        <v>0</v>
      </c>
      <c r="N181" s="2">
        <v>0</v>
      </c>
      <c r="O181" s="2">
        <v>1998</v>
      </c>
      <c r="P181" s="2">
        <v>1998</v>
      </c>
      <c r="Q181" s="2">
        <v>1998</v>
      </c>
      <c r="R181" s="2">
        <v>1998</v>
      </c>
      <c r="S181" s="78">
        <v>0</v>
      </c>
      <c r="T181" s="2"/>
      <c r="U181" s="78">
        <v>0</v>
      </c>
      <c r="V181" s="2" t="e">
        <v>#DIV/0!</v>
      </c>
      <c r="W181" s="78">
        <v>0</v>
      </c>
      <c r="X181" s="2" t="e">
        <v>#DIV/0!</v>
      </c>
      <c r="Y181" s="2"/>
      <c r="Z181" s="2"/>
      <c r="AA181" s="2"/>
      <c r="AB181" s="2"/>
      <c r="AC181" s="2"/>
      <c r="AD181" s="2"/>
      <c r="AE181" s="2"/>
      <c r="AF181" s="2"/>
      <c r="AG181" s="2" t="s">
        <v>807</v>
      </c>
      <c r="AH181" s="2" t="s">
        <v>807</v>
      </c>
      <c r="AI181" s="2" t="s">
        <v>807</v>
      </c>
      <c r="AJ181" s="2" t="s">
        <v>807</v>
      </c>
      <c r="AK181" s="2" t="s">
        <v>807</v>
      </c>
      <c r="AL181" s="78">
        <v>91</v>
      </c>
      <c r="AM181" s="78">
        <v>0</v>
      </c>
      <c r="AP181" s="2">
        <v>1998.00181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0</v>
      </c>
      <c r="M182" s="2">
        <v>0</v>
      </c>
      <c r="N182" s="2">
        <v>0</v>
      </c>
      <c r="O182" s="2">
        <v>1998</v>
      </c>
      <c r="P182" s="2">
        <v>1998</v>
      </c>
      <c r="Q182" s="2">
        <v>1998</v>
      </c>
      <c r="R182" s="2">
        <v>1998</v>
      </c>
      <c r="S182" s="78">
        <v>0</v>
      </c>
      <c r="T182" s="2"/>
      <c r="U182" s="78">
        <v>0</v>
      </c>
      <c r="V182" s="2" t="e">
        <v>#DIV/0!</v>
      </c>
      <c r="W182" s="78">
        <v>0</v>
      </c>
      <c r="X182" s="2" t="e">
        <v>#DIV/0!</v>
      </c>
      <c r="Y182" s="2"/>
      <c r="Z182" s="2"/>
      <c r="AA182" s="2"/>
      <c r="AB182" s="2"/>
      <c r="AC182" s="2"/>
      <c r="AD182" s="2"/>
      <c r="AE182" s="2"/>
      <c r="AF182" s="2"/>
      <c r="AG182" s="2" t="s">
        <v>807</v>
      </c>
      <c r="AH182" s="2" t="s">
        <v>807</v>
      </c>
      <c r="AI182" s="2" t="s">
        <v>807</v>
      </c>
      <c r="AJ182" s="2" t="s">
        <v>807</v>
      </c>
      <c r="AK182" s="2" t="s">
        <v>807</v>
      </c>
      <c r="AL182" s="78">
        <v>92</v>
      </c>
      <c r="AM182" s="78">
        <v>0</v>
      </c>
      <c r="AP182" s="2">
        <v>1998.00182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0</v>
      </c>
      <c r="M183" s="2">
        <v>0</v>
      </c>
      <c r="N183" s="2">
        <v>0</v>
      </c>
      <c r="O183" s="2">
        <v>1998</v>
      </c>
      <c r="P183" s="2">
        <v>1998</v>
      </c>
      <c r="Q183" s="2">
        <v>1998</v>
      </c>
      <c r="R183" s="2">
        <v>1998</v>
      </c>
      <c r="S183" s="78">
        <v>0</v>
      </c>
      <c r="T183" s="2"/>
      <c r="U183" s="78">
        <v>0</v>
      </c>
      <c r="V183" s="2" t="e">
        <v>#DIV/0!</v>
      </c>
      <c r="W183" s="78">
        <v>0</v>
      </c>
      <c r="X183" s="2" t="e">
        <v>#DIV/0!</v>
      </c>
      <c r="Y183" s="2"/>
      <c r="Z183" s="2"/>
      <c r="AA183" s="2"/>
      <c r="AB183" s="2"/>
      <c r="AC183" s="2"/>
      <c r="AD183" s="2"/>
      <c r="AE183" s="2"/>
      <c r="AF183" s="2"/>
      <c r="AG183" s="2" t="s">
        <v>807</v>
      </c>
      <c r="AH183" s="2" t="s">
        <v>807</v>
      </c>
      <c r="AI183" s="2" t="s">
        <v>807</v>
      </c>
      <c r="AJ183" s="2" t="s">
        <v>807</v>
      </c>
      <c r="AK183" s="2" t="s">
        <v>807</v>
      </c>
      <c r="AL183" s="78">
        <v>93</v>
      </c>
      <c r="AM183" s="78">
        <v>0</v>
      </c>
      <c r="AP183" s="2">
        <v>1998.0018299999999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0</v>
      </c>
      <c r="M184" s="2">
        <v>0</v>
      </c>
      <c r="N184" s="2">
        <v>0</v>
      </c>
      <c r="O184" s="2">
        <v>1998</v>
      </c>
      <c r="P184" s="2">
        <v>1998</v>
      </c>
      <c r="Q184" s="2">
        <v>1998</v>
      </c>
      <c r="R184" s="2">
        <v>1998</v>
      </c>
      <c r="S184" s="78">
        <v>0</v>
      </c>
      <c r="T184" s="2"/>
      <c r="U184" s="78">
        <v>0</v>
      </c>
      <c r="V184" s="2" t="e">
        <v>#DIV/0!</v>
      </c>
      <c r="W184" s="78">
        <v>0</v>
      </c>
      <c r="X184" s="2" t="e">
        <v>#DIV/0!</v>
      </c>
      <c r="Y184" s="2"/>
      <c r="Z184" s="2"/>
      <c r="AA184" s="2"/>
      <c r="AB184" s="2"/>
      <c r="AC184" s="2"/>
      <c r="AD184" s="2"/>
      <c r="AE184" s="2"/>
      <c r="AF184" s="2"/>
      <c r="AG184" s="2" t="s">
        <v>807</v>
      </c>
      <c r="AH184" s="2" t="s">
        <v>807</v>
      </c>
      <c r="AI184" s="2" t="s">
        <v>807</v>
      </c>
      <c r="AJ184" s="2" t="s">
        <v>807</v>
      </c>
      <c r="AK184" s="2" t="s">
        <v>807</v>
      </c>
      <c r="AL184" s="78">
        <v>94</v>
      </c>
      <c r="AM184" s="78">
        <v>0</v>
      </c>
      <c r="AP184" s="2">
        <v>1998.0018399999999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0</v>
      </c>
      <c r="M185" s="2">
        <v>0</v>
      </c>
      <c r="N185" s="2">
        <v>0</v>
      </c>
      <c r="O185" s="2">
        <v>1998</v>
      </c>
      <c r="P185" s="2">
        <v>1998</v>
      </c>
      <c r="Q185" s="2">
        <v>1998</v>
      </c>
      <c r="R185" s="2">
        <v>1998</v>
      </c>
      <c r="S185" s="78">
        <v>0</v>
      </c>
      <c r="T185" s="2"/>
      <c r="U185" s="78">
        <v>0</v>
      </c>
      <c r="V185" s="2" t="e">
        <v>#DIV/0!</v>
      </c>
      <c r="W185" s="78">
        <v>0</v>
      </c>
      <c r="X185" s="2" t="e">
        <v>#DIV/0!</v>
      </c>
      <c r="Y185" s="2"/>
      <c r="Z185" s="2"/>
      <c r="AA185" s="2"/>
      <c r="AB185" s="2"/>
      <c r="AC185" s="2"/>
      <c r="AD185" s="2"/>
      <c r="AE185" s="2"/>
      <c r="AF185" s="2"/>
      <c r="AG185" s="2" t="s">
        <v>807</v>
      </c>
      <c r="AH185" s="2" t="s">
        <v>807</v>
      </c>
      <c r="AI185" s="2" t="s">
        <v>807</v>
      </c>
      <c r="AJ185" s="2" t="s">
        <v>807</v>
      </c>
      <c r="AK185" s="2" t="s">
        <v>807</v>
      </c>
      <c r="AL185" s="78">
        <v>95</v>
      </c>
      <c r="AM185" s="78">
        <v>0</v>
      </c>
      <c r="AP185" s="2">
        <v>1998.0018500000001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0</v>
      </c>
      <c r="M186" s="2">
        <v>0</v>
      </c>
      <c r="N186" s="2">
        <v>0</v>
      </c>
      <c r="O186" s="2">
        <v>1998</v>
      </c>
      <c r="P186" s="2">
        <v>1998</v>
      </c>
      <c r="Q186" s="2">
        <v>1998</v>
      </c>
      <c r="R186" s="2">
        <v>1998</v>
      </c>
      <c r="S186" s="78">
        <v>0</v>
      </c>
      <c r="T186" s="2"/>
      <c r="U186" s="78">
        <v>0</v>
      </c>
      <c r="V186" s="2" t="e">
        <v>#DIV/0!</v>
      </c>
      <c r="W186" s="78">
        <v>0</v>
      </c>
      <c r="X186" s="2" t="e">
        <v>#DIV/0!</v>
      </c>
      <c r="Y186" s="2"/>
      <c r="Z186" s="2"/>
      <c r="AA186" s="2"/>
      <c r="AB186" s="2"/>
      <c r="AC186" s="2"/>
      <c r="AD186" s="2"/>
      <c r="AE186" s="2"/>
      <c r="AF186" s="2"/>
      <c r="AG186" s="2" t="s">
        <v>807</v>
      </c>
      <c r="AH186" s="2" t="s">
        <v>807</v>
      </c>
      <c r="AI186" s="2" t="s">
        <v>807</v>
      </c>
      <c r="AJ186" s="2" t="s">
        <v>807</v>
      </c>
      <c r="AK186" s="2" t="s">
        <v>807</v>
      </c>
      <c r="AL186" s="78">
        <v>96</v>
      </c>
      <c r="AM186" s="78">
        <v>0</v>
      </c>
      <c r="AP186" s="2">
        <v>1998.0018600000001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0</v>
      </c>
      <c r="M187" s="2">
        <v>0</v>
      </c>
      <c r="N187" s="2">
        <v>0</v>
      </c>
      <c r="O187" s="2">
        <v>1998</v>
      </c>
      <c r="P187" s="2">
        <v>1998</v>
      </c>
      <c r="Q187" s="2">
        <v>1998</v>
      </c>
      <c r="R187" s="2">
        <v>1998</v>
      </c>
      <c r="S187" s="78">
        <v>0</v>
      </c>
      <c r="T187" s="2"/>
      <c r="U187" s="78">
        <v>0</v>
      </c>
      <c r="V187" s="2" t="e">
        <v>#DIV/0!</v>
      </c>
      <c r="W187" s="78">
        <v>0</v>
      </c>
      <c r="X187" s="2" t="e">
        <v>#DIV/0!</v>
      </c>
      <c r="Y187" s="2"/>
      <c r="Z187" s="2"/>
      <c r="AA187" s="2"/>
      <c r="AB187" s="2"/>
      <c r="AC187" s="2"/>
      <c r="AD187" s="2"/>
      <c r="AE187" s="2"/>
      <c r="AF187" s="2"/>
      <c r="AG187" s="2" t="s">
        <v>807</v>
      </c>
      <c r="AH187" s="2" t="s">
        <v>807</v>
      </c>
      <c r="AI187" s="2" t="s">
        <v>807</v>
      </c>
      <c r="AJ187" s="2" t="s">
        <v>807</v>
      </c>
      <c r="AK187" s="2" t="s">
        <v>807</v>
      </c>
      <c r="AL187" s="78">
        <v>97</v>
      </c>
      <c r="AM187" s="78">
        <v>0</v>
      </c>
      <c r="AP187" s="2">
        <v>1998.0018700000001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0</v>
      </c>
      <c r="M188" s="2">
        <v>0</v>
      </c>
      <c r="N188" s="2">
        <v>0</v>
      </c>
      <c r="O188" s="2">
        <v>1998</v>
      </c>
      <c r="P188" s="2">
        <v>1998</v>
      </c>
      <c r="Q188" s="2">
        <v>1998</v>
      </c>
      <c r="R188" s="2">
        <v>1998</v>
      </c>
      <c r="S188" s="78">
        <v>0</v>
      </c>
      <c r="T188" s="2"/>
      <c r="U188" s="78">
        <v>0</v>
      </c>
      <c r="V188" s="2" t="e">
        <v>#DIV/0!</v>
      </c>
      <c r="W188" s="78">
        <v>0</v>
      </c>
      <c r="X188" s="2" t="e">
        <v>#DIV/0!</v>
      </c>
      <c r="Y188" s="2"/>
      <c r="Z188" s="2"/>
      <c r="AA188" s="2"/>
      <c r="AB188" s="2"/>
      <c r="AC188" s="2"/>
      <c r="AD188" s="2"/>
      <c r="AE188" s="2"/>
      <c r="AF188" s="2"/>
      <c r="AG188" s="2" t="s">
        <v>807</v>
      </c>
      <c r="AH188" s="2" t="s">
        <v>807</v>
      </c>
      <c r="AI188" s="2" t="s">
        <v>807</v>
      </c>
      <c r="AJ188" s="2" t="s">
        <v>807</v>
      </c>
      <c r="AK188" s="2" t="s">
        <v>807</v>
      </c>
      <c r="AL188" s="78">
        <v>98</v>
      </c>
      <c r="AM188" s="78">
        <v>0</v>
      </c>
      <c r="AP188" s="2">
        <v>1998.00188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0</v>
      </c>
      <c r="M189" s="2">
        <v>0</v>
      </c>
      <c r="N189" s="2">
        <v>0</v>
      </c>
      <c r="O189" s="2">
        <v>1998</v>
      </c>
      <c r="P189" s="2">
        <v>1998</v>
      </c>
      <c r="Q189" s="2">
        <v>1998</v>
      </c>
      <c r="R189" s="2">
        <v>1998</v>
      </c>
      <c r="S189" s="78">
        <v>0</v>
      </c>
      <c r="T189" s="2"/>
      <c r="U189" s="78">
        <v>0</v>
      </c>
      <c r="V189" s="2" t="e">
        <v>#DIV/0!</v>
      </c>
      <c r="W189" s="78">
        <v>0</v>
      </c>
      <c r="X189" s="2" t="e">
        <v>#DIV/0!</v>
      </c>
      <c r="Y189" s="2"/>
      <c r="Z189" s="2"/>
      <c r="AA189" s="2"/>
      <c r="AB189" s="2"/>
      <c r="AC189" s="2"/>
      <c r="AD189" s="2"/>
      <c r="AE189" s="2"/>
      <c r="AF189" s="2"/>
      <c r="AG189" s="2" t="s">
        <v>807</v>
      </c>
      <c r="AH189" s="2" t="s">
        <v>807</v>
      </c>
      <c r="AI189" s="2" t="s">
        <v>807</v>
      </c>
      <c r="AJ189" s="2" t="s">
        <v>807</v>
      </c>
      <c r="AK189" s="2" t="s">
        <v>807</v>
      </c>
      <c r="AL189" s="78">
        <v>99</v>
      </c>
      <c r="AM189" s="78">
        <v>0</v>
      </c>
      <c r="AP189" s="2">
        <v>1998.00189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0</v>
      </c>
      <c r="M190" s="2">
        <v>0</v>
      </c>
      <c r="N190" s="2">
        <v>0</v>
      </c>
      <c r="O190" s="2">
        <v>1998</v>
      </c>
      <c r="P190" s="2">
        <v>1998</v>
      </c>
      <c r="Q190" s="2">
        <v>1998</v>
      </c>
      <c r="R190" s="2">
        <v>1998</v>
      </c>
      <c r="S190" s="78">
        <v>0</v>
      </c>
      <c r="T190" s="2"/>
      <c r="U190" s="78">
        <v>0</v>
      </c>
      <c r="V190" s="2" t="e">
        <v>#DIV/0!</v>
      </c>
      <c r="W190" s="78">
        <v>0</v>
      </c>
      <c r="X190" s="2" t="e">
        <v>#DIV/0!</v>
      </c>
      <c r="Y190" s="2"/>
      <c r="Z190" s="2"/>
      <c r="AA190" s="2"/>
      <c r="AB190" s="2"/>
      <c r="AC190" s="2"/>
      <c r="AD190" s="2"/>
      <c r="AE190" s="2"/>
      <c r="AF190" s="2"/>
      <c r="AG190" s="2" t="s">
        <v>807</v>
      </c>
      <c r="AH190" s="2" t="s">
        <v>807</v>
      </c>
      <c r="AI190" s="2" t="s">
        <v>807</v>
      </c>
      <c r="AJ190" s="2" t="s">
        <v>807</v>
      </c>
      <c r="AK190" s="2" t="s">
        <v>807</v>
      </c>
      <c r="AL190" s="78">
        <v>100</v>
      </c>
      <c r="AM190" s="78">
        <v>0</v>
      </c>
      <c r="AP190" s="2">
        <v>1998.0019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 filterMode="1"/>
  <dimension ref="A1:P1109"/>
  <sheetViews>
    <sheetView workbookViewId="0">
      <pane xSplit="1" ySplit="1" topLeftCell="L773" activePane="bottomRight" state="frozen"/>
      <selection pane="topRight" activeCell="B1" sqref="B1"/>
      <selection pane="bottomLeft" activeCell="A2" sqref="A2"/>
      <selection pane="bottomRight" activeCell="N1118" sqref="N1118"/>
    </sheetView>
  </sheetViews>
  <sheetFormatPr baseColWidth="10" defaultColWidth="11.42578125" defaultRowHeight="15" x14ac:dyDescent="0.25"/>
  <cols>
    <col min="1" max="1" width="51.42578125" style="298" customWidth="1"/>
    <col min="2" max="2" width="11.42578125" style="298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6" t="s">
        <v>63</v>
      </c>
      <c r="B1" s="286" t="s">
        <v>240</v>
      </c>
      <c r="C1" s="32" t="s">
        <v>36</v>
      </c>
      <c r="D1" s="32" t="s">
        <v>241</v>
      </c>
      <c r="E1" s="32" t="s">
        <v>242</v>
      </c>
      <c r="F1" s="32" t="s">
        <v>243</v>
      </c>
      <c r="G1" s="32" t="s">
        <v>244</v>
      </c>
      <c r="H1" s="32" t="s">
        <v>245</v>
      </c>
      <c r="I1" s="32" t="s">
        <v>246</v>
      </c>
      <c r="J1" s="32" t="s">
        <v>247</v>
      </c>
      <c r="L1" s="32" t="s">
        <v>248</v>
      </c>
      <c r="M1" s="32" t="s">
        <v>249</v>
      </c>
      <c r="N1" s="32" t="s">
        <v>250</v>
      </c>
      <c r="O1" s="32" t="s">
        <v>251</v>
      </c>
      <c r="P1" s="32" t="s">
        <v>252</v>
      </c>
    </row>
    <row r="2" spans="1:16" s="289" customFormat="1" hidden="1" x14ac:dyDescent="0.25">
      <c r="A2" s="287" t="s">
        <v>253</v>
      </c>
      <c r="B2" s="288"/>
      <c r="H2" s="289">
        <f>Parameter!B7-Parameter!E7-Parameter!F7</f>
        <v>2</v>
      </c>
      <c r="L2" s="289" t="str">
        <f>IF(H2&gt;0,"Men: "&amp;Parameter!$C$7-Parameter!$E$7&amp;" / Women: "&amp;Parameter!$D$7-Parameter!$F$7, "")</f>
        <v>Men: 1 / Women: 1</v>
      </c>
      <c r="M2" s="289" t="s">
        <v>254</v>
      </c>
      <c r="N2" s="289" t="s">
        <v>255</v>
      </c>
      <c r="O2" s="65">
        <f>IF(AND($P2&lt;&gt;"",$N2="yes"),1,0)</f>
        <v>1</v>
      </c>
      <c r="P2" s="65" t="str">
        <f>IF(H2&gt;0,H2&amp;" Player(s) didn't finish","")</f>
        <v>2 Player(s) didn't finish</v>
      </c>
    </row>
    <row r="3" spans="1:16" s="317" customFormat="1" hidden="1" x14ac:dyDescent="0.25">
      <c r="A3" s="290" t="s">
        <v>256</v>
      </c>
      <c r="B3" s="291"/>
      <c r="H3" s="317">
        <f>IF(AND(Parameter!$B$1&lt;&gt;Parameter!$B$2,Parameter!$B$2&gt;0),1,0)</f>
        <v>0</v>
      </c>
      <c r="L3" s="317" t="str">
        <f>""</f>
        <v/>
      </c>
      <c r="M3" s="317" t="s">
        <v>254</v>
      </c>
      <c r="N3" s="317" t="s">
        <v>255</v>
      </c>
      <c r="O3" s="78">
        <f>IF(AND($P3&lt;&gt;"",$N3="yes"),O2+1,O2)</f>
        <v>1</v>
      </c>
      <c r="P3" s="78" t="str">
        <f>IF(H3&gt;0,"Less holes in round 2 than in round 1","")</f>
        <v/>
      </c>
    </row>
    <row r="4" spans="1:16" s="317" customFormat="1" hidden="1" x14ac:dyDescent="0.25">
      <c r="A4" s="290" t="s">
        <v>257</v>
      </c>
      <c r="B4" s="291"/>
      <c r="H4" s="317">
        <f>IF(AND(Parameter!$B$2&lt;&gt;Parameter!$B$3,Parameter!$B$3&gt;0),1,0)</f>
        <v>0</v>
      </c>
      <c r="L4" s="317" t="str">
        <f>""</f>
        <v/>
      </c>
      <c r="M4" s="317" t="s">
        <v>254</v>
      </c>
      <c r="N4" s="317" t="s">
        <v>255</v>
      </c>
      <c r="O4" s="78">
        <f t="shared" ref="O4:O67" si="0">IF(AND($P4&lt;&gt;"",$N4="yes"),O3+1,O3)</f>
        <v>1</v>
      </c>
      <c r="P4" s="78" t="str">
        <f>IF(H4&gt;0,"Less holes in round 3 than in round 2","")</f>
        <v/>
      </c>
    </row>
    <row r="5" spans="1:16" s="65" customFormat="1" hidden="1" x14ac:dyDescent="0.25">
      <c r="A5" s="288" t="s">
        <v>308</v>
      </c>
      <c r="B5" s="288"/>
      <c r="D5" s="65">
        <f>MIN($F1086:$F1088)</f>
        <v>54</v>
      </c>
      <c r="H5" s="65">
        <f>COUNTIF($F1086:$F1088,D5)</f>
        <v>1</v>
      </c>
      <c r="L5" s="65" t="str">
        <f>IF(H5=1,INDEX($K1086:$K1088,MATCH(D5,$F1086:$F1088,0))&amp;" / "&amp;SUBSTITUTE(INDEX($A1086:$A1088,MATCH(D5,$F1086:$F1088,0)),"Best ",""),"Several rounds or players")</f>
        <v>Dani Hatvani / Round 1</v>
      </c>
      <c r="M5" s="65" t="s">
        <v>254</v>
      </c>
      <c r="N5" s="65" t="s">
        <v>255</v>
      </c>
      <c r="O5" s="65">
        <f t="shared" si="0"/>
        <v>2</v>
      </c>
      <c r="P5" s="65" t="str">
        <f>"Best score in tournament: "&amp;D5</f>
        <v>Best score in tournament: 54</v>
      </c>
    </row>
    <row r="6" spans="1:16" s="78" customFormat="1" hidden="1" x14ac:dyDescent="0.25">
      <c r="A6" s="290" t="s">
        <v>294</v>
      </c>
      <c r="B6" s="291"/>
      <c r="D6" s="78">
        <f>LARGE(Data!$H$91:$H$190,1)</f>
        <v>15</v>
      </c>
      <c r="H6" s="78">
        <f t="array" ref="H6">SUM((Data!$H$91:$H$190=Specials!D6)*(Data!$AM$91:$AM$190&lt;&gt;0))</f>
        <v>2</v>
      </c>
      <c r="L6" s="78" t="str">
        <f>IF($H6=1,"Birdies: "&amp;INDEX(Data!$D$91:$D$190,MATCH($D6,Data!$H$91:$H$190,0))&amp;" / Eagles/+: "&amp;INDEX(Data!$E$91:$E$190,MATCH($D6,Data!$H$91:$H$190,0)),"")</f>
        <v/>
      </c>
      <c r="M6" s="78" t="s">
        <v>254</v>
      </c>
      <c r="N6" s="78" t="s">
        <v>255</v>
      </c>
      <c r="O6" s="78">
        <f t="shared" si="0"/>
        <v>3</v>
      </c>
      <c r="P6" s="78" t="str">
        <f>IF($H6=1,INDEX(Data!$DT$91:$DT$190,MATCH($D6,Data!$H$91:$H$190,0))&amp;" played "&amp;$D6&amp;" hole(s) under par",$H6&amp;" player(s) played "&amp;$D6&amp;" holes under par")</f>
        <v>2 player(s) played 15 holes under par</v>
      </c>
    </row>
    <row r="7" spans="1:16" s="78" customFormat="1" hidden="1" x14ac:dyDescent="0.25">
      <c r="A7" s="290" t="s">
        <v>295</v>
      </c>
      <c r="B7" s="291"/>
      <c r="D7" s="78">
        <f t="array" ref="D7">SMALL(IF(Data!$AM$91:$AM$190&lt;&gt;0,Data!$I$91:$I$190),1)</f>
        <v>4</v>
      </c>
      <c r="H7" s="78">
        <f t="array" ref="H7">SUM((Data!$I$91:$I$190=Specials!D7)*(Data!$AM$91:$AM$190&lt;&gt;0))</f>
        <v>3</v>
      </c>
      <c r="L7" s="78" t="str">
        <f>IF($H7=1,"Bogeys: "&amp;INDEX(Data!$F$91:$F$190,MATCH($D7,Data!$I$91:$I$190,0))&amp;" / Double-Bogeys/+: "&amp;INDEX(Data!$G$91:$G$190,MATCH($D7,Data!$I$91:$I$190,0)),"")</f>
        <v/>
      </c>
      <c r="M7" s="78" t="s">
        <v>254</v>
      </c>
      <c r="N7" s="78" t="s">
        <v>255</v>
      </c>
      <c r="O7" s="78">
        <f t="shared" si="0"/>
        <v>4</v>
      </c>
      <c r="P7" s="78" t="str">
        <f>IF($H7=1,INDEX(Data!$DT$91:$DT$190,MATCH($D7,Data!$I$91:$I$190,0))&amp;" played only "&amp;$D7&amp;" hole(s) over par",$H7&amp;" player(s) played only "&amp;$D7&amp;" holes over par")</f>
        <v>3 player(s) played only 4 holes over par</v>
      </c>
    </row>
    <row r="8" spans="1:16" s="65" customFormat="1" ht="15" hidden="1" customHeight="1" x14ac:dyDescent="0.25">
      <c r="A8" s="289" t="s">
        <v>258</v>
      </c>
      <c r="B8" s="294"/>
      <c r="C8" s="65">
        <f>INDEX(Parameter!$9:$9,,MATCH(1,Parameter!$8:$8,0))</f>
        <v>1</v>
      </c>
      <c r="D8" s="65">
        <f>INDEX(Parameter!$B$10:$AB$10,MATCH(C8,Parameter!$B$9:$AB$9,0))</f>
        <v>3</v>
      </c>
      <c r="H8" s="65">
        <f>SUMIF('Tournament-Statistic'!$B$1:$P$1,Specials!C8,'Tournament-Statistic'!$B$3:$P$3)-SUMIF('Tournament-Statistic'!$B$1:$P$1,Specials!C8,'Tournament-Statistic'!$B$4:$P$4)</f>
        <v>-0.5</v>
      </c>
      <c r="L8" s="65" t="str">
        <f>""</f>
        <v/>
      </c>
      <c r="M8" s="65" t="s">
        <v>254</v>
      </c>
      <c r="N8" s="65" t="s">
        <v>255</v>
      </c>
      <c r="O8" s="65">
        <f t="shared" si="0"/>
        <v>4</v>
      </c>
      <c r="P8" s="65" t="str">
        <f>IF(H8&gt;0,"Top 5 Women played better than Top 5 Men on hole "&amp;C8&amp;" (par "&amp;D8&amp;")","")</f>
        <v/>
      </c>
    </row>
    <row r="9" spans="1:16" s="65" customFormat="1" hidden="1" x14ac:dyDescent="0.25">
      <c r="A9" s="289" t="s">
        <v>258</v>
      </c>
      <c r="B9" s="294"/>
      <c r="C9" s="65">
        <f>INDEX(Parameter!$9:$9,,MATCH(2,Parameter!$8:$8,0))</f>
        <v>2</v>
      </c>
      <c r="D9" s="65">
        <f>INDEX(Parameter!$B$10:$AB$10,MATCH(C9,Parameter!$B$9:$AB$9,0))</f>
        <v>3</v>
      </c>
      <c r="H9" s="65">
        <f>SUMIF('Tournament-Statistic'!$B$1:$P$1,Specials!C9,'Tournament-Statistic'!$B$3:$P$3)-SUMIF('Tournament-Statistic'!$B$1:$P$1,Specials!C9,'Tournament-Statistic'!$B$4:$P$4)</f>
        <v>-0.20000000000000018</v>
      </c>
      <c r="L9" s="65" t="str">
        <f>""</f>
        <v/>
      </c>
      <c r="M9" s="65" t="s">
        <v>254</v>
      </c>
      <c r="N9" s="65" t="s">
        <v>255</v>
      </c>
      <c r="O9" s="65">
        <f t="shared" si="0"/>
        <v>4</v>
      </c>
      <c r="P9" s="65" t="str">
        <f t="shared" ref="P9:P34" si="1">IF(H9&gt;0,"Top 5 Women played better than Top 5 Men on hole "&amp;C9&amp;" (par "&amp;D9&amp;")","")</f>
        <v/>
      </c>
    </row>
    <row r="10" spans="1:16" s="65" customFormat="1" hidden="1" x14ac:dyDescent="0.25">
      <c r="A10" s="289" t="s">
        <v>258</v>
      </c>
      <c r="B10" s="294"/>
      <c r="C10" s="65">
        <f>INDEX(Parameter!$9:$9,,MATCH(3,Parameter!$8:$8,0))</f>
        <v>3</v>
      </c>
      <c r="D10" s="65">
        <f>INDEX(Parameter!$B$10:$AB$10,MATCH(C10,Parameter!$B$9:$AB$9,0))</f>
        <v>3</v>
      </c>
      <c r="H10" s="65">
        <f>SUMIF('Tournament-Statistic'!$B$1:$P$1,Specials!C10,'Tournament-Statistic'!$B$3:$P$3)-SUMIF('Tournament-Statistic'!$B$1:$P$1,Specials!C10,'Tournament-Statistic'!$B$4:$P$4)</f>
        <v>-1.1999999999999997</v>
      </c>
      <c r="L10" s="65" t="str">
        <f>""</f>
        <v/>
      </c>
      <c r="M10" s="65" t="s">
        <v>254</v>
      </c>
      <c r="N10" s="65" t="s">
        <v>255</v>
      </c>
      <c r="O10" s="65">
        <f t="shared" si="0"/>
        <v>4</v>
      </c>
      <c r="P10" s="65" t="str">
        <f t="shared" si="1"/>
        <v/>
      </c>
    </row>
    <row r="11" spans="1:16" s="65" customFormat="1" hidden="1" x14ac:dyDescent="0.25">
      <c r="A11" s="289" t="s">
        <v>258</v>
      </c>
      <c r="B11" s="294"/>
      <c r="C11" s="65">
        <f>INDEX(Parameter!$9:$9,,MATCH(4,Parameter!$8:$8,0))</f>
        <v>4</v>
      </c>
      <c r="D11" s="65">
        <f>INDEX(Parameter!$B$10:$AB$10,MATCH(C11,Parameter!$B$9:$AB$9,0))</f>
        <v>3</v>
      </c>
      <c r="H11" s="65">
        <f>SUMIF('Tournament-Statistic'!$B$1:$P$1,Specials!C11,'Tournament-Statistic'!$B$3:$P$3)-SUMIF('Tournament-Statistic'!$B$1:$P$1,Specials!C11,'Tournament-Statistic'!$B$4:$P$4)</f>
        <v>-0.39999999999999991</v>
      </c>
      <c r="L11" s="65" t="str">
        <f>""</f>
        <v/>
      </c>
      <c r="M11" s="65" t="s">
        <v>254</v>
      </c>
      <c r="N11" s="65" t="s">
        <v>255</v>
      </c>
      <c r="O11" s="65">
        <f t="shared" si="0"/>
        <v>4</v>
      </c>
      <c r="P11" s="65" t="str">
        <f t="shared" si="1"/>
        <v/>
      </c>
    </row>
    <row r="12" spans="1:16" s="65" customFormat="1" hidden="1" x14ac:dyDescent="0.25">
      <c r="A12" s="289" t="s">
        <v>258</v>
      </c>
      <c r="B12" s="294"/>
      <c r="C12" s="65">
        <f>INDEX(Parameter!$9:$9,,MATCH(5,Parameter!$8:$8,0))</f>
        <v>5</v>
      </c>
      <c r="D12" s="65">
        <f>INDEX(Parameter!$B$10:$AB$10,MATCH(C12,Parameter!$B$9:$AB$9,0))</f>
        <v>4</v>
      </c>
      <c r="H12" s="65">
        <f>SUMIF('Tournament-Statistic'!$B$1:$P$1,Specials!C12,'Tournament-Statistic'!$B$3:$P$3)-SUMIF('Tournament-Statistic'!$B$1:$P$1,Specials!C12,'Tournament-Statistic'!$B$4:$P$4)</f>
        <v>-1.4000000000000004</v>
      </c>
      <c r="L12" s="65" t="str">
        <f>""</f>
        <v/>
      </c>
      <c r="M12" s="65" t="s">
        <v>254</v>
      </c>
      <c r="N12" s="65" t="s">
        <v>255</v>
      </c>
      <c r="O12" s="65">
        <f t="shared" si="0"/>
        <v>4</v>
      </c>
      <c r="P12" s="65" t="str">
        <f t="shared" si="1"/>
        <v/>
      </c>
    </row>
    <row r="13" spans="1:16" s="65" customFormat="1" hidden="1" x14ac:dyDescent="0.25">
      <c r="A13" s="289" t="s">
        <v>258</v>
      </c>
      <c r="B13" s="294"/>
      <c r="C13" s="65">
        <f>INDEX(Parameter!$9:$9,,MATCH(6,Parameter!$8:$8,0))</f>
        <v>6</v>
      </c>
      <c r="D13" s="65">
        <f>INDEX(Parameter!$B$10:$AB$10,MATCH(C13,Parameter!$B$9:$AB$9,0))</f>
        <v>3</v>
      </c>
      <c r="H13" s="65">
        <f>SUMIF('Tournament-Statistic'!$B$1:$P$1,Specials!C13,'Tournament-Statistic'!$B$3:$P$3)-SUMIF('Tournament-Statistic'!$B$1:$P$1,Specials!C13,'Tournament-Statistic'!$B$4:$P$4)</f>
        <v>-0.80000000000000027</v>
      </c>
      <c r="L13" s="65" t="str">
        <f>""</f>
        <v/>
      </c>
      <c r="M13" s="65" t="s">
        <v>254</v>
      </c>
      <c r="N13" s="65" t="s">
        <v>255</v>
      </c>
      <c r="O13" s="65">
        <f t="shared" si="0"/>
        <v>4</v>
      </c>
      <c r="P13" s="65" t="str">
        <f t="shared" si="1"/>
        <v/>
      </c>
    </row>
    <row r="14" spans="1:16" s="65" customFormat="1" hidden="1" x14ac:dyDescent="0.25">
      <c r="A14" s="289" t="s">
        <v>258</v>
      </c>
      <c r="B14" s="294"/>
      <c r="C14" s="65">
        <f>INDEX(Parameter!$9:$9,,MATCH(7,Parameter!$8:$8,0))</f>
        <v>7</v>
      </c>
      <c r="D14" s="65">
        <f>INDEX(Parameter!$B$10:$AB$10,MATCH(C14,Parameter!$B$9:$AB$9,0))</f>
        <v>3</v>
      </c>
      <c r="H14" s="65">
        <f>SUMIF('Tournament-Statistic'!$B$1:$P$1,Specials!C14,'Tournament-Statistic'!$B$3:$P$3)-SUMIF('Tournament-Statistic'!$B$1:$P$1,Specials!C14,'Tournament-Statistic'!$B$4:$P$4)</f>
        <v>-0.70000000000000018</v>
      </c>
      <c r="L14" s="65" t="str">
        <f>""</f>
        <v/>
      </c>
      <c r="M14" s="65" t="s">
        <v>254</v>
      </c>
      <c r="N14" s="65" t="s">
        <v>255</v>
      </c>
      <c r="O14" s="65">
        <f t="shared" si="0"/>
        <v>4</v>
      </c>
      <c r="P14" s="65" t="str">
        <f t="shared" si="1"/>
        <v/>
      </c>
    </row>
    <row r="15" spans="1:16" s="65" customFormat="1" hidden="1" x14ac:dyDescent="0.25">
      <c r="A15" s="289" t="s">
        <v>258</v>
      </c>
      <c r="B15" s="294"/>
      <c r="C15" s="65">
        <f>INDEX(Parameter!$9:$9,,MATCH(8,Parameter!$8:$8,0))</f>
        <v>8</v>
      </c>
      <c r="D15" s="65">
        <f>INDEX(Parameter!$B$10:$AB$10,MATCH(C15,Parameter!$B$9:$AB$9,0))</f>
        <v>3</v>
      </c>
      <c r="H15" s="65">
        <f>SUMIF('Tournament-Statistic'!$B$1:$P$1,Specials!C15,'Tournament-Statistic'!$B$3:$P$3)-SUMIF('Tournament-Statistic'!$B$1:$P$1,Specials!C15,'Tournament-Statistic'!$B$4:$P$4)</f>
        <v>-0.59999999999999964</v>
      </c>
      <c r="L15" s="65" t="str">
        <f>""</f>
        <v/>
      </c>
      <c r="M15" s="65" t="s">
        <v>254</v>
      </c>
      <c r="N15" s="65" t="s">
        <v>255</v>
      </c>
      <c r="O15" s="65">
        <f t="shared" si="0"/>
        <v>4</v>
      </c>
      <c r="P15" s="65" t="str">
        <f t="shared" si="1"/>
        <v/>
      </c>
    </row>
    <row r="16" spans="1:16" s="65" customFormat="1" hidden="1" x14ac:dyDescent="0.25">
      <c r="A16" s="289" t="s">
        <v>258</v>
      </c>
      <c r="B16" s="294"/>
      <c r="C16" s="65">
        <f>INDEX(Parameter!$9:$9,,MATCH(9,Parameter!$8:$8,0))</f>
        <v>9</v>
      </c>
      <c r="D16" s="65">
        <f>INDEX(Parameter!$B$10:$AB$10,MATCH(C16,Parameter!$B$9:$AB$9,0))</f>
        <v>4</v>
      </c>
      <c r="H16" s="65">
        <f>SUMIF('Tournament-Statistic'!$B$1:$P$1,Specials!C16,'Tournament-Statistic'!$B$3:$P$3)-SUMIF('Tournament-Statistic'!$B$1:$P$1,Specials!C16,'Tournament-Statistic'!$B$4:$P$4)</f>
        <v>-0.80000000000000027</v>
      </c>
      <c r="L16" s="65" t="str">
        <f>""</f>
        <v/>
      </c>
      <c r="M16" s="65" t="s">
        <v>254</v>
      </c>
      <c r="N16" s="65" t="s">
        <v>255</v>
      </c>
      <c r="O16" s="65">
        <f t="shared" si="0"/>
        <v>4</v>
      </c>
      <c r="P16" s="65" t="str">
        <f t="shared" si="1"/>
        <v/>
      </c>
    </row>
    <row r="17" spans="1:16" s="65" customFormat="1" hidden="1" x14ac:dyDescent="0.25">
      <c r="A17" s="289" t="s">
        <v>258</v>
      </c>
      <c r="B17" s="294"/>
      <c r="C17" s="65">
        <f>INDEX(Parameter!$9:$9,,MATCH(10,Parameter!$8:$8,0))</f>
        <v>10</v>
      </c>
      <c r="D17" s="65">
        <f>INDEX(Parameter!$B$10:$AB$10,MATCH(C17,Parameter!$B$9:$AB$9,0))</f>
        <v>4</v>
      </c>
      <c r="H17" s="65">
        <f>SUMIF('Tournament-Statistic'!$B$1:$P$1,Specials!C17,'Tournament-Statistic'!$B$3:$P$3)-SUMIF('Tournament-Statistic'!$B$1:$P$1,Specials!C17,'Tournament-Statistic'!$B$4:$P$4)</f>
        <v>-0.40000000000000036</v>
      </c>
      <c r="L17" s="65" t="str">
        <f>""</f>
        <v/>
      </c>
      <c r="M17" s="65" t="s">
        <v>254</v>
      </c>
      <c r="N17" s="65" t="s">
        <v>255</v>
      </c>
      <c r="O17" s="65">
        <f t="shared" si="0"/>
        <v>4</v>
      </c>
      <c r="P17" s="65" t="str">
        <f t="shared" si="1"/>
        <v/>
      </c>
    </row>
    <row r="18" spans="1:16" s="65" customFormat="1" hidden="1" x14ac:dyDescent="0.25">
      <c r="A18" s="289" t="s">
        <v>258</v>
      </c>
      <c r="B18" s="294"/>
      <c r="C18" s="65">
        <f>INDEX(Parameter!$9:$9,,MATCH(11,Parameter!$8:$8,0))</f>
        <v>11</v>
      </c>
      <c r="D18" s="65">
        <f>INDEX(Parameter!$B$10:$AB$10,MATCH(C18,Parameter!$B$9:$AB$9,0))</f>
        <v>4</v>
      </c>
      <c r="H18" s="65">
        <f>SUMIF('Tournament-Statistic'!$B$1:$P$1,Specials!C18,'Tournament-Statistic'!$B$3:$P$3)-SUMIF('Tournament-Statistic'!$B$1:$P$1,Specials!C18,'Tournament-Statistic'!$B$4:$P$4)</f>
        <v>-0.80000000000000071</v>
      </c>
      <c r="L18" s="65" t="str">
        <f>""</f>
        <v/>
      </c>
      <c r="M18" s="65" t="s">
        <v>254</v>
      </c>
      <c r="N18" s="65" t="s">
        <v>255</v>
      </c>
      <c r="O18" s="65">
        <f t="shared" si="0"/>
        <v>4</v>
      </c>
      <c r="P18" s="65" t="str">
        <f t="shared" si="1"/>
        <v/>
      </c>
    </row>
    <row r="19" spans="1:16" s="65" customFormat="1" hidden="1" x14ac:dyDescent="0.25">
      <c r="A19" s="289" t="s">
        <v>258</v>
      </c>
      <c r="B19" s="294"/>
      <c r="C19" s="65" t="str">
        <f>INDEX(Parameter!$9:$9,,MATCH(12,Parameter!$8:$8,0))</f>
        <v>11b</v>
      </c>
      <c r="D19" s="65">
        <f>INDEX(Parameter!$B$10:$AB$10,MATCH(C19,Parameter!$B$9:$AB$9,0))</f>
        <v>3</v>
      </c>
      <c r="H19" s="65">
        <f>SUMIF('Tournament-Statistic'!$B$1:$P$1,Specials!C19,'Tournament-Statistic'!$B$3:$P$3)-SUMIF('Tournament-Statistic'!$B$1:$P$1,Specials!C19,'Tournament-Statistic'!$B$4:$P$4)</f>
        <v>-0.19999999999999973</v>
      </c>
      <c r="L19" s="65" t="str">
        <f>""</f>
        <v/>
      </c>
      <c r="M19" s="65" t="s">
        <v>254</v>
      </c>
      <c r="N19" s="65" t="s">
        <v>255</v>
      </c>
      <c r="O19" s="65">
        <f t="shared" si="0"/>
        <v>4</v>
      </c>
      <c r="P19" s="65" t="str">
        <f t="shared" si="1"/>
        <v/>
      </c>
    </row>
    <row r="20" spans="1:16" s="65" customFormat="1" hidden="1" x14ac:dyDescent="0.25">
      <c r="A20" s="289" t="s">
        <v>258</v>
      </c>
      <c r="B20" s="294"/>
      <c r="C20" s="65">
        <f>INDEX(Parameter!$9:$9,,MATCH(13,Parameter!$8:$8,0))</f>
        <v>12</v>
      </c>
      <c r="D20" s="65">
        <f>INDEX(Parameter!$B$10:$AB$10,MATCH(C20,Parameter!$B$9:$AB$9,0))</f>
        <v>3</v>
      </c>
      <c r="H20" s="65">
        <f>SUMIF('Tournament-Statistic'!$B$1:$P$1,Specials!C20,'Tournament-Statistic'!$B$3:$P$3)-SUMIF('Tournament-Statistic'!$B$1:$P$1,Specials!C20,'Tournament-Statistic'!$B$4:$P$4)</f>
        <v>-0.60000000000000009</v>
      </c>
      <c r="L20" s="65" t="str">
        <f>""</f>
        <v/>
      </c>
      <c r="M20" s="65" t="s">
        <v>254</v>
      </c>
      <c r="N20" s="65" t="s">
        <v>255</v>
      </c>
      <c r="O20" s="65">
        <f t="shared" si="0"/>
        <v>4</v>
      </c>
      <c r="P20" s="65" t="str">
        <f t="shared" si="1"/>
        <v/>
      </c>
    </row>
    <row r="21" spans="1:16" s="65" customFormat="1" hidden="1" x14ac:dyDescent="0.25">
      <c r="A21" s="289" t="s">
        <v>258</v>
      </c>
      <c r="B21" s="294"/>
      <c r="C21" s="65">
        <f>INDEX(Parameter!$9:$9,,MATCH(14,Parameter!$8:$8,0))</f>
        <v>13</v>
      </c>
      <c r="D21" s="65">
        <f>INDEX(Parameter!$B$10:$AB$10,MATCH(C21,Parameter!$B$9:$AB$9,0))</f>
        <v>3</v>
      </c>
      <c r="H21" s="65">
        <f>SUMIF('Tournament-Statistic'!$B$1:$P$1,Specials!C21,'Tournament-Statistic'!$B$3:$P$3)-SUMIF('Tournament-Statistic'!$B$1:$P$1,Specials!C21,'Tournament-Statistic'!$B$4:$P$4)</f>
        <v>-0.60000000000000009</v>
      </c>
      <c r="L21" s="65" t="str">
        <f>""</f>
        <v/>
      </c>
      <c r="M21" s="65" t="s">
        <v>254</v>
      </c>
      <c r="N21" s="65" t="s">
        <v>255</v>
      </c>
      <c r="O21" s="65">
        <f t="shared" si="0"/>
        <v>4</v>
      </c>
      <c r="P21" s="65" t="str">
        <f t="shared" si="1"/>
        <v/>
      </c>
    </row>
    <row r="22" spans="1:16" s="65" customFormat="1" hidden="1" x14ac:dyDescent="0.25">
      <c r="A22" s="289" t="s">
        <v>258</v>
      </c>
      <c r="B22" s="294"/>
      <c r="C22" s="65">
        <f>INDEX(Parameter!$9:$9,,MATCH(15,Parameter!$8:$8,0))</f>
        <v>14</v>
      </c>
      <c r="D22" s="65">
        <f>INDEX(Parameter!$B$10:$AB$10,MATCH(C22,Parameter!$B$9:$AB$9,0))</f>
        <v>3</v>
      </c>
      <c r="H22" s="65">
        <f>SUMIF('Tournament-Statistic'!$B$1:$P$1,Specials!C22,'Tournament-Statistic'!$B$3:$P$3)-SUMIF('Tournament-Statistic'!$B$1:$P$1,Specials!C22,'Tournament-Statistic'!$B$4:$P$4)</f>
        <v>-0.70000000000000018</v>
      </c>
      <c r="L22" s="65" t="str">
        <f>""</f>
        <v/>
      </c>
      <c r="M22" s="65" t="s">
        <v>254</v>
      </c>
      <c r="N22" s="65" t="s">
        <v>255</v>
      </c>
      <c r="O22" s="65">
        <f t="shared" si="0"/>
        <v>4</v>
      </c>
      <c r="P22" s="65" t="str">
        <f t="shared" si="1"/>
        <v/>
      </c>
    </row>
    <row r="23" spans="1:16" s="65" customFormat="1" hidden="1" x14ac:dyDescent="0.25">
      <c r="A23" s="289" t="s">
        <v>258</v>
      </c>
      <c r="B23" s="294"/>
      <c r="C23" s="65">
        <f>INDEX(Parameter!$9:$9,,MATCH(16,Parameter!$8:$8,0))</f>
        <v>15</v>
      </c>
      <c r="D23" s="65">
        <f>INDEX(Parameter!$B$10:$AB$10,MATCH(C23,Parameter!$B$9:$AB$9,0))</f>
        <v>3</v>
      </c>
      <c r="H23" s="65">
        <f>SUMIF('Tournament-Statistic'!$B$1:$P$1,Specials!C23,'Tournament-Statistic'!$B$3:$P$3)-SUMIF('Tournament-Statistic'!$B$1:$P$1,Specials!C23,'Tournament-Statistic'!$B$4:$P$4)</f>
        <v>0</v>
      </c>
      <c r="L23" s="65" t="str">
        <f>""</f>
        <v/>
      </c>
      <c r="M23" s="65" t="s">
        <v>254</v>
      </c>
      <c r="N23" s="65" t="s">
        <v>255</v>
      </c>
      <c r="O23" s="65">
        <f t="shared" si="0"/>
        <v>4</v>
      </c>
      <c r="P23" s="65" t="str">
        <f t="shared" si="1"/>
        <v/>
      </c>
    </row>
    <row r="24" spans="1:16" s="65" customFormat="1" hidden="1" x14ac:dyDescent="0.25">
      <c r="A24" s="289" t="s">
        <v>258</v>
      </c>
      <c r="B24" s="294"/>
      <c r="C24" s="65">
        <f>INDEX(Parameter!$9:$9,,MATCH(17,Parameter!$8:$8,0))</f>
        <v>16</v>
      </c>
      <c r="D24" s="65">
        <f>INDEX(Parameter!$B$10:$AB$10,MATCH(C24,Parameter!$B$9:$AB$9,0))</f>
        <v>3</v>
      </c>
      <c r="H24" s="65">
        <f>SUMIF('Tournament-Statistic'!$B$1:$P$1,Specials!C24,'Tournament-Statistic'!$B$3:$P$3)-SUMIF('Tournament-Statistic'!$B$1:$P$1,Specials!C24,'Tournament-Statistic'!$B$4:$P$4)</f>
        <v>0</v>
      </c>
      <c r="L24" s="65" t="str">
        <f>""</f>
        <v/>
      </c>
      <c r="M24" s="65" t="s">
        <v>254</v>
      </c>
      <c r="N24" s="65" t="s">
        <v>255</v>
      </c>
      <c r="O24" s="65">
        <f t="shared" si="0"/>
        <v>4</v>
      </c>
      <c r="P24" s="65" t="str">
        <f t="shared" si="1"/>
        <v/>
      </c>
    </row>
    <row r="25" spans="1:16" s="65" customFormat="1" hidden="1" x14ac:dyDescent="0.25">
      <c r="A25" s="289" t="s">
        <v>258</v>
      </c>
      <c r="B25" s="294"/>
      <c r="C25" s="65">
        <f>INDEX(Parameter!$9:$9,,MATCH(18,Parameter!$8:$8,0))</f>
        <v>17</v>
      </c>
      <c r="D25" s="65">
        <f>INDEX(Parameter!$B$10:$AB$10,MATCH(C25,Parameter!$B$9:$AB$9,0))</f>
        <v>3</v>
      </c>
      <c r="H25" s="65">
        <f>SUMIF('Tournament-Statistic'!$B$1:$P$1,Specials!C25,'Tournament-Statistic'!$B$3:$P$3)-SUMIF('Tournament-Statistic'!$B$1:$P$1,Specials!C25,'Tournament-Statistic'!$B$4:$P$4)</f>
        <v>0</v>
      </c>
      <c r="L25" s="65" t="str">
        <f>""</f>
        <v/>
      </c>
      <c r="M25" s="65" t="s">
        <v>254</v>
      </c>
      <c r="N25" s="65" t="s">
        <v>255</v>
      </c>
      <c r="O25" s="65">
        <f t="shared" si="0"/>
        <v>4</v>
      </c>
      <c r="P25" s="65" t="str">
        <f t="shared" si="1"/>
        <v/>
      </c>
    </row>
    <row r="26" spans="1:16" s="65" customFormat="1" hidden="1" x14ac:dyDescent="0.25">
      <c r="A26" s="289" t="s">
        <v>258</v>
      </c>
      <c r="B26" s="294"/>
      <c r="C26" s="65">
        <f>INDEX(Parameter!$9:$9,,MATCH(19,Parameter!$8:$8,0))</f>
        <v>18</v>
      </c>
      <c r="D26" s="65">
        <f>INDEX(Parameter!$B$10:$AB$10,MATCH(C26,Parameter!$B$9:$AB$9,0))</f>
        <v>3</v>
      </c>
      <c r="H26" s="65">
        <f>SUMIF('Tournament-Statistic'!$B$1:$P$1,Specials!C26,'Tournament-Statistic'!$B$3:$P$3)-SUMIF('Tournament-Statistic'!$B$1:$P$1,Specials!C26,'Tournament-Statistic'!$B$4:$P$4)</f>
        <v>0</v>
      </c>
      <c r="L26" s="65" t="str">
        <f>""</f>
        <v/>
      </c>
      <c r="M26" s="65" t="s">
        <v>254</v>
      </c>
      <c r="N26" s="65" t="s">
        <v>255</v>
      </c>
      <c r="O26" s="65">
        <f t="shared" si="0"/>
        <v>4</v>
      </c>
      <c r="P26" s="65" t="str">
        <f t="shared" si="1"/>
        <v/>
      </c>
    </row>
    <row r="27" spans="1:16" s="65" customFormat="1" hidden="1" x14ac:dyDescent="0.25">
      <c r="A27" s="289" t="s">
        <v>258</v>
      </c>
      <c r="B27" s="294"/>
      <c r="C27" s="65">
        <f>INDEX(Parameter!$9:$9,,MATCH(20,Parameter!$8:$8,0))</f>
        <v>20</v>
      </c>
      <c r="D27" s="65" t="str">
        <f>INDEX(Parameter!$B$10:$AB$10,MATCH(C27,Parameter!$B$9:$AB$9,0))</f>
        <v>no</v>
      </c>
      <c r="H27" s="65">
        <f>SUMIF('Tournament-Statistic'!$B$1:$P$1,Specials!C27,'Tournament-Statistic'!$B$3:$P$3)-SUMIF('Tournament-Statistic'!$B$1:$P$1,Specials!C27,'Tournament-Statistic'!$B$4:$P$4)</f>
        <v>0</v>
      </c>
      <c r="L27" s="65" t="str">
        <f>""</f>
        <v/>
      </c>
      <c r="M27" s="65" t="s">
        <v>254</v>
      </c>
      <c r="N27" s="65" t="s">
        <v>255</v>
      </c>
      <c r="O27" s="65">
        <f t="shared" si="0"/>
        <v>4</v>
      </c>
      <c r="P27" s="65" t="str">
        <f t="shared" si="1"/>
        <v/>
      </c>
    </row>
    <row r="28" spans="1:16" s="65" customFormat="1" hidden="1" x14ac:dyDescent="0.25">
      <c r="A28" s="289" t="s">
        <v>258</v>
      </c>
      <c r="B28" s="294"/>
      <c r="C28" s="65">
        <f>INDEX(Parameter!$9:$9,,MATCH(21,Parameter!$8:$8,0))</f>
        <v>21</v>
      </c>
      <c r="D28" s="65" t="str">
        <f>INDEX(Parameter!$B$10:$AB$10,MATCH(C28,Parameter!$B$9:$AB$9,0))</f>
        <v>no</v>
      </c>
      <c r="H28" s="65">
        <f>SUMIF('Tournament-Statistic'!$B$1:$P$1,Specials!C28,'Tournament-Statistic'!$B$3:$P$3)-SUMIF('Tournament-Statistic'!$B$1:$P$1,Specials!C28,'Tournament-Statistic'!$B$4:$P$4)</f>
        <v>0</v>
      </c>
      <c r="L28" s="65" t="str">
        <f>""</f>
        <v/>
      </c>
      <c r="M28" s="65" t="s">
        <v>254</v>
      </c>
      <c r="N28" s="65" t="s">
        <v>255</v>
      </c>
      <c r="O28" s="65">
        <f t="shared" si="0"/>
        <v>4</v>
      </c>
      <c r="P28" s="65" t="str">
        <f t="shared" si="1"/>
        <v/>
      </c>
    </row>
    <row r="29" spans="1:16" s="65" customFormat="1" hidden="1" x14ac:dyDescent="0.25">
      <c r="A29" s="289" t="s">
        <v>258</v>
      </c>
      <c r="B29" s="294"/>
      <c r="C29" s="65">
        <f>INDEX(Parameter!$9:$9,,MATCH(22,Parameter!$8:$8,0))</f>
        <v>22</v>
      </c>
      <c r="D29" s="65" t="str">
        <f>INDEX(Parameter!$B$10:$AB$10,MATCH(C29,Parameter!$B$9:$AB$9,0))</f>
        <v>no</v>
      </c>
      <c r="H29" s="65">
        <f>SUMIF('Tournament-Statistic'!$B$1:$P$1,Specials!C29,'Tournament-Statistic'!$B$3:$P$3)-SUMIF('Tournament-Statistic'!$B$1:$P$1,Specials!C29,'Tournament-Statistic'!$B$4:$P$4)</f>
        <v>0</v>
      </c>
      <c r="L29" s="65" t="str">
        <f>""</f>
        <v/>
      </c>
      <c r="M29" s="65" t="s">
        <v>254</v>
      </c>
      <c r="N29" s="65" t="s">
        <v>255</v>
      </c>
      <c r="O29" s="65">
        <f t="shared" si="0"/>
        <v>4</v>
      </c>
      <c r="P29" s="65" t="str">
        <f t="shared" si="1"/>
        <v/>
      </c>
    </row>
    <row r="30" spans="1:16" s="65" customFormat="1" hidden="1" x14ac:dyDescent="0.25">
      <c r="A30" s="289" t="s">
        <v>258</v>
      </c>
      <c r="B30" s="294"/>
      <c r="C30" s="65">
        <f>INDEX(Parameter!$9:$9,,MATCH(23,Parameter!$8:$8,0))</f>
        <v>23</v>
      </c>
      <c r="D30" s="65" t="str">
        <f>INDEX(Parameter!$B$10:$AB$10,MATCH(C30,Parameter!$B$9:$AB$9,0))</f>
        <v>no</v>
      </c>
      <c r="H30" s="65">
        <f>SUMIF('Tournament-Statistic'!$B$1:$P$1,Specials!C30,'Tournament-Statistic'!$B$3:$P$3)-SUMIF('Tournament-Statistic'!$B$1:$P$1,Specials!C30,'Tournament-Statistic'!$B$4:$P$4)</f>
        <v>0</v>
      </c>
      <c r="L30" s="65" t="str">
        <f>""</f>
        <v/>
      </c>
      <c r="M30" s="65" t="s">
        <v>254</v>
      </c>
      <c r="N30" s="65" t="s">
        <v>255</v>
      </c>
      <c r="O30" s="65">
        <f t="shared" si="0"/>
        <v>4</v>
      </c>
      <c r="P30" s="65" t="str">
        <f t="shared" si="1"/>
        <v/>
      </c>
    </row>
    <row r="31" spans="1:16" s="65" customFormat="1" hidden="1" x14ac:dyDescent="0.25">
      <c r="A31" s="289" t="s">
        <v>258</v>
      </c>
      <c r="B31" s="294"/>
      <c r="C31" s="65">
        <f>INDEX(Parameter!$9:$9,,MATCH(24,Parameter!$8:$8,0))</f>
        <v>24</v>
      </c>
      <c r="D31" s="65" t="str">
        <f>INDEX(Parameter!$B$10:$AB$10,MATCH(C31,Parameter!$B$9:$AB$9,0))</f>
        <v>no</v>
      </c>
      <c r="H31" s="65">
        <f>SUMIF('Tournament-Statistic'!$B$1:$P$1,Specials!C31,'Tournament-Statistic'!$B$3:$P$3)-SUMIF('Tournament-Statistic'!$B$1:$P$1,Specials!C31,'Tournament-Statistic'!$B$4:$P$4)</f>
        <v>0</v>
      </c>
      <c r="L31" s="65" t="str">
        <f>""</f>
        <v/>
      </c>
      <c r="M31" s="65" t="s">
        <v>254</v>
      </c>
      <c r="N31" s="65" t="s">
        <v>255</v>
      </c>
      <c r="O31" s="65">
        <f t="shared" si="0"/>
        <v>4</v>
      </c>
      <c r="P31" s="65" t="str">
        <f t="shared" si="1"/>
        <v/>
      </c>
    </row>
    <row r="32" spans="1:16" s="65" customFormat="1" hidden="1" x14ac:dyDescent="0.25">
      <c r="A32" s="289" t="s">
        <v>258</v>
      </c>
      <c r="B32" s="294"/>
      <c r="C32" s="65">
        <f>INDEX(Parameter!$9:$9,,MATCH(25,Parameter!$8:$8,0))</f>
        <v>25</v>
      </c>
      <c r="D32" s="65" t="str">
        <f>INDEX(Parameter!$B$10:$AB$10,MATCH(C32,Parameter!$B$9:$AB$9,0))</f>
        <v>no</v>
      </c>
      <c r="H32" s="65">
        <f>SUMIF('Tournament-Statistic'!$B$1:$P$1,Specials!C32,'Tournament-Statistic'!$B$3:$P$3)-SUMIF('Tournament-Statistic'!$B$1:$P$1,Specials!C32,'Tournament-Statistic'!$B$4:$P$4)</f>
        <v>0</v>
      </c>
      <c r="L32" s="65" t="str">
        <f>""</f>
        <v/>
      </c>
      <c r="M32" s="65" t="s">
        <v>254</v>
      </c>
      <c r="N32" s="65" t="s">
        <v>255</v>
      </c>
      <c r="O32" s="65">
        <f t="shared" si="0"/>
        <v>4</v>
      </c>
      <c r="P32" s="65" t="str">
        <f t="shared" si="1"/>
        <v/>
      </c>
    </row>
    <row r="33" spans="1:16" s="65" customFormat="1" hidden="1" x14ac:dyDescent="0.25">
      <c r="A33" s="289" t="s">
        <v>258</v>
      </c>
      <c r="B33" s="294"/>
      <c r="C33" s="65">
        <f>INDEX(Parameter!$9:$9,,MATCH(26,Parameter!$8:$8,0))</f>
        <v>26</v>
      </c>
      <c r="D33" s="65" t="str">
        <f>INDEX(Parameter!$B$10:$AB$10,MATCH(C33,Parameter!$B$9:$AB$9,0))</f>
        <v>no</v>
      </c>
      <c r="H33" s="65">
        <f>SUMIF('Tournament-Statistic'!$B$1:$P$1,Specials!C33,'Tournament-Statistic'!$B$3:$P$3)-SUMIF('Tournament-Statistic'!$B$1:$P$1,Specials!C33,'Tournament-Statistic'!$B$4:$P$4)</f>
        <v>0</v>
      </c>
      <c r="L33" s="65" t="str">
        <f>""</f>
        <v/>
      </c>
      <c r="M33" s="65" t="s">
        <v>254</v>
      </c>
      <c r="N33" s="65" t="s">
        <v>255</v>
      </c>
      <c r="O33" s="65">
        <f t="shared" si="0"/>
        <v>4</v>
      </c>
      <c r="P33" s="65" t="str">
        <f>IF(H33&gt;0,"Top 5 Women played better than Top 5 Men on hole "&amp;C33&amp;" (par "&amp;D33&amp;")","")</f>
        <v/>
      </c>
    </row>
    <row r="34" spans="1:16" s="65" customFormat="1" hidden="1" x14ac:dyDescent="0.25">
      <c r="A34" s="289" t="s">
        <v>258</v>
      </c>
      <c r="B34" s="294"/>
      <c r="C34" s="65">
        <f>INDEX(Parameter!$9:$9,,MATCH(27,Parameter!$8:$8,0))</f>
        <v>27</v>
      </c>
      <c r="D34" s="65" t="str">
        <f>INDEX(Parameter!$B$10:$AB$10,MATCH(C34,Parameter!$B$9:$AB$9,0))</f>
        <v>no</v>
      </c>
      <c r="H34" s="65">
        <f>SUMIF('Tournament-Statistic'!$B$1:$P$1,Specials!C34,'Tournament-Statistic'!$B$3:$P$3)-SUMIF('Tournament-Statistic'!$B$1:$P$1,Specials!C34,'Tournament-Statistic'!$B$4:$P$4)</f>
        <v>0</v>
      </c>
      <c r="L34" s="65" t="str">
        <f>""</f>
        <v/>
      </c>
      <c r="M34" s="65" t="s">
        <v>254</v>
      </c>
      <c r="N34" s="65" t="s">
        <v>255</v>
      </c>
      <c r="O34" s="65">
        <f t="shared" si="0"/>
        <v>4</v>
      </c>
      <c r="P34" s="65" t="str">
        <f t="shared" si="1"/>
        <v/>
      </c>
    </row>
    <row r="35" spans="1:16" ht="15" hidden="1" customHeight="1" x14ac:dyDescent="0.25">
      <c r="A35" s="292" t="s">
        <v>224</v>
      </c>
      <c r="B35" s="292">
        <f>MATCH(A35,Data!$DT:$DT,0)</f>
        <v>5</v>
      </c>
      <c r="C35" s="2">
        <f>INDEX(Parameter!$9:$9,,MATCH(1,Parameter!$8:$8,0))</f>
        <v>1</v>
      </c>
      <c r="D35" s="2">
        <f>INDEX(Parameter!$B$10:$AB$10,MATCH(C35,Parameter!$B$9:$AB$9,0))</f>
        <v>3</v>
      </c>
      <c r="H35" s="2">
        <f ca="1">INDEX(OFFSET(Data!$CS$1:$DS$1,B35-1,0),MATCH("Total/"&amp;C35,Data!$CS$1:$DS$1,0))</f>
        <v>0</v>
      </c>
      <c r="I35" s="2" t="str">
        <f ca="1">IF(H35&gt;0,1,"")</f>
        <v/>
      </c>
      <c r="J35" s="2" t="str">
        <f t="array" aca="1" ref="J35" ca="1">IF(H35=1,MATCH(1,(OFFSET(Data!$DY$1:$IB$1,B35-1,0))*(Data!$DY$90:$IB$90=C35),0),"")</f>
        <v/>
      </c>
      <c r="L35" s="2" t="str">
        <f ca="1">IF(H35&gt;1,"Several Players",IF(H35=1,INDEX(Data!$DT$91:$DT$190,MATCH(I35,OFFSET(Data!$DX$91:$DX$190,0,Specials!J35),0))&amp;" / "&amp;OFFSET(Data!$DX$89,0,Specials!J35),""))</f>
        <v/>
      </c>
      <c r="M35" s="2" t="s">
        <v>254</v>
      </c>
      <c r="N35" s="2" t="s">
        <v>255</v>
      </c>
      <c r="O35" s="78">
        <f t="shared" ca="1" si="0"/>
        <v>4</v>
      </c>
      <c r="P35" s="2" t="str">
        <f ca="1">IF(H35&gt;0,H35&amp;" Ace(s) on hole "&amp;$C35&amp;" (par "&amp;D35&amp;")","")</f>
        <v/>
      </c>
    </row>
    <row r="36" spans="1:16" hidden="1" x14ac:dyDescent="0.25">
      <c r="A36" s="292" t="s">
        <v>224</v>
      </c>
      <c r="B36" s="292">
        <f>MATCH(A36,Data!$DT:$DT,0)</f>
        <v>5</v>
      </c>
      <c r="C36" s="2">
        <f>INDEX(Parameter!$9:$9,,MATCH(2,Parameter!$8:$8,0))</f>
        <v>2</v>
      </c>
      <c r="D36" s="2">
        <f>INDEX(Parameter!$B$10:$AB$10,MATCH(C36,Parameter!$B$9:$AB$9,0))</f>
        <v>3</v>
      </c>
      <c r="H36" s="2">
        <f ca="1">INDEX(OFFSET(Data!$CS$1:$DS$1,B36-1,0),MATCH("Total/"&amp;C36,Data!$CS$1:$DS$1,0))</f>
        <v>0</v>
      </c>
      <c r="I36" s="2" t="str">
        <f t="shared" ref="I36:I61" ca="1" si="2">IF(H36&gt;0,1,"")</f>
        <v/>
      </c>
      <c r="J36" s="2" t="str">
        <f t="array" aca="1" ref="J36" ca="1">IF(H36=1,MATCH(1,(OFFSET(Data!$DY$1:$IB$1,B36-1,0))*(Data!$DY$90:$IB$90=C36),0),"")</f>
        <v/>
      </c>
      <c r="L36" s="2" t="str">
        <f ca="1">IF(H36&gt;1,"Several Players",IF(H36=1,INDEX(Data!$DT$91:$DT$190,MATCH(I36,OFFSET(Data!$DX$91:$DX$190,0,Specials!J36),0))&amp;" / "&amp;OFFSET(Data!$DX$89,0,Specials!J36),""))</f>
        <v/>
      </c>
      <c r="M36" s="2" t="s">
        <v>254</v>
      </c>
      <c r="N36" s="2" t="s">
        <v>255</v>
      </c>
      <c r="O36" s="78">
        <f t="shared" ca="1" si="0"/>
        <v>4</v>
      </c>
      <c r="P36" s="2" t="str">
        <f t="shared" ref="P36:P60" ca="1" si="3">IF(H36&gt;0,H36&amp;" Ace(s) on hole "&amp;$C36&amp;" (par "&amp;D36&amp;")","")</f>
        <v/>
      </c>
    </row>
    <row r="37" spans="1:16" hidden="1" x14ac:dyDescent="0.25">
      <c r="A37" s="292" t="s">
        <v>224</v>
      </c>
      <c r="B37" s="292">
        <f>MATCH(A37,Data!$DT:$DT,0)</f>
        <v>5</v>
      </c>
      <c r="C37" s="2">
        <f>INDEX(Parameter!$9:$9,,MATCH(3,Parameter!$8:$8,0))</f>
        <v>3</v>
      </c>
      <c r="D37" s="2">
        <f>INDEX(Parameter!$B$10:$AB$10,MATCH(C37,Parameter!$B$9:$AB$9,0))</f>
        <v>3</v>
      </c>
      <c r="H37" s="2">
        <f ca="1">INDEX(OFFSET(Data!$CS$1:$DS$1,B37-1,0),MATCH("Total/"&amp;C37,Data!$CS$1:$DS$1,0))</f>
        <v>0</v>
      </c>
      <c r="I37" s="2" t="str">
        <f t="shared" ca="1" si="2"/>
        <v/>
      </c>
      <c r="J37" s="2" t="str">
        <f t="array" aca="1" ref="J37" ca="1">IF(H37=1,MATCH(1,(OFFSET(Data!$DY$1:$IB$1,B37-1,0))*(Data!$DY$90:$IB$90=C37),0),"")</f>
        <v/>
      </c>
      <c r="L37" s="2" t="str">
        <f ca="1">IF(H37&gt;1,"Several Players",IF(H37=1,INDEX(Data!$DT$91:$DT$190,MATCH(I37,OFFSET(Data!$DX$91:$DX$190,0,Specials!J37),0))&amp;" / "&amp;OFFSET(Data!$DX$89,0,Specials!J37),""))</f>
        <v/>
      </c>
      <c r="M37" s="2" t="s">
        <v>254</v>
      </c>
      <c r="N37" s="2" t="s">
        <v>255</v>
      </c>
      <c r="O37" s="78">
        <f t="shared" ca="1" si="0"/>
        <v>4</v>
      </c>
      <c r="P37" s="2" t="str">
        <f t="shared" ca="1" si="3"/>
        <v/>
      </c>
    </row>
    <row r="38" spans="1:16" hidden="1" x14ac:dyDescent="0.25">
      <c r="A38" s="292" t="s">
        <v>224</v>
      </c>
      <c r="B38" s="292">
        <f>MATCH(A38,Data!$DT:$DT,0)</f>
        <v>5</v>
      </c>
      <c r="C38" s="2">
        <f>INDEX(Parameter!$9:$9,,MATCH(4,Parameter!$8:$8,0))</f>
        <v>4</v>
      </c>
      <c r="D38" s="2">
        <f>INDEX(Parameter!$B$10:$AB$10,MATCH(C38,Parameter!$B$9:$AB$9,0))</f>
        <v>3</v>
      </c>
      <c r="H38" s="2">
        <f ca="1">INDEX(OFFSET(Data!$CS$1:$DS$1,B38-1,0),MATCH("Total/"&amp;C38,Data!$CS$1:$DS$1,0))</f>
        <v>0</v>
      </c>
      <c r="I38" s="2" t="str">
        <f t="shared" ca="1" si="2"/>
        <v/>
      </c>
      <c r="J38" s="2" t="str">
        <f t="array" aca="1" ref="J38" ca="1">IF(H38=1,MATCH(1,(OFFSET(Data!$DY$1:$IB$1,B38-1,0))*(Data!$DY$90:$IB$90=C38),0),"")</f>
        <v/>
      </c>
      <c r="L38" s="2" t="str">
        <f ca="1">IF(H38&gt;1,"Several Players",IF(H38=1,INDEX(Data!$DT$91:$DT$190,MATCH(I38,OFFSET(Data!$DX$91:$DX$190,0,Specials!J38),0))&amp;" / "&amp;OFFSET(Data!$DX$89,0,Specials!J38),""))</f>
        <v/>
      </c>
      <c r="M38" s="2" t="s">
        <v>254</v>
      </c>
      <c r="N38" s="2" t="s">
        <v>255</v>
      </c>
      <c r="O38" s="78">
        <f t="shared" ca="1" si="0"/>
        <v>4</v>
      </c>
      <c r="P38" s="2" t="str">
        <f t="shared" ca="1" si="3"/>
        <v/>
      </c>
    </row>
    <row r="39" spans="1:16" hidden="1" x14ac:dyDescent="0.25">
      <c r="A39" s="292" t="s">
        <v>224</v>
      </c>
      <c r="B39" s="292">
        <f>MATCH(A39,Data!$DT:$DT,0)</f>
        <v>5</v>
      </c>
      <c r="C39" s="2">
        <f>INDEX(Parameter!$9:$9,,MATCH(5,Parameter!$8:$8,0))</f>
        <v>5</v>
      </c>
      <c r="D39" s="2">
        <f>INDEX(Parameter!$B$10:$AB$10,MATCH(C39,Parameter!$B$9:$AB$9,0))</f>
        <v>4</v>
      </c>
      <c r="H39" s="2">
        <f ca="1">INDEX(OFFSET(Data!$CS$1:$DS$1,B39-1,0),MATCH("Total/"&amp;C39,Data!$CS$1:$DS$1,0))</f>
        <v>0</v>
      </c>
      <c r="I39" s="2" t="str">
        <f t="shared" ca="1" si="2"/>
        <v/>
      </c>
      <c r="J39" s="2" t="str">
        <f t="array" aca="1" ref="J39" ca="1">IF(H39=1,MATCH(1,(OFFSET(Data!$DY$1:$IB$1,B39-1,0))*(Data!$DY$90:$IB$90=C39),0),"")</f>
        <v/>
      </c>
      <c r="L39" s="2" t="str">
        <f ca="1">IF(H39&gt;1,"Several Players",IF(H39=1,INDEX(Data!$DT$91:$DT$190,MATCH(I39,OFFSET(Data!$DX$91:$DX$190,0,Specials!J39),0))&amp;" / "&amp;OFFSET(Data!$DX$89,0,Specials!J39),""))</f>
        <v/>
      </c>
      <c r="M39" s="2" t="s">
        <v>254</v>
      </c>
      <c r="N39" s="2" t="s">
        <v>255</v>
      </c>
      <c r="O39" s="78">
        <f t="shared" ca="1" si="0"/>
        <v>4</v>
      </c>
      <c r="P39" s="2" t="str">
        <f t="shared" ca="1" si="3"/>
        <v/>
      </c>
    </row>
    <row r="40" spans="1:16" hidden="1" x14ac:dyDescent="0.25">
      <c r="A40" s="292" t="s">
        <v>224</v>
      </c>
      <c r="B40" s="292">
        <f>MATCH(A40,Data!$DT:$DT,0)</f>
        <v>5</v>
      </c>
      <c r="C40" s="2">
        <f>INDEX(Parameter!$9:$9,,MATCH(6,Parameter!$8:$8,0))</f>
        <v>6</v>
      </c>
      <c r="D40" s="2">
        <f>INDEX(Parameter!$B$10:$AB$10,MATCH(C40,Parameter!$B$9:$AB$9,0))</f>
        <v>3</v>
      </c>
      <c r="H40" s="2">
        <f ca="1">INDEX(OFFSET(Data!$CS$1:$DS$1,B40-1,0),MATCH("Total/"&amp;C40,Data!$CS$1:$DS$1,0))</f>
        <v>0</v>
      </c>
      <c r="I40" s="2" t="str">
        <f t="shared" ca="1" si="2"/>
        <v/>
      </c>
      <c r="J40" s="2" t="str">
        <f t="array" aca="1" ref="J40" ca="1">IF(H40=1,MATCH(1,(OFFSET(Data!$DY$1:$IB$1,B40-1,0))*(Data!$DY$90:$IB$90=C40),0),"")</f>
        <v/>
      </c>
      <c r="L40" s="2" t="str">
        <f ca="1">IF(H40&gt;1,"Several Players",IF(H40=1,INDEX(Data!$DT$91:$DT$190,MATCH(I40,OFFSET(Data!$DX$91:$DX$190,0,Specials!J40),0))&amp;" / "&amp;OFFSET(Data!$DX$89,0,Specials!J40),""))</f>
        <v/>
      </c>
      <c r="M40" s="2" t="s">
        <v>254</v>
      </c>
      <c r="N40" s="2" t="s">
        <v>255</v>
      </c>
      <c r="O40" s="78">
        <f t="shared" ca="1" si="0"/>
        <v>4</v>
      </c>
      <c r="P40" s="2" t="str">
        <f t="shared" ca="1" si="3"/>
        <v/>
      </c>
    </row>
    <row r="41" spans="1:16" hidden="1" x14ac:dyDescent="0.25">
      <c r="A41" s="292" t="s">
        <v>224</v>
      </c>
      <c r="B41" s="292">
        <f>MATCH(A41,Data!$DT:$DT,0)</f>
        <v>5</v>
      </c>
      <c r="C41" s="2">
        <f>INDEX(Parameter!$9:$9,,MATCH(7,Parameter!$8:$8,0))</f>
        <v>7</v>
      </c>
      <c r="D41" s="2">
        <f>INDEX(Parameter!$B$10:$AB$10,MATCH(C41,Parameter!$B$9:$AB$9,0))</f>
        <v>3</v>
      </c>
      <c r="H41" s="2">
        <f ca="1">INDEX(OFFSET(Data!$CS$1:$DS$1,B41-1,0),MATCH("Total/"&amp;C41,Data!$CS$1:$DS$1,0))</f>
        <v>0</v>
      </c>
      <c r="I41" s="2" t="str">
        <f t="shared" ca="1" si="2"/>
        <v/>
      </c>
      <c r="J41" s="2" t="str">
        <f t="array" aca="1" ref="J41" ca="1">IF(H41=1,MATCH(1,(OFFSET(Data!$DY$1:$IB$1,B41-1,0))*(Data!$DY$90:$IB$90=C41),0),"")</f>
        <v/>
      </c>
      <c r="L41" s="2" t="str">
        <f ca="1">IF(H41&gt;1,"Several Players",IF(H41=1,INDEX(Data!$DT$91:$DT$190,MATCH(I41,OFFSET(Data!$DX$91:$DX$190,0,Specials!J41),0))&amp;" / "&amp;OFFSET(Data!$DX$89,0,Specials!J41),""))</f>
        <v/>
      </c>
      <c r="M41" s="2" t="s">
        <v>254</v>
      </c>
      <c r="N41" s="2" t="s">
        <v>255</v>
      </c>
      <c r="O41" s="78">
        <f t="shared" ca="1" si="0"/>
        <v>4</v>
      </c>
      <c r="P41" s="2" t="str">
        <f t="shared" ca="1" si="3"/>
        <v/>
      </c>
    </row>
    <row r="42" spans="1:16" hidden="1" x14ac:dyDescent="0.25">
      <c r="A42" s="292" t="s">
        <v>224</v>
      </c>
      <c r="B42" s="292">
        <f>MATCH(A42,Data!$DT:$DT,0)</f>
        <v>5</v>
      </c>
      <c r="C42" s="2">
        <f>INDEX(Parameter!$9:$9,,MATCH(8,Parameter!$8:$8,0))</f>
        <v>8</v>
      </c>
      <c r="D42" s="2">
        <f>INDEX(Parameter!$B$10:$AB$10,MATCH(C42,Parameter!$B$9:$AB$9,0))</f>
        <v>3</v>
      </c>
      <c r="H42" s="2">
        <f ca="1">INDEX(OFFSET(Data!$CS$1:$DS$1,B42-1,0),MATCH("Total/"&amp;C42,Data!$CS$1:$DS$1,0))</f>
        <v>0</v>
      </c>
      <c r="I42" s="2" t="str">
        <f t="shared" ca="1" si="2"/>
        <v/>
      </c>
      <c r="J42" s="2" t="str">
        <f t="array" aca="1" ref="J42" ca="1">IF(H42=1,MATCH(1,(OFFSET(Data!$DY$1:$IB$1,B42-1,0))*(Data!$DY$90:$IB$90=C42),0),"")</f>
        <v/>
      </c>
      <c r="L42" s="2" t="str">
        <f ca="1">IF(H42&gt;1,"Several Players",IF(H42=1,INDEX(Data!$DT$91:$DT$190,MATCH(I42,OFFSET(Data!$DX$91:$DX$190,0,Specials!J42),0))&amp;" / "&amp;OFFSET(Data!$DX$89,0,Specials!J42),""))</f>
        <v/>
      </c>
      <c r="M42" s="2" t="s">
        <v>254</v>
      </c>
      <c r="N42" s="2" t="s">
        <v>255</v>
      </c>
      <c r="O42" s="78">
        <f t="shared" ca="1" si="0"/>
        <v>4</v>
      </c>
      <c r="P42" s="2" t="str">
        <f t="shared" ca="1" si="3"/>
        <v/>
      </c>
    </row>
    <row r="43" spans="1:16" hidden="1" x14ac:dyDescent="0.25">
      <c r="A43" s="292" t="s">
        <v>224</v>
      </c>
      <c r="B43" s="292">
        <f>MATCH(A43,Data!$DT:$DT,0)</f>
        <v>5</v>
      </c>
      <c r="C43" s="2">
        <f>INDEX(Parameter!$9:$9,,MATCH(9,Parameter!$8:$8,0))</f>
        <v>9</v>
      </c>
      <c r="D43" s="2">
        <f>INDEX(Parameter!$B$10:$AB$10,MATCH(C43,Parameter!$B$9:$AB$9,0))</f>
        <v>4</v>
      </c>
      <c r="H43" s="2">
        <f ca="1">INDEX(OFFSET(Data!$CS$1:$DS$1,B43-1,0),MATCH("Total/"&amp;C43,Data!$CS$1:$DS$1,0))</f>
        <v>0</v>
      </c>
      <c r="I43" s="2" t="str">
        <f t="shared" ca="1" si="2"/>
        <v/>
      </c>
      <c r="J43" s="2" t="str">
        <f t="array" aca="1" ref="J43" ca="1">IF(H43=1,MATCH(1,(OFFSET(Data!$DY$1:$IB$1,B43-1,0))*(Data!$DY$90:$IB$90=C43),0),"")</f>
        <v/>
      </c>
      <c r="L43" s="2" t="str">
        <f ca="1">IF(H43&gt;1,"Several Players",IF(H43=1,INDEX(Data!$DT$91:$DT$190,MATCH(I43,OFFSET(Data!$DX$91:$DX$190,0,Specials!J43),0))&amp;" / "&amp;OFFSET(Data!$DX$89,0,Specials!J43),""))</f>
        <v/>
      </c>
      <c r="M43" s="2" t="s">
        <v>254</v>
      </c>
      <c r="N43" s="2" t="s">
        <v>255</v>
      </c>
      <c r="O43" s="78">
        <f t="shared" ca="1" si="0"/>
        <v>4</v>
      </c>
      <c r="P43" s="2" t="str">
        <f t="shared" ca="1" si="3"/>
        <v/>
      </c>
    </row>
    <row r="44" spans="1:16" hidden="1" x14ac:dyDescent="0.25">
      <c r="A44" s="292" t="s">
        <v>224</v>
      </c>
      <c r="B44" s="292">
        <f>MATCH(A44,Data!$DT:$DT,0)</f>
        <v>5</v>
      </c>
      <c r="C44" s="2">
        <f>INDEX(Parameter!$9:$9,,MATCH(10,Parameter!$8:$8,0))</f>
        <v>10</v>
      </c>
      <c r="D44" s="2">
        <f>INDEX(Parameter!$B$10:$AB$10,MATCH(C44,Parameter!$B$9:$AB$9,0))</f>
        <v>4</v>
      </c>
      <c r="H44" s="2">
        <f ca="1">INDEX(OFFSET(Data!$CS$1:$DS$1,B44-1,0),MATCH("Total/"&amp;C44,Data!$CS$1:$DS$1,0))</f>
        <v>0</v>
      </c>
      <c r="I44" s="2" t="str">
        <f t="shared" ca="1" si="2"/>
        <v/>
      </c>
      <c r="J44" s="2" t="str">
        <f t="array" aca="1" ref="J44" ca="1">IF(H44=1,MATCH(1,(OFFSET(Data!$DY$1:$IB$1,B44-1,0))*(Data!$DY$90:$IB$90=C44),0),"")</f>
        <v/>
      </c>
      <c r="L44" s="2" t="str">
        <f ca="1">IF(H44&gt;1,"Several Players",IF(H44=1,INDEX(Data!$DT$91:$DT$190,MATCH(I44,OFFSET(Data!$DX$91:$DX$190,0,Specials!J44),0))&amp;" / "&amp;OFFSET(Data!$DX$89,0,Specials!J44),""))</f>
        <v/>
      </c>
      <c r="M44" s="2" t="s">
        <v>254</v>
      </c>
      <c r="N44" s="2" t="s">
        <v>255</v>
      </c>
      <c r="O44" s="78">
        <f t="shared" ca="1" si="0"/>
        <v>4</v>
      </c>
      <c r="P44" s="2" t="str">
        <f t="shared" ca="1" si="3"/>
        <v/>
      </c>
    </row>
    <row r="45" spans="1:16" hidden="1" x14ac:dyDescent="0.25">
      <c r="A45" s="292" t="s">
        <v>224</v>
      </c>
      <c r="B45" s="292">
        <f>MATCH(A45,Data!$DT:$DT,0)</f>
        <v>5</v>
      </c>
      <c r="C45" s="2">
        <f>INDEX(Parameter!$9:$9,,MATCH(11,Parameter!$8:$8,0))</f>
        <v>11</v>
      </c>
      <c r="D45" s="2">
        <f>INDEX(Parameter!$B$10:$AB$10,MATCH(C45,Parameter!$B$9:$AB$9,0))</f>
        <v>4</v>
      </c>
      <c r="H45" s="2">
        <f ca="1">INDEX(OFFSET(Data!$CS$1:$DS$1,B45-1,0),MATCH("Total/"&amp;C45,Data!$CS$1:$DS$1,0))</f>
        <v>0</v>
      </c>
      <c r="I45" s="2" t="str">
        <f t="shared" ca="1" si="2"/>
        <v/>
      </c>
      <c r="J45" s="2" t="str">
        <f t="array" aca="1" ref="J45" ca="1">IF(H45=1,MATCH(1,(OFFSET(Data!$DY$1:$IB$1,B45-1,0))*(Data!$DY$90:$IB$90=C45),0),"")</f>
        <v/>
      </c>
      <c r="L45" s="2" t="str">
        <f ca="1">IF(H45&gt;1,"Several Players",IF(H45=1,INDEX(Data!$DT$91:$DT$190,MATCH(I45,OFFSET(Data!$DX$91:$DX$190,0,Specials!J45),0))&amp;" / "&amp;OFFSET(Data!$DX$89,0,Specials!J45),""))</f>
        <v/>
      </c>
      <c r="M45" s="2" t="s">
        <v>254</v>
      </c>
      <c r="N45" s="2" t="s">
        <v>255</v>
      </c>
      <c r="O45" s="78">
        <f t="shared" ca="1" si="0"/>
        <v>4</v>
      </c>
      <c r="P45" s="2" t="str">
        <f t="shared" ca="1" si="3"/>
        <v/>
      </c>
    </row>
    <row r="46" spans="1:16" hidden="1" x14ac:dyDescent="0.25">
      <c r="A46" s="292" t="s">
        <v>224</v>
      </c>
      <c r="B46" s="292">
        <f>MATCH(A46,Data!$DT:$DT,0)</f>
        <v>5</v>
      </c>
      <c r="C46" s="2" t="str">
        <f>INDEX(Parameter!$9:$9,,MATCH(12,Parameter!$8:$8,0))</f>
        <v>11b</v>
      </c>
      <c r="D46" s="2">
        <f>INDEX(Parameter!$B$10:$AB$10,MATCH(C46,Parameter!$B$9:$AB$9,0))</f>
        <v>3</v>
      </c>
      <c r="H46" s="2">
        <f ca="1">INDEX(OFFSET(Data!$CS$1:$DS$1,B46-1,0),MATCH("Total/"&amp;C46,Data!$CS$1:$DS$1,0))</f>
        <v>0</v>
      </c>
      <c r="I46" s="2" t="str">
        <f t="shared" ca="1" si="2"/>
        <v/>
      </c>
      <c r="J46" s="2" t="str">
        <f t="array" aca="1" ref="J46" ca="1">IF(H46=1,MATCH(1,(OFFSET(Data!$DY$1:$IB$1,B46-1,0))*(Data!$DY$90:$IB$90=C46),0),"")</f>
        <v/>
      </c>
      <c r="L46" s="2" t="str">
        <f ca="1">IF(H46&gt;1,"Several Players",IF(H46=1,INDEX(Data!$DT$91:$DT$190,MATCH(I46,OFFSET(Data!$DX$91:$DX$190,0,Specials!J46),0))&amp;" / "&amp;OFFSET(Data!$DX$89,0,Specials!J46),""))</f>
        <v/>
      </c>
      <c r="M46" s="2" t="s">
        <v>254</v>
      </c>
      <c r="N46" s="2" t="s">
        <v>255</v>
      </c>
      <c r="O46" s="78">
        <f t="shared" ca="1" si="0"/>
        <v>4</v>
      </c>
      <c r="P46" s="2" t="str">
        <f t="shared" ca="1" si="3"/>
        <v/>
      </c>
    </row>
    <row r="47" spans="1:16" hidden="1" x14ac:dyDescent="0.25">
      <c r="A47" s="292" t="s">
        <v>224</v>
      </c>
      <c r="B47" s="292">
        <f>MATCH(A47,Data!$DT:$DT,0)</f>
        <v>5</v>
      </c>
      <c r="C47" s="2">
        <f>INDEX(Parameter!$9:$9,,MATCH(13,Parameter!$8:$8,0))</f>
        <v>12</v>
      </c>
      <c r="D47" s="2">
        <f>INDEX(Parameter!$B$10:$AB$10,MATCH(C47,Parameter!$B$9:$AB$9,0))</f>
        <v>3</v>
      </c>
      <c r="H47" s="2">
        <f ca="1">INDEX(OFFSET(Data!$CS$1:$DS$1,B47-1,0),MATCH("Total/"&amp;C47,Data!$CS$1:$DS$1,0))</f>
        <v>0</v>
      </c>
      <c r="I47" s="2" t="str">
        <f t="shared" ca="1" si="2"/>
        <v/>
      </c>
      <c r="J47" s="2" t="str">
        <f t="array" aca="1" ref="J47" ca="1">IF(H47=1,MATCH(1,(OFFSET(Data!$DY$1:$IB$1,B47-1,0))*(Data!$DY$90:$IB$90=C47),0),"")</f>
        <v/>
      </c>
      <c r="L47" s="2" t="str">
        <f ca="1">IF(H47&gt;1,"Several Players",IF(H47=1,INDEX(Data!$DT$91:$DT$190,MATCH(I47,OFFSET(Data!$DX$91:$DX$190,0,Specials!J47),0))&amp;" / "&amp;OFFSET(Data!$DX$89,0,Specials!J47),""))</f>
        <v/>
      </c>
      <c r="M47" s="2" t="s">
        <v>254</v>
      </c>
      <c r="N47" s="2" t="s">
        <v>255</v>
      </c>
      <c r="O47" s="78">
        <f t="shared" ca="1" si="0"/>
        <v>4</v>
      </c>
      <c r="P47" s="2" t="str">
        <f t="shared" ca="1" si="3"/>
        <v/>
      </c>
    </row>
    <row r="48" spans="1:16" hidden="1" x14ac:dyDescent="0.25">
      <c r="A48" s="292" t="s">
        <v>224</v>
      </c>
      <c r="B48" s="292">
        <f>MATCH(A48,Data!$DT:$DT,0)</f>
        <v>5</v>
      </c>
      <c r="C48" s="2">
        <f>INDEX(Parameter!$9:$9,,MATCH(14,Parameter!$8:$8,0))</f>
        <v>13</v>
      </c>
      <c r="D48" s="2">
        <f>INDEX(Parameter!$B$10:$AB$10,MATCH(C48,Parameter!$B$9:$AB$9,0))</f>
        <v>3</v>
      </c>
      <c r="H48" s="2">
        <f ca="1">INDEX(OFFSET(Data!$CS$1:$DS$1,B48-1,0),MATCH("Total/"&amp;C48,Data!$CS$1:$DS$1,0))</f>
        <v>0</v>
      </c>
      <c r="I48" s="2" t="str">
        <f t="shared" ca="1" si="2"/>
        <v/>
      </c>
      <c r="J48" s="2" t="str">
        <f t="array" aca="1" ref="J48" ca="1">IF(H48=1,MATCH(1,(OFFSET(Data!$DY$1:$IB$1,B48-1,0))*(Data!$DY$90:$IB$90=C48),0),"")</f>
        <v/>
      </c>
      <c r="L48" s="2" t="str">
        <f ca="1">IF(H48&gt;1,"Several Players",IF(H48=1,INDEX(Data!$DT$91:$DT$190,MATCH(I48,OFFSET(Data!$DX$91:$DX$190,0,Specials!J48),0))&amp;" / "&amp;OFFSET(Data!$DX$89,0,Specials!J48),""))</f>
        <v/>
      </c>
      <c r="M48" s="2" t="s">
        <v>254</v>
      </c>
      <c r="N48" s="2" t="s">
        <v>255</v>
      </c>
      <c r="O48" s="78">
        <f t="shared" ca="1" si="0"/>
        <v>4</v>
      </c>
      <c r="P48" s="2" t="str">
        <f t="shared" ca="1" si="3"/>
        <v/>
      </c>
    </row>
    <row r="49" spans="1:16" hidden="1" x14ac:dyDescent="0.25">
      <c r="A49" s="292" t="s">
        <v>224</v>
      </c>
      <c r="B49" s="292">
        <f>MATCH(A49,Data!$DT:$DT,0)</f>
        <v>5</v>
      </c>
      <c r="C49" s="2">
        <f>INDEX(Parameter!$9:$9,,MATCH(15,Parameter!$8:$8,0))</f>
        <v>14</v>
      </c>
      <c r="D49" s="2">
        <f>INDEX(Parameter!$B$10:$AB$10,MATCH(C49,Parameter!$B$9:$AB$9,0))</f>
        <v>3</v>
      </c>
      <c r="H49" s="2">
        <f ca="1">INDEX(OFFSET(Data!$CS$1:$DS$1,B49-1,0),MATCH("Total/"&amp;C49,Data!$CS$1:$DS$1,0))</f>
        <v>0</v>
      </c>
      <c r="I49" s="2" t="str">
        <f t="shared" ca="1" si="2"/>
        <v/>
      </c>
      <c r="J49" s="2" t="str">
        <f t="array" aca="1" ref="J49" ca="1">IF(H49=1,MATCH(1,(OFFSET(Data!$DY$1:$IB$1,B49-1,0))*(Data!$DY$90:$IB$90=C49),0),"")</f>
        <v/>
      </c>
      <c r="L49" s="2" t="str">
        <f ca="1">IF(H49&gt;1,"Several Players",IF(H49=1,INDEX(Data!$DT$91:$DT$190,MATCH(I49,OFFSET(Data!$DX$91:$DX$190,0,Specials!J49),0))&amp;" / "&amp;OFFSET(Data!$DX$89,0,Specials!J49),""))</f>
        <v/>
      </c>
      <c r="M49" s="2" t="s">
        <v>254</v>
      </c>
      <c r="N49" s="2" t="s">
        <v>255</v>
      </c>
      <c r="O49" s="78">
        <f t="shared" ca="1" si="0"/>
        <v>4</v>
      </c>
      <c r="P49" s="2" t="str">
        <f t="shared" ca="1" si="3"/>
        <v/>
      </c>
    </row>
    <row r="50" spans="1:16" hidden="1" x14ac:dyDescent="0.25">
      <c r="A50" s="292" t="s">
        <v>224</v>
      </c>
      <c r="B50" s="292">
        <f>MATCH(A50,Data!$DT:$DT,0)</f>
        <v>5</v>
      </c>
      <c r="C50" s="2">
        <f>INDEX(Parameter!$9:$9,,MATCH(16,Parameter!$8:$8,0))</f>
        <v>15</v>
      </c>
      <c r="D50" s="2">
        <f>INDEX(Parameter!$B$10:$AB$10,MATCH(C50,Parameter!$B$9:$AB$9,0))</f>
        <v>3</v>
      </c>
      <c r="H50" s="2">
        <f ca="1">INDEX(OFFSET(Data!$CS$1:$DS$1,B50-1,0),MATCH("Total/"&amp;C50,Data!$CS$1:$DS$1,0))</f>
        <v>0</v>
      </c>
      <c r="I50" s="2" t="str">
        <f t="shared" ca="1" si="2"/>
        <v/>
      </c>
      <c r="J50" s="2" t="str">
        <f t="array" aca="1" ref="J50" ca="1">IF(H50=1,MATCH(1,(OFFSET(Data!$DY$1:$IB$1,B50-1,0))*(Data!$DY$90:$IB$90=C50),0),"")</f>
        <v/>
      </c>
      <c r="L50" s="2" t="str">
        <f ca="1">IF(H50&gt;1,"Several Players",IF(H50=1,INDEX(Data!$DT$91:$DT$190,MATCH(I50,OFFSET(Data!$DX$91:$DX$190,0,Specials!J50),0))&amp;" / "&amp;OFFSET(Data!$DX$89,0,Specials!J50),""))</f>
        <v/>
      </c>
      <c r="M50" s="2" t="s">
        <v>254</v>
      </c>
      <c r="N50" s="2" t="s">
        <v>255</v>
      </c>
      <c r="O50" s="78">
        <f t="shared" ca="1" si="0"/>
        <v>4</v>
      </c>
      <c r="P50" s="2" t="str">
        <f t="shared" ca="1" si="3"/>
        <v/>
      </c>
    </row>
    <row r="51" spans="1:16" hidden="1" x14ac:dyDescent="0.25">
      <c r="A51" s="292" t="s">
        <v>224</v>
      </c>
      <c r="B51" s="292">
        <f>MATCH(A51,Data!$DT:$DT,0)</f>
        <v>5</v>
      </c>
      <c r="C51" s="2">
        <f>INDEX(Parameter!$9:$9,,MATCH(17,Parameter!$8:$8,0))</f>
        <v>16</v>
      </c>
      <c r="D51" s="2">
        <f>INDEX(Parameter!$B$10:$AB$10,MATCH(C51,Parameter!$B$9:$AB$9,0))</f>
        <v>3</v>
      </c>
      <c r="H51" s="2">
        <f ca="1">INDEX(OFFSET(Data!$CS$1:$DS$1,B51-1,0),MATCH("Total/"&amp;C51,Data!$CS$1:$DS$1,0))</f>
        <v>0</v>
      </c>
      <c r="I51" s="2" t="str">
        <f t="shared" ca="1" si="2"/>
        <v/>
      </c>
      <c r="J51" s="2" t="str">
        <f t="array" aca="1" ref="J51" ca="1">IF(H51=1,MATCH(1,(OFFSET(Data!$DY$1:$IB$1,B51-1,0))*(Data!$DY$90:$IB$90=C51),0),"")</f>
        <v/>
      </c>
      <c r="L51" s="2" t="str">
        <f ca="1">IF(H51&gt;1,"Several Players",IF(H51=1,INDEX(Data!$DT$91:$DT$190,MATCH(I51,OFFSET(Data!$DX$91:$DX$190,0,Specials!J51),0))&amp;" / "&amp;OFFSET(Data!$DX$89,0,Specials!J51),""))</f>
        <v/>
      </c>
      <c r="M51" s="2" t="s">
        <v>254</v>
      </c>
      <c r="N51" s="2" t="s">
        <v>255</v>
      </c>
      <c r="O51" s="78">
        <f t="shared" ca="1" si="0"/>
        <v>4</v>
      </c>
      <c r="P51" s="2" t="str">
        <f t="shared" ca="1" si="3"/>
        <v/>
      </c>
    </row>
    <row r="52" spans="1:16" hidden="1" x14ac:dyDescent="0.25">
      <c r="A52" s="292" t="s">
        <v>224</v>
      </c>
      <c r="B52" s="292">
        <f>MATCH(A52,Data!$DT:$DT,0)</f>
        <v>5</v>
      </c>
      <c r="C52" s="2">
        <f>INDEX(Parameter!$9:$9,,MATCH(18,Parameter!$8:$8,0))</f>
        <v>17</v>
      </c>
      <c r="D52" s="2">
        <f>INDEX(Parameter!$B$10:$AB$10,MATCH(C52,Parameter!$B$9:$AB$9,0))</f>
        <v>3</v>
      </c>
      <c r="H52" s="2">
        <f ca="1">INDEX(OFFSET(Data!$CS$1:$DS$1,B52-1,0),MATCH("Total/"&amp;C52,Data!$CS$1:$DS$1,0))</f>
        <v>0</v>
      </c>
      <c r="I52" s="2" t="str">
        <f t="shared" ca="1" si="2"/>
        <v/>
      </c>
      <c r="J52" s="2" t="str">
        <f t="array" aca="1" ref="J52" ca="1">IF(H52=1,MATCH(1,(OFFSET(Data!$DY$1:$IB$1,B52-1,0))*(Data!$DY$90:$IB$90=C52),0),"")</f>
        <v/>
      </c>
      <c r="L52" s="2" t="str">
        <f ca="1">IF(H52&gt;1,"Several Players",IF(H52=1,INDEX(Data!$DT$91:$DT$190,MATCH(I52,OFFSET(Data!$DX$91:$DX$190,0,Specials!J52),0))&amp;" / "&amp;OFFSET(Data!$DX$89,0,Specials!J52),""))</f>
        <v/>
      </c>
      <c r="M52" s="2" t="s">
        <v>254</v>
      </c>
      <c r="N52" s="2" t="s">
        <v>255</v>
      </c>
      <c r="O52" s="78">
        <f t="shared" ca="1" si="0"/>
        <v>4</v>
      </c>
      <c r="P52" s="2" t="str">
        <f t="shared" ca="1" si="3"/>
        <v/>
      </c>
    </row>
    <row r="53" spans="1:16" hidden="1" x14ac:dyDescent="0.25">
      <c r="A53" s="292" t="s">
        <v>224</v>
      </c>
      <c r="B53" s="292">
        <f>MATCH(A53,Data!$DT:$DT,0)</f>
        <v>5</v>
      </c>
      <c r="C53" s="2">
        <f>INDEX(Parameter!$9:$9,,MATCH(19,Parameter!$8:$8,0))</f>
        <v>18</v>
      </c>
      <c r="D53" s="2">
        <f>INDEX(Parameter!$B$10:$AB$10,MATCH(C53,Parameter!$B$9:$AB$9,0))</f>
        <v>3</v>
      </c>
      <c r="H53" s="2">
        <f ca="1">INDEX(OFFSET(Data!$CS$1:$DS$1,B53-1,0),MATCH("Total/"&amp;C53,Data!$CS$1:$DS$1,0))</f>
        <v>0</v>
      </c>
      <c r="I53" s="2" t="str">
        <f t="shared" ca="1" si="2"/>
        <v/>
      </c>
      <c r="J53" s="2" t="str">
        <f t="array" aca="1" ref="J53" ca="1">IF(H53=1,MATCH(1,(OFFSET(Data!$DY$1:$IB$1,B53-1,0))*(Data!$DY$90:$IB$90=C53),0),"")</f>
        <v/>
      </c>
      <c r="L53" s="2" t="str">
        <f ca="1">IF(H53&gt;1,"Several Players",IF(H53=1,INDEX(Data!$DT$91:$DT$190,MATCH(I53,OFFSET(Data!$DX$91:$DX$190,0,Specials!J53),0))&amp;" / "&amp;OFFSET(Data!$DX$89,0,Specials!J53),""))</f>
        <v/>
      </c>
      <c r="M53" s="2" t="s">
        <v>254</v>
      </c>
      <c r="N53" s="2" t="s">
        <v>255</v>
      </c>
      <c r="O53" s="78">
        <f t="shared" ca="1" si="0"/>
        <v>4</v>
      </c>
      <c r="P53" s="2" t="str">
        <f t="shared" ca="1" si="3"/>
        <v/>
      </c>
    </row>
    <row r="54" spans="1:16" hidden="1" x14ac:dyDescent="0.25">
      <c r="A54" s="292" t="s">
        <v>224</v>
      </c>
      <c r="B54" s="292">
        <f>MATCH(A54,Data!$DT:$DT,0)</f>
        <v>5</v>
      </c>
      <c r="C54" s="2">
        <f>INDEX(Parameter!$9:$9,,MATCH(20,Parameter!$8:$8,0))</f>
        <v>20</v>
      </c>
      <c r="D54" s="2" t="str">
        <f>INDEX(Parameter!$B$10:$AB$10,MATCH(C54,Parameter!$B$9:$AB$9,0))</f>
        <v>no</v>
      </c>
      <c r="H54" s="2">
        <f ca="1">INDEX(OFFSET(Data!$CS$1:$DS$1,B54-1,0),MATCH("Total/"&amp;C54,Data!$CS$1:$DS$1,0))</f>
        <v>0</v>
      </c>
      <c r="I54" s="2" t="str">
        <f t="shared" ca="1" si="2"/>
        <v/>
      </c>
      <c r="J54" s="2" t="str">
        <f t="array" aca="1" ref="J54" ca="1">IF(H54=1,MATCH(1,(OFFSET(Data!$DY$1:$IB$1,B54-1,0))*(Data!$DY$90:$IB$90=C54),0),"")</f>
        <v/>
      </c>
      <c r="L54" s="2" t="str">
        <f ca="1">IF(H54&gt;1,"Several Players",IF(H54=1,INDEX(Data!$DT$91:$DT$190,MATCH(I54,OFFSET(Data!$DX$91:$DX$190,0,Specials!J54),0))&amp;" / "&amp;OFFSET(Data!$DX$89,0,Specials!J54),""))</f>
        <v/>
      </c>
      <c r="M54" s="2" t="s">
        <v>254</v>
      </c>
      <c r="N54" s="2" t="s">
        <v>255</v>
      </c>
      <c r="O54" s="78">
        <f t="shared" ca="1" si="0"/>
        <v>4</v>
      </c>
      <c r="P54" s="2" t="str">
        <f t="shared" ca="1" si="3"/>
        <v/>
      </c>
    </row>
    <row r="55" spans="1:16" hidden="1" x14ac:dyDescent="0.25">
      <c r="A55" s="292" t="s">
        <v>224</v>
      </c>
      <c r="B55" s="292">
        <f>MATCH(A55,Data!$DT:$DT,0)</f>
        <v>5</v>
      </c>
      <c r="C55" s="2">
        <f>INDEX(Parameter!$9:$9,,MATCH(21,Parameter!$8:$8,0))</f>
        <v>21</v>
      </c>
      <c r="D55" s="2" t="str">
        <f>INDEX(Parameter!$B$10:$AB$10,MATCH(C55,Parameter!$B$9:$AB$9,0))</f>
        <v>no</v>
      </c>
      <c r="H55" s="2">
        <f ca="1">INDEX(OFFSET(Data!$CS$1:$DS$1,B55-1,0),MATCH("Total/"&amp;C55,Data!$CS$1:$DS$1,0))</f>
        <v>0</v>
      </c>
      <c r="I55" s="2" t="str">
        <f t="shared" ca="1" si="2"/>
        <v/>
      </c>
      <c r="J55" s="2" t="str">
        <f t="array" aca="1" ref="J55" ca="1">IF(H55=1,MATCH(1,(OFFSET(Data!$DY$1:$IB$1,B55-1,0))*(Data!$DY$90:$IB$90=C55),0),"")</f>
        <v/>
      </c>
      <c r="L55" s="2" t="str">
        <f ca="1">IF(H55&gt;1,"Several Players",IF(H55=1,INDEX(Data!$DT$91:$DT$190,MATCH(I55,OFFSET(Data!$DX$91:$DX$190,0,Specials!J55),0))&amp;" / "&amp;OFFSET(Data!$DX$89,0,Specials!J55),""))</f>
        <v/>
      </c>
      <c r="M55" s="2" t="s">
        <v>254</v>
      </c>
      <c r="N55" s="2" t="s">
        <v>255</v>
      </c>
      <c r="O55" s="78">
        <f t="shared" ca="1" si="0"/>
        <v>4</v>
      </c>
      <c r="P55" s="2" t="str">
        <f t="shared" ca="1" si="3"/>
        <v/>
      </c>
    </row>
    <row r="56" spans="1:16" hidden="1" x14ac:dyDescent="0.25">
      <c r="A56" s="292" t="s">
        <v>224</v>
      </c>
      <c r="B56" s="292">
        <f>MATCH(A56,Data!$DT:$DT,0)</f>
        <v>5</v>
      </c>
      <c r="C56" s="2">
        <f>INDEX(Parameter!$9:$9,,MATCH(22,Parameter!$8:$8,0))</f>
        <v>22</v>
      </c>
      <c r="D56" s="2" t="str">
        <f>INDEX(Parameter!$B$10:$AB$10,MATCH(C56,Parameter!$B$9:$AB$9,0))</f>
        <v>no</v>
      </c>
      <c r="H56" s="2">
        <f ca="1">INDEX(OFFSET(Data!$CS$1:$DS$1,B56-1,0),MATCH("Total/"&amp;C56,Data!$CS$1:$DS$1,0))</f>
        <v>0</v>
      </c>
      <c r="I56" s="2" t="str">
        <f t="shared" ca="1" si="2"/>
        <v/>
      </c>
      <c r="J56" s="2" t="str">
        <f t="array" aca="1" ref="J56" ca="1">IF(H56=1,MATCH(1,(OFFSET(Data!$DY$1:$IB$1,B56-1,0))*(Data!$DY$90:$IB$90=C56),0),"")</f>
        <v/>
      </c>
      <c r="L56" s="2" t="str">
        <f ca="1">IF(H56&gt;1,"Several Players",IF(H56=1,INDEX(Data!$DT$91:$DT$190,MATCH(I56,OFFSET(Data!$DX$91:$DX$190,0,Specials!J56),0))&amp;" / "&amp;OFFSET(Data!$DX$89,0,Specials!J56),""))</f>
        <v/>
      </c>
      <c r="M56" s="2" t="s">
        <v>254</v>
      </c>
      <c r="N56" s="2" t="s">
        <v>255</v>
      </c>
      <c r="O56" s="78">
        <f t="shared" ca="1" si="0"/>
        <v>4</v>
      </c>
      <c r="P56" s="2" t="str">
        <f t="shared" ca="1" si="3"/>
        <v/>
      </c>
    </row>
    <row r="57" spans="1:16" hidden="1" x14ac:dyDescent="0.25">
      <c r="A57" s="292" t="s">
        <v>224</v>
      </c>
      <c r="B57" s="292">
        <f>MATCH(A57,Data!$DT:$DT,0)</f>
        <v>5</v>
      </c>
      <c r="C57" s="2">
        <f>INDEX(Parameter!$9:$9,,MATCH(23,Parameter!$8:$8,0))</f>
        <v>23</v>
      </c>
      <c r="D57" s="2" t="str">
        <f>INDEX(Parameter!$B$10:$AB$10,MATCH(C57,Parameter!$B$9:$AB$9,0))</f>
        <v>no</v>
      </c>
      <c r="H57" s="2">
        <f ca="1">INDEX(OFFSET(Data!$CS$1:$DS$1,B57-1,0),MATCH("Total/"&amp;C57,Data!$CS$1:$DS$1,0))</f>
        <v>0</v>
      </c>
      <c r="I57" s="2" t="str">
        <f t="shared" ca="1" si="2"/>
        <v/>
      </c>
      <c r="J57" s="2" t="str">
        <f t="array" aca="1" ref="J57" ca="1">IF(H57=1,MATCH(1,(OFFSET(Data!$DY$1:$IB$1,B57-1,0))*(Data!$DY$90:$IB$90=C57),0),"")</f>
        <v/>
      </c>
      <c r="L57" s="2" t="str">
        <f ca="1">IF(H57&gt;1,"Several Players",IF(H57=1,INDEX(Data!$DT$91:$DT$190,MATCH(I57,OFFSET(Data!$DX$91:$DX$190,0,Specials!J57),0))&amp;" / "&amp;OFFSET(Data!$DX$89,0,Specials!J57),""))</f>
        <v/>
      </c>
      <c r="M57" s="2" t="s">
        <v>254</v>
      </c>
      <c r="N57" s="2" t="s">
        <v>255</v>
      </c>
      <c r="O57" s="78">
        <f t="shared" ca="1" si="0"/>
        <v>4</v>
      </c>
      <c r="P57" s="2" t="str">
        <f t="shared" ca="1" si="3"/>
        <v/>
      </c>
    </row>
    <row r="58" spans="1:16" hidden="1" x14ac:dyDescent="0.25">
      <c r="A58" s="292" t="s">
        <v>224</v>
      </c>
      <c r="B58" s="292">
        <f>MATCH(A58,Data!$DT:$DT,0)</f>
        <v>5</v>
      </c>
      <c r="C58" s="2">
        <f>INDEX(Parameter!$9:$9,,MATCH(24,Parameter!$8:$8,0))</f>
        <v>24</v>
      </c>
      <c r="D58" s="2" t="str">
        <f>INDEX(Parameter!$B$10:$AB$10,MATCH(C58,Parameter!$B$9:$AB$9,0))</f>
        <v>no</v>
      </c>
      <c r="H58" s="2">
        <f ca="1">INDEX(OFFSET(Data!$CS$1:$DS$1,B58-1,0),MATCH("Total/"&amp;C58,Data!$CS$1:$DS$1,0))</f>
        <v>0</v>
      </c>
      <c r="I58" s="2" t="str">
        <f t="shared" ca="1" si="2"/>
        <v/>
      </c>
      <c r="J58" s="2" t="str">
        <f t="array" aca="1" ref="J58" ca="1">IF(H58=1,MATCH(1,(OFFSET(Data!$DY$1:$IB$1,B58-1,0))*(Data!$DY$90:$IB$90=C58),0),"")</f>
        <v/>
      </c>
      <c r="L58" s="2" t="str">
        <f ca="1">IF(H58&gt;1,"Several Players",IF(H58=1,INDEX(Data!$DT$91:$DT$190,MATCH(I58,OFFSET(Data!$DX$91:$DX$190,0,Specials!J58),0))&amp;" / "&amp;OFFSET(Data!$DX$89,0,Specials!J58),""))</f>
        <v/>
      </c>
      <c r="M58" s="2" t="s">
        <v>254</v>
      </c>
      <c r="N58" s="2" t="s">
        <v>255</v>
      </c>
      <c r="O58" s="78">
        <f t="shared" ca="1" si="0"/>
        <v>4</v>
      </c>
      <c r="P58" s="2" t="str">
        <f t="shared" ca="1" si="3"/>
        <v/>
      </c>
    </row>
    <row r="59" spans="1:16" hidden="1" x14ac:dyDescent="0.25">
      <c r="A59" s="292" t="s">
        <v>224</v>
      </c>
      <c r="B59" s="292">
        <f>MATCH(A59,Data!$DT:$DT,0)</f>
        <v>5</v>
      </c>
      <c r="C59" s="2">
        <f>INDEX(Parameter!$9:$9,,MATCH(25,Parameter!$8:$8,0))</f>
        <v>25</v>
      </c>
      <c r="D59" s="2" t="str">
        <f>INDEX(Parameter!$B$10:$AB$10,MATCH(C59,Parameter!$B$9:$AB$9,0))</f>
        <v>no</v>
      </c>
      <c r="H59" s="2">
        <f ca="1">INDEX(OFFSET(Data!$CS$1:$DS$1,B59-1,0),MATCH("Total/"&amp;C59,Data!$CS$1:$DS$1,0))</f>
        <v>0</v>
      </c>
      <c r="I59" s="2" t="str">
        <f t="shared" ca="1" si="2"/>
        <v/>
      </c>
      <c r="J59" s="2" t="str">
        <f t="array" aca="1" ref="J59" ca="1">IF(H59=1,MATCH(1,(OFFSET(Data!$DY$1:$IB$1,B59-1,0))*(Data!$DY$90:$IB$90=C59),0),"")</f>
        <v/>
      </c>
      <c r="L59" s="2" t="str">
        <f ca="1">IF(H59&gt;1,"Several Players",IF(H59=1,INDEX(Data!$DT$91:$DT$190,MATCH(I59,OFFSET(Data!$DX$91:$DX$190,0,Specials!J59),0))&amp;" / "&amp;OFFSET(Data!$DX$89,0,Specials!J59),""))</f>
        <v/>
      </c>
      <c r="M59" s="2" t="s">
        <v>254</v>
      </c>
      <c r="N59" s="2" t="s">
        <v>255</v>
      </c>
      <c r="O59" s="78">
        <f t="shared" ca="1" si="0"/>
        <v>4</v>
      </c>
      <c r="P59" s="2" t="str">
        <f t="shared" ca="1" si="3"/>
        <v/>
      </c>
    </row>
    <row r="60" spans="1:16" hidden="1" x14ac:dyDescent="0.25">
      <c r="A60" s="292" t="s">
        <v>224</v>
      </c>
      <c r="B60" s="292">
        <f>MATCH(A60,Data!$DT:$DT,0)</f>
        <v>5</v>
      </c>
      <c r="C60" s="2">
        <f>INDEX(Parameter!$9:$9,,MATCH(26,Parameter!$8:$8,0))</f>
        <v>26</v>
      </c>
      <c r="D60" s="2" t="str">
        <f>INDEX(Parameter!$B$10:$AB$10,MATCH(C60,Parameter!$B$9:$AB$9,0))</f>
        <v>no</v>
      </c>
      <c r="H60" s="2">
        <f ca="1">INDEX(OFFSET(Data!$CS$1:$DS$1,B60-1,0),MATCH("Total/"&amp;C60,Data!$CS$1:$DS$1,0))</f>
        <v>0</v>
      </c>
      <c r="I60" s="2" t="str">
        <f t="shared" ca="1" si="2"/>
        <v/>
      </c>
      <c r="J60" s="2" t="str">
        <f t="array" aca="1" ref="J60" ca="1">IF(H60=1,MATCH(1,(OFFSET(Data!$DY$1:$IB$1,B60-1,0))*(Data!$DY$90:$IB$90=C60),0),"")</f>
        <v/>
      </c>
      <c r="L60" s="2" t="str">
        <f ca="1">IF(H60&gt;1,"Several Players",IF(H60=1,INDEX(Data!$DT$91:$DT$190,MATCH(I60,OFFSET(Data!$DX$91:$DX$190,0,Specials!J60),0))&amp;" / "&amp;OFFSET(Data!$DX$89,0,Specials!J60),""))</f>
        <v/>
      </c>
      <c r="M60" s="2" t="s">
        <v>254</v>
      </c>
      <c r="N60" s="2" t="s">
        <v>255</v>
      </c>
      <c r="O60" s="78">
        <f t="shared" ca="1" si="0"/>
        <v>4</v>
      </c>
      <c r="P60" s="2" t="str">
        <f t="shared" ca="1" si="3"/>
        <v/>
      </c>
    </row>
    <row r="61" spans="1:16" hidden="1" x14ac:dyDescent="0.25">
      <c r="A61" s="292" t="s">
        <v>224</v>
      </c>
      <c r="B61" s="292">
        <f>MATCH(A61,Data!$DT:$DT,0)</f>
        <v>5</v>
      </c>
      <c r="C61" s="2">
        <f>INDEX(Parameter!$9:$9,,MATCH(27,Parameter!$8:$8,0))</f>
        <v>27</v>
      </c>
      <c r="D61" s="2" t="str">
        <f>INDEX(Parameter!$B$10:$AB$10,MATCH(C61,Parameter!$B$9:$AB$9,0))</f>
        <v>no</v>
      </c>
      <c r="H61" s="2">
        <f ca="1">INDEX(OFFSET(Data!$CS$1:$DS$1,B61-1,0),MATCH("Total/"&amp;C61,Data!$CS$1:$DS$1,0))</f>
        <v>0</v>
      </c>
      <c r="I61" s="2" t="str">
        <f t="shared" ca="1" si="2"/>
        <v/>
      </c>
      <c r="J61" s="2" t="str">
        <f t="array" aca="1" ref="J61" ca="1">IF(H61=1,MATCH(1,(OFFSET(Data!$DY$1:$IB$1,B61-1,0))*(Data!$DY$90:$IB$90=C61),0),"")</f>
        <v/>
      </c>
      <c r="L61" s="2" t="str">
        <f ca="1">IF(H61&gt;1,"Several Players",IF(H61=1,INDEX(Data!$DT$91:$DT$190,MATCH(I61,OFFSET(Data!$DX$91:$DX$190,0,Specials!J61),0))&amp;" / "&amp;OFFSET(Data!$DX$89,0,Specials!J61),""))</f>
        <v/>
      </c>
      <c r="M61" s="2" t="s">
        <v>254</v>
      </c>
      <c r="N61" s="2" t="s">
        <v>255</v>
      </c>
      <c r="O61" s="78">
        <f t="shared" ca="1" si="0"/>
        <v>4</v>
      </c>
      <c r="P61" s="2" t="str">
        <f ca="1">IF(H61&gt;0,H61&amp;" Ace(s) on hole "&amp;$C61&amp;" (par "&amp;D61&amp;")","")</f>
        <v/>
      </c>
    </row>
    <row r="62" spans="1:16" hidden="1" x14ac:dyDescent="0.25">
      <c r="A62" s="293" t="s">
        <v>372</v>
      </c>
      <c r="B62" s="292"/>
      <c r="H62" s="2">
        <f>SUM(Data!CS5:DS5)</f>
        <v>0</v>
      </c>
      <c r="J62" s="2" t="str">
        <f t="array" aca="1" ref="J62" ca="1">IF(H62=1,MATCH(1,(OFFSET(Data!$DY$1:$IB$1,B62-1,0))*(Data!$DY$90:$IB$90=C62),0),"")</f>
        <v/>
      </c>
      <c r="L62" s="2" t="str">
        <f>""</f>
        <v/>
      </c>
      <c r="M62" s="2" t="s">
        <v>254</v>
      </c>
      <c r="N62" s="2" t="s">
        <v>255</v>
      </c>
      <c r="O62" s="78">
        <f t="shared" ca="1" si="0"/>
        <v>5</v>
      </c>
      <c r="P62" s="2" t="str">
        <f>IF(H62=0,"No Aces in tournament","")</f>
        <v>No Aces in tournament</v>
      </c>
    </row>
    <row r="63" spans="1:16" s="65" customFormat="1" ht="15" hidden="1" customHeight="1" x14ac:dyDescent="0.25">
      <c r="A63" s="294" t="s">
        <v>225</v>
      </c>
      <c r="B63" s="294">
        <f>MATCH(A63,Data!$DT:$DT,0)</f>
        <v>6</v>
      </c>
      <c r="C63" s="65">
        <f>INDEX(Parameter!$9:$9,,MATCH(1,Parameter!$8:$8,0))</f>
        <v>1</v>
      </c>
      <c r="D63" s="65">
        <f>INDEX(Parameter!$B$10:$AB$10,MATCH(C63,Parameter!$B$9:$AB$9,0))</f>
        <v>3</v>
      </c>
      <c r="H63" s="65">
        <f ca="1">INDEX(OFFSET(Data!$CS$1:$DS$1,B63-1,0),MATCH("Total/"&amp;C63,Data!$CS$1:$DS$1,0))</f>
        <v>0</v>
      </c>
      <c r="I63" s="65" t="str">
        <f ca="1">IF(H63&gt;0,D63-3,"")</f>
        <v/>
      </c>
      <c r="J63" s="65" t="str">
        <f t="array" aca="1" ref="J63" ca="1">IF(H63=1,MATCH(1,(OFFSET(Data!$DY$1:$IB$1,B63-1,0))*(Data!$DY$90:$IB$90=C63),0),"")</f>
        <v/>
      </c>
      <c r="L63" s="65" t="str">
        <f ca="1">IF(H63&gt;1,"Several Players or rounds",IF(H63=1,INDEX(Data!$DT$91:$DT$190,MATCH(I63,OFFSET(Data!$DX$91:$DX$190,0,Specials!J63),0))&amp;" / "&amp;OFFSET(Data!$DX$89,0,Specials!J63),""))</f>
        <v/>
      </c>
      <c r="M63" s="65" t="s">
        <v>254</v>
      </c>
      <c r="N63" s="65" t="s">
        <v>255</v>
      </c>
      <c r="O63" s="65">
        <f t="shared" ca="1" si="0"/>
        <v>5</v>
      </c>
      <c r="P63" s="65" t="str">
        <f ca="1">IF(H63&gt;0,H63&amp;" Alabatross(es) on hole "&amp;$C63&amp;" (par "&amp;D63&amp;")","")</f>
        <v/>
      </c>
    </row>
    <row r="64" spans="1:16" s="65" customFormat="1" hidden="1" x14ac:dyDescent="0.25">
      <c r="A64" s="294" t="s">
        <v>225</v>
      </c>
      <c r="B64" s="294">
        <f>MATCH(A64,Data!$DT:$DT,0)</f>
        <v>6</v>
      </c>
      <c r="C64" s="65">
        <f>INDEX(Parameter!$9:$9,,MATCH(2,Parameter!$8:$8,0))</f>
        <v>2</v>
      </c>
      <c r="D64" s="65">
        <f>INDEX(Parameter!$B$10:$AB$10,MATCH(C64,Parameter!$B$9:$AB$9,0))</f>
        <v>3</v>
      </c>
      <c r="H64" s="65">
        <f ca="1">INDEX(OFFSET(Data!$CS$1:$DS$1,B64-1,0),MATCH("Total/"&amp;C64,Data!$CS$1:$DS$1,0))</f>
        <v>0</v>
      </c>
      <c r="I64" s="65" t="str">
        <f t="shared" ref="I64:I89" ca="1" si="4">IF(H64&gt;0,D64-3,"")</f>
        <v/>
      </c>
      <c r="J64" s="65" t="str">
        <f t="array" aca="1" ref="J64" ca="1">IF(H64=1,MATCH(1,(OFFSET(Data!$DY$1:$IB$1,B64-1,0))*(Data!$DY$90:$IB$90=C64),0),"")</f>
        <v/>
      </c>
      <c r="L64" s="65" t="str">
        <f ca="1">IF(H64&gt;1,"Several Players or rounds",IF(H64=1,INDEX(Data!$DT$91:$DT$190,MATCH(I64,OFFSET(Data!$DX$91:$DX$190,0,Specials!J64),0))&amp;" / "&amp;OFFSET(Data!$DX$89,0,Specials!J64),""))</f>
        <v/>
      </c>
      <c r="M64" s="65" t="s">
        <v>254</v>
      </c>
      <c r="N64" s="65" t="s">
        <v>255</v>
      </c>
      <c r="O64" s="65">
        <f t="shared" ca="1" si="0"/>
        <v>5</v>
      </c>
      <c r="P64" s="65" t="str">
        <f t="shared" ref="P64:P88" ca="1" si="5">IF(H64&gt;0,H64&amp;" Alabatross(es) on hole "&amp;$C64&amp;" (par "&amp;D64&amp;")","")</f>
        <v/>
      </c>
    </row>
    <row r="65" spans="1:16" s="65" customFormat="1" hidden="1" x14ac:dyDescent="0.25">
      <c r="A65" s="294" t="s">
        <v>225</v>
      </c>
      <c r="B65" s="294">
        <f>MATCH(A65,Data!$DT:$DT,0)</f>
        <v>6</v>
      </c>
      <c r="C65" s="65">
        <f>INDEX(Parameter!$9:$9,,MATCH(3,Parameter!$8:$8,0))</f>
        <v>3</v>
      </c>
      <c r="D65" s="65">
        <f>INDEX(Parameter!$B$10:$AB$10,MATCH(C65,Parameter!$B$9:$AB$9,0))</f>
        <v>3</v>
      </c>
      <c r="H65" s="65">
        <f ca="1">INDEX(OFFSET(Data!$CS$1:$DS$1,B65-1,0),MATCH("Total/"&amp;C65,Data!$CS$1:$DS$1,0))</f>
        <v>0</v>
      </c>
      <c r="I65" s="65" t="str">
        <f t="shared" ca="1" si="4"/>
        <v/>
      </c>
      <c r="J65" s="65" t="str">
        <f t="array" aca="1" ref="J65" ca="1">IF(H65=1,MATCH(1,(OFFSET(Data!$DY$1:$IB$1,B65-1,0))*(Data!$DY$90:$IB$90=C65),0),"")</f>
        <v/>
      </c>
      <c r="L65" s="65" t="str">
        <f ca="1">IF(H65&gt;1,"Several Players or rounds",IF(H65=1,INDEX(Data!$DT$91:$DT$190,MATCH(I65,OFFSET(Data!$DX$91:$DX$190,0,Specials!J65),0))&amp;" / "&amp;OFFSET(Data!$DX$89,0,Specials!J65),""))</f>
        <v/>
      </c>
      <c r="M65" s="65" t="s">
        <v>254</v>
      </c>
      <c r="N65" s="65" t="s">
        <v>255</v>
      </c>
      <c r="O65" s="65">
        <f t="shared" ca="1" si="0"/>
        <v>5</v>
      </c>
      <c r="P65" s="65" t="str">
        <f t="shared" ca="1" si="5"/>
        <v/>
      </c>
    </row>
    <row r="66" spans="1:16" s="65" customFormat="1" hidden="1" x14ac:dyDescent="0.25">
      <c r="A66" s="294" t="s">
        <v>225</v>
      </c>
      <c r="B66" s="294">
        <f>MATCH(A66,Data!$DT:$DT,0)</f>
        <v>6</v>
      </c>
      <c r="C66" s="65">
        <f>INDEX(Parameter!$9:$9,,MATCH(4,Parameter!$8:$8,0))</f>
        <v>4</v>
      </c>
      <c r="D66" s="65">
        <f>INDEX(Parameter!$B$10:$AB$10,MATCH(C66,Parameter!$B$9:$AB$9,0))</f>
        <v>3</v>
      </c>
      <c r="H66" s="65">
        <f ca="1">INDEX(OFFSET(Data!$CS$1:$DS$1,B66-1,0),MATCH("Total/"&amp;C66,Data!$CS$1:$DS$1,0))</f>
        <v>0</v>
      </c>
      <c r="I66" s="65" t="str">
        <f t="shared" ca="1" si="4"/>
        <v/>
      </c>
      <c r="J66" s="65" t="str">
        <f t="array" aca="1" ref="J66" ca="1">IF(H66=1,MATCH(1,(OFFSET(Data!$DY$1:$IB$1,B66-1,0))*(Data!$DY$90:$IB$90=C66),0),"")</f>
        <v/>
      </c>
      <c r="L66" s="65" t="str">
        <f ca="1">IF(H66&gt;1,"Several Players or rounds",IF(H66=1,INDEX(Data!$DT$91:$DT$190,MATCH(I66,OFFSET(Data!$DX$91:$DX$190,0,Specials!J66),0))&amp;" / "&amp;OFFSET(Data!$DX$89,0,Specials!J66),""))</f>
        <v/>
      </c>
      <c r="M66" s="65" t="s">
        <v>254</v>
      </c>
      <c r="N66" s="65" t="s">
        <v>255</v>
      </c>
      <c r="O66" s="65">
        <f t="shared" ca="1" si="0"/>
        <v>5</v>
      </c>
      <c r="P66" s="65" t="str">
        <f t="shared" ca="1" si="5"/>
        <v/>
      </c>
    </row>
    <row r="67" spans="1:16" s="65" customFormat="1" hidden="1" x14ac:dyDescent="0.25">
      <c r="A67" s="294" t="s">
        <v>225</v>
      </c>
      <c r="B67" s="294">
        <f>MATCH(A67,Data!$DT:$DT,0)</f>
        <v>6</v>
      </c>
      <c r="C67" s="65">
        <f>INDEX(Parameter!$9:$9,,MATCH(5,Parameter!$8:$8,0))</f>
        <v>5</v>
      </c>
      <c r="D67" s="65">
        <f>INDEX(Parameter!$B$10:$AB$10,MATCH(C67,Parameter!$B$9:$AB$9,0))</f>
        <v>4</v>
      </c>
      <c r="H67" s="65">
        <f ca="1">INDEX(OFFSET(Data!$CS$1:$DS$1,B67-1,0),MATCH("Total/"&amp;C67,Data!$CS$1:$DS$1,0))</f>
        <v>0</v>
      </c>
      <c r="I67" s="65" t="str">
        <f t="shared" ca="1" si="4"/>
        <v/>
      </c>
      <c r="J67" s="65" t="str">
        <f t="array" aca="1" ref="J67" ca="1">IF(H67=1,MATCH(1,(OFFSET(Data!$DY$1:$IB$1,B67-1,0))*(Data!$DY$90:$IB$90=C67),0),"")</f>
        <v/>
      </c>
      <c r="L67" s="65" t="str">
        <f ca="1">IF(H67&gt;1,"Several Players or rounds",IF(H67=1,INDEX(Data!$DT$91:$DT$190,MATCH(I67,OFFSET(Data!$DX$91:$DX$190,0,Specials!J67),0))&amp;" / "&amp;OFFSET(Data!$DX$89,0,Specials!J67),""))</f>
        <v/>
      </c>
      <c r="M67" s="65" t="s">
        <v>254</v>
      </c>
      <c r="N67" s="65" t="s">
        <v>255</v>
      </c>
      <c r="O67" s="65">
        <f t="shared" ca="1" si="0"/>
        <v>5</v>
      </c>
      <c r="P67" s="65" t="str">
        <f t="shared" ca="1" si="5"/>
        <v/>
      </c>
    </row>
    <row r="68" spans="1:16" s="65" customFormat="1" hidden="1" x14ac:dyDescent="0.25">
      <c r="A68" s="294" t="s">
        <v>225</v>
      </c>
      <c r="B68" s="294">
        <f>MATCH(A68,Data!$DT:$DT,0)</f>
        <v>6</v>
      </c>
      <c r="C68" s="65">
        <f>INDEX(Parameter!$9:$9,,MATCH(6,Parameter!$8:$8,0))</f>
        <v>6</v>
      </c>
      <c r="D68" s="65">
        <f>INDEX(Parameter!$B$10:$AB$10,MATCH(C68,Parameter!$B$9:$AB$9,0))</f>
        <v>3</v>
      </c>
      <c r="H68" s="65">
        <f ca="1">INDEX(OFFSET(Data!$CS$1:$DS$1,B68-1,0),MATCH("Total/"&amp;C68,Data!$CS$1:$DS$1,0))</f>
        <v>0</v>
      </c>
      <c r="I68" s="65" t="str">
        <f t="shared" ca="1" si="4"/>
        <v/>
      </c>
      <c r="J68" s="65" t="str">
        <f t="array" aca="1" ref="J68" ca="1">IF(H68=1,MATCH(1,(OFFSET(Data!$DY$1:$IB$1,B68-1,0))*(Data!$DY$90:$IB$90=C68),0),"")</f>
        <v/>
      </c>
      <c r="L68" s="65" t="str">
        <f ca="1">IF(H68&gt;1,"Several Players or rounds",IF(H68=1,INDEX(Data!$DT$91:$DT$190,MATCH(I68,OFFSET(Data!$DX$91:$DX$190,0,Specials!J68),0))&amp;" / "&amp;OFFSET(Data!$DX$89,0,Specials!J68),""))</f>
        <v/>
      </c>
      <c r="M68" s="65" t="s">
        <v>254</v>
      </c>
      <c r="N68" s="65" t="s">
        <v>255</v>
      </c>
      <c r="O68" s="65">
        <f t="shared" ref="O68:O131" ca="1" si="6">IF(AND($P68&lt;&gt;"",$N68="yes"),O67+1,O67)</f>
        <v>5</v>
      </c>
      <c r="P68" s="65" t="str">
        <f t="shared" ca="1" si="5"/>
        <v/>
      </c>
    </row>
    <row r="69" spans="1:16" s="65" customFormat="1" hidden="1" x14ac:dyDescent="0.25">
      <c r="A69" s="294" t="s">
        <v>225</v>
      </c>
      <c r="B69" s="294">
        <f>MATCH(A69,Data!$DT:$DT,0)</f>
        <v>6</v>
      </c>
      <c r="C69" s="65">
        <f>INDEX(Parameter!$9:$9,,MATCH(7,Parameter!$8:$8,0))</f>
        <v>7</v>
      </c>
      <c r="D69" s="65">
        <f>INDEX(Parameter!$B$10:$AB$10,MATCH(C69,Parameter!$B$9:$AB$9,0))</f>
        <v>3</v>
      </c>
      <c r="H69" s="65">
        <f ca="1">INDEX(OFFSET(Data!$CS$1:$DS$1,B69-1,0),MATCH("Total/"&amp;C69,Data!$CS$1:$DS$1,0))</f>
        <v>0</v>
      </c>
      <c r="I69" s="65" t="str">
        <f t="shared" ca="1" si="4"/>
        <v/>
      </c>
      <c r="J69" s="65" t="str">
        <f t="array" aca="1" ref="J69" ca="1">IF(H69=1,MATCH(1,(OFFSET(Data!$DY$1:$IB$1,B69-1,0))*(Data!$DY$90:$IB$90=C69),0),"")</f>
        <v/>
      </c>
      <c r="L69" s="65" t="str">
        <f ca="1">IF(H69&gt;1,"Several Players or rounds",IF(H69=1,INDEX(Data!$DT$91:$DT$190,MATCH(I69,OFFSET(Data!$DX$91:$DX$190,0,Specials!J69),0))&amp;" / "&amp;OFFSET(Data!$DX$89,0,Specials!J69),""))</f>
        <v/>
      </c>
      <c r="M69" s="65" t="s">
        <v>254</v>
      </c>
      <c r="N69" s="65" t="s">
        <v>255</v>
      </c>
      <c r="O69" s="65">
        <f t="shared" ca="1" si="6"/>
        <v>5</v>
      </c>
      <c r="P69" s="65" t="str">
        <f t="shared" ca="1" si="5"/>
        <v/>
      </c>
    </row>
    <row r="70" spans="1:16" s="65" customFormat="1" hidden="1" x14ac:dyDescent="0.25">
      <c r="A70" s="294" t="s">
        <v>225</v>
      </c>
      <c r="B70" s="294">
        <f>MATCH(A70,Data!$DT:$DT,0)</f>
        <v>6</v>
      </c>
      <c r="C70" s="65">
        <f>INDEX(Parameter!$9:$9,,MATCH(8,Parameter!$8:$8,0))</f>
        <v>8</v>
      </c>
      <c r="D70" s="65">
        <f>INDEX(Parameter!$B$10:$AB$10,MATCH(C70,Parameter!$B$9:$AB$9,0))</f>
        <v>3</v>
      </c>
      <c r="H70" s="65">
        <f ca="1">INDEX(OFFSET(Data!$CS$1:$DS$1,B70-1,0),MATCH("Total/"&amp;C70,Data!$CS$1:$DS$1,0))</f>
        <v>0</v>
      </c>
      <c r="I70" s="65" t="str">
        <f t="shared" ca="1" si="4"/>
        <v/>
      </c>
      <c r="J70" s="65" t="str">
        <f t="array" aca="1" ref="J70" ca="1">IF(H70=1,MATCH(1,(OFFSET(Data!$DY$1:$IB$1,B70-1,0))*(Data!$DY$90:$IB$90=C70),0),"")</f>
        <v/>
      </c>
      <c r="L70" s="65" t="str">
        <f ca="1">IF(H70&gt;1,"Several Players or rounds",IF(H70=1,INDEX(Data!$DT$91:$DT$190,MATCH(I70,OFFSET(Data!$DX$91:$DX$190,0,Specials!J70),0))&amp;" / "&amp;OFFSET(Data!$DX$89,0,Specials!J70),""))</f>
        <v/>
      </c>
      <c r="M70" s="65" t="s">
        <v>254</v>
      </c>
      <c r="N70" s="65" t="s">
        <v>255</v>
      </c>
      <c r="O70" s="65">
        <f t="shared" ca="1" si="6"/>
        <v>5</v>
      </c>
      <c r="P70" s="65" t="str">
        <f t="shared" ca="1" si="5"/>
        <v/>
      </c>
    </row>
    <row r="71" spans="1:16" s="65" customFormat="1" hidden="1" x14ac:dyDescent="0.25">
      <c r="A71" s="294" t="s">
        <v>225</v>
      </c>
      <c r="B71" s="294">
        <f>MATCH(A71,Data!$DT:$DT,0)</f>
        <v>6</v>
      </c>
      <c r="C71" s="65">
        <f>INDEX(Parameter!$9:$9,,MATCH(9,Parameter!$8:$8,0))</f>
        <v>9</v>
      </c>
      <c r="D71" s="65">
        <f>INDEX(Parameter!$B$10:$AB$10,MATCH(C71,Parameter!$B$9:$AB$9,0))</f>
        <v>4</v>
      </c>
      <c r="H71" s="65">
        <f ca="1">INDEX(OFFSET(Data!$CS$1:$DS$1,B71-1,0),MATCH("Total/"&amp;C71,Data!$CS$1:$DS$1,0))</f>
        <v>0</v>
      </c>
      <c r="I71" s="65" t="str">
        <f t="shared" ca="1" si="4"/>
        <v/>
      </c>
      <c r="J71" s="65" t="str">
        <f t="array" aca="1" ref="J71" ca="1">IF(H71=1,MATCH(1,(OFFSET(Data!$DY$1:$IB$1,B71-1,0))*(Data!$DY$90:$IB$90=C71),0),"")</f>
        <v/>
      </c>
      <c r="L71" s="65" t="str">
        <f ca="1">IF(H71&gt;1,"Several Players or rounds",IF(H71=1,INDEX(Data!$DT$91:$DT$190,MATCH(I71,OFFSET(Data!$DX$91:$DX$190,0,Specials!J71),0))&amp;" / "&amp;OFFSET(Data!$DX$89,0,Specials!J71),""))</f>
        <v/>
      </c>
      <c r="M71" s="65" t="s">
        <v>254</v>
      </c>
      <c r="N71" s="65" t="s">
        <v>255</v>
      </c>
      <c r="O71" s="65">
        <f t="shared" ca="1" si="6"/>
        <v>5</v>
      </c>
      <c r="P71" s="65" t="str">
        <f t="shared" ca="1" si="5"/>
        <v/>
      </c>
    </row>
    <row r="72" spans="1:16" s="65" customFormat="1" hidden="1" x14ac:dyDescent="0.25">
      <c r="A72" s="294" t="s">
        <v>225</v>
      </c>
      <c r="B72" s="294">
        <f>MATCH(A72,Data!$DT:$DT,0)</f>
        <v>6</v>
      </c>
      <c r="C72" s="65">
        <f>INDEX(Parameter!$9:$9,,MATCH(10,Parameter!$8:$8,0))</f>
        <v>10</v>
      </c>
      <c r="D72" s="65">
        <f>INDEX(Parameter!$B$10:$AB$10,MATCH(C72,Parameter!$B$9:$AB$9,0))</f>
        <v>4</v>
      </c>
      <c r="H72" s="65">
        <f ca="1">INDEX(OFFSET(Data!$CS$1:$DS$1,B72-1,0),MATCH("Total/"&amp;C72,Data!$CS$1:$DS$1,0))</f>
        <v>0</v>
      </c>
      <c r="I72" s="65" t="str">
        <f t="shared" ca="1" si="4"/>
        <v/>
      </c>
      <c r="J72" s="65" t="str">
        <f t="array" aca="1" ref="J72" ca="1">IF(H72=1,MATCH(1,(OFFSET(Data!$DY$1:$IB$1,B72-1,0))*(Data!$DY$90:$IB$90=C72),0),"")</f>
        <v/>
      </c>
      <c r="L72" s="65" t="str">
        <f ca="1">IF(H72&gt;1,"Several Players or rounds",IF(H72=1,INDEX(Data!$DT$91:$DT$190,MATCH(I72,OFFSET(Data!$DX$91:$DX$190,0,Specials!J72),0))&amp;" / "&amp;OFFSET(Data!$DX$89,0,Specials!J72),""))</f>
        <v/>
      </c>
      <c r="M72" s="65" t="s">
        <v>254</v>
      </c>
      <c r="N72" s="65" t="s">
        <v>255</v>
      </c>
      <c r="O72" s="65">
        <f t="shared" ca="1" si="6"/>
        <v>5</v>
      </c>
      <c r="P72" s="65" t="str">
        <f t="shared" ca="1" si="5"/>
        <v/>
      </c>
    </row>
    <row r="73" spans="1:16" s="65" customFormat="1" hidden="1" x14ac:dyDescent="0.25">
      <c r="A73" s="294" t="s">
        <v>225</v>
      </c>
      <c r="B73" s="294">
        <f>MATCH(A73,Data!$DT:$DT,0)</f>
        <v>6</v>
      </c>
      <c r="C73" s="65">
        <f>INDEX(Parameter!$9:$9,,MATCH(11,Parameter!$8:$8,0))</f>
        <v>11</v>
      </c>
      <c r="D73" s="65">
        <f>INDEX(Parameter!$B$10:$AB$10,MATCH(C73,Parameter!$B$9:$AB$9,0))</f>
        <v>4</v>
      </c>
      <c r="H73" s="65">
        <f ca="1">INDEX(OFFSET(Data!$CS$1:$DS$1,B73-1,0),MATCH("Total/"&amp;C73,Data!$CS$1:$DS$1,0))</f>
        <v>0</v>
      </c>
      <c r="I73" s="65" t="str">
        <f t="shared" ca="1" si="4"/>
        <v/>
      </c>
      <c r="J73" s="65" t="str">
        <f t="array" aca="1" ref="J73" ca="1">IF(H73=1,MATCH(1,(OFFSET(Data!$DY$1:$IB$1,B73-1,0))*(Data!$DY$90:$IB$90=C73),0),"")</f>
        <v/>
      </c>
      <c r="L73" s="65" t="str">
        <f ca="1">IF(H73&gt;1,"Several Players or rounds",IF(H73=1,INDEX(Data!$DT$91:$DT$190,MATCH(I73,OFFSET(Data!$DX$91:$DX$190,0,Specials!J73),0))&amp;" / "&amp;OFFSET(Data!$DX$89,0,Specials!J73),""))</f>
        <v/>
      </c>
      <c r="M73" s="65" t="s">
        <v>254</v>
      </c>
      <c r="N73" s="65" t="s">
        <v>255</v>
      </c>
      <c r="O73" s="65">
        <f t="shared" ca="1" si="6"/>
        <v>5</v>
      </c>
      <c r="P73" s="65" t="str">
        <f t="shared" ca="1" si="5"/>
        <v/>
      </c>
    </row>
    <row r="74" spans="1:16" s="65" customFormat="1" hidden="1" x14ac:dyDescent="0.25">
      <c r="A74" s="294" t="s">
        <v>225</v>
      </c>
      <c r="B74" s="294">
        <f>MATCH(A74,Data!$DT:$DT,0)</f>
        <v>6</v>
      </c>
      <c r="C74" s="65" t="str">
        <f>INDEX(Parameter!$9:$9,,MATCH(12,Parameter!$8:$8,0))</f>
        <v>11b</v>
      </c>
      <c r="D74" s="65">
        <f>INDEX(Parameter!$B$10:$AB$10,MATCH(C74,Parameter!$B$9:$AB$9,0))</f>
        <v>3</v>
      </c>
      <c r="H74" s="65">
        <f ca="1">INDEX(OFFSET(Data!$CS$1:$DS$1,B74-1,0),MATCH("Total/"&amp;C74,Data!$CS$1:$DS$1,0))</f>
        <v>0</v>
      </c>
      <c r="I74" s="65" t="str">
        <f t="shared" ca="1" si="4"/>
        <v/>
      </c>
      <c r="J74" s="65" t="str">
        <f t="array" aca="1" ref="J74" ca="1">IF(H74=1,MATCH(1,(OFFSET(Data!$DY$1:$IB$1,B74-1,0))*(Data!$DY$90:$IB$90=C74),0),"")</f>
        <v/>
      </c>
      <c r="L74" s="65" t="str">
        <f ca="1">IF(H74&gt;1,"Several Players or rounds",IF(H74=1,INDEX(Data!$DT$91:$DT$190,MATCH(I74,OFFSET(Data!$DX$91:$DX$190,0,Specials!J74),0))&amp;" / "&amp;OFFSET(Data!$DX$89,0,Specials!J74),""))</f>
        <v/>
      </c>
      <c r="M74" s="65" t="s">
        <v>254</v>
      </c>
      <c r="N74" s="65" t="s">
        <v>255</v>
      </c>
      <c r="O74" s="65">
        <f t="shared" ca="1" si="6"/>
        <v>5</v>
      </c>
      <c r="P74" s="65" t="str">
        <f t="shared" ca="1" si="5"/>
        <v/>
      </c>
    </row>
    <row r="75" spans="1:16" s="65" customFormat="1" hidden="1" x14ac:dyDescent="0.25">
      <c r="A75" s="294" t="s">
        <v>225</v>
      </c>
      <c r="B75" s="294">
        <f>MATCH(A75,Data!$DT:$DT,0)</f>
        <v>6</v>
      </c>
      <c r="C75" s="65">
        <f>INDEX(Parameter!$9:$9,,MATCH(13,Parameter!$8:$8,0))</f>
        <v>12</v>
      </c>
      <c r="D75" s="65">
        <f>INDEX(Parameter!$B$10:$AB$10,MATCH(C75,Parameter!$B$9:$AB$9,0))</f>
        <v>3</v>
      </c>
      <c r="H75" s="65">
        <f ca="1">INDEX(OFFSET(Data!$CS$1:$DS$1,B75-1,0),MATCH("Total/"&amp;C75,Data!$CS$1:$DS$1,0))</f>
        <v>0</v>
      </c>
      <c r="I75" s="65" t="str">
        <f t="shared" ca="1" si="4"/>
        <v/>
      </c>
      <c r="J75" s="65" t="str">
        <f t="array" aca="1" ref="J75" ca="1">IF(H75=1,MATCH(1,(OFFSET(Data!$DY$1:$IB$1,B75-1,0))*(Data!$DY$90:$IB$90=C75),0),"")</f>
        <v/>
      </c>
      <c r="L75" s="65" t="str">
        <f ca="1">IF(H75&gt;1,"Several Players or rounds",IF(H75=1,INDEX(Data!$DT$91:$DT$190,MATCH(I75,OFFSET(Data!$DX$91:$DX$190,0,Specials!J75),0))&amp;" / "&amp;OFFSET(Data!$DX$89,0,Specials!J75),""))</f>
        <v/>
      </c>
      <c r="M75" s="65" t="s">
        <v>254</v>
      </c>
      <c r="N75" s="65" t="s">
        <v>255</v>
      </c>
      <c r="O75" s="65">
        <f t="shared" ca="1" si="6"/>
        <v>5</v>
      </c>
      <c r="P75" s="65" t="str">
        <f t="shared" ca="1" si="5"/>
        <v/>
      </c>
    </row>
    <row r="76" spans="1:16" s="65" customFormat="1" hidden="1" x14ac:dyDescent="0.25">
      <c r="A76" s="294" t="s">
        <v>225</v>
      </c>
      <c r="B76" s="294">
        <f>MATCH(A76,Data!$DT:$DT,0)</f>
        <v>6</v>
      </c>
      <c r="C76" s="65">
        <f>INDEX(Parameter!$9:$9,,MATCH(14,Parameter!$8:$8,0))</f>
        <v>13</v>
      </c>
      <c r="D76" s="65">
        <f>INDEX(Parameter!$B$10:$AB$10,MATCH(C76,Parameter!$B$9:$AB$9,0))</f>
        <v>3</v>
      </c>
      <c r="H76" s="65">
        <f ca="1">INDEX(OFFSET(Data!$CS$1:$DS$1,B76-1,0),MATCH("Total/"&amp;C76,Data!$CS$1:$DS$1,0))</f>
        <v>0</v>
      </c>
      <c r="I76" s="65" t="str">
        <f t="shared" ca="1" si="4"/>
        <v/>
      </c>
      <c r="J76" s="65" t="str">
        <f t="array" aca="1" ref="J76" ca="1">IF(H76=1,MATCH(1,(OFFSET(Data!$DY$1:$IB$1,B76-1,0))*(Data!$DY$90:$IB$90=C76),0),"")</f>
        <v/>
      </c>
      <c r="L76" s="65" t="str">
        <f ca="1">IF(H76&gt;1,"Several Players or rounds",IF(H76=1,INDEX(Data!$DT$91:$DT$190,MATCH(I76,OFFSET(Data!$DX$91:$DX$190,0,Specials!J76),0))&amp;" / "&amp;OFFSET(Data!$DX$89,0,Specials!J76),""))</f>
        <v/>
      </c>
      <c r="M76" s="65" t="s">
        <v>254</v>
      </c>
      <c r="N76" s="65" t="s">
        <v>255</v>
      </c>
      <c r="O76" s="65">
        <f t="shared" ca="1" si="6"/>
        <v>5</v>
      </c>
      <c r="P76" s="65" t="str">
        <f t="shared" ca="1" si="5"/>
        <v/>
      </c>
    </row>
    <row r="77" spans="1:16" s="65" customFormat="1" hidden="1" x14ac:dyDescent="0.25">
      <c r="A77" s="294" t="s">
        <v>225</v>
      </c>
      <c r="B77" s="294">
        <f>MATCH(A77,Data!$DT:$DT,0)</f>
        <v>6</v>
      </c>
      <c r="C77" s="65">
        <f>INDEX(Parameter!$9:$9,,MATCH(15,Parameter!$8:$8,0))</f>
        <v>14</v>
      </c>
      <c r="D77" s="65">
        <f>INDEX(Parameter!$B$10:$AB$10,MATCH(C77,Parameter!$B$9:$AB$9,0))</f>
        <v>3</v>
      </c>
      <c r="H77" s="65">
        <f ca="1">INDEX(OFFSET(Data!$CS$1:$DS$1,B77-1,0),MATCH("Total/"&amp;C77,Data!$CS$1:$DS$1,0))</f>
        <v>0</v>
      </c>
      <c r="I77" s="65" t="str">
        <f t="shared" ca="1" si="4"/>
        <v/>
      </c>
      <c r="J77" s="65" t="str">
        <f t="array" aca="1" ref="J77" ca="1">IF(H77=1,MATCH(1,(OFFSET(Data!$DY$1:$IB$1,B77-1,0))*(Data!$DY$90:$IB$90=C77),0),"")</f>
        <v/>
      </c>
      <c r="L77" s="65" t="str">
        <f ca="1">IF(H77&gt;1,"Several Players or rounds",IF(H77=1,INDEX(Data!$DT$91:$DT$190,MATCH(I77,OFFSET(Data!$DX$91:$DX$190,0,Specials!J77),0))&amp;" / "&amp;OFFSET(Data!$DX$89,0,Specials!J77),""))</f>
        <v/>
      </c>
      <c r="M77" s="65" t="s">
        <v>254</v>
      </c>
      <c r="N77" s="65" t="s">
        <v>255</v>
      </c>
      <c r="O77" s="65">
        <f t="shared" ca="1" si="6"/>
        <v>5</v>
      </c>
      <c r="P77" s="65" t="str">
        <f t="shared" ca="1" si="5"/>
        <v/>
      </c>
    </row>
    <row r="78" spans="1:16" s="65" customFormat="1" hidden="1" x14ac:dyDescent="0.25">
      <c r="A78" s="294" t="s">
        <v>225</v>
      </c>
      <c r="B78" s="294">
        <f>MATCH(A78,Data!$DT:$DT,0)</f>
        <v>6</v>
      </c>
      <c r="C78" s="65">
        <f>INDEX(Parameter!$9:$9,,MATCH(16,Parameter!$8:$8,0))</f>
        <v>15</v>
      </c>
      <c r="D78" s="65">
        <f>INDEX(Parameter!$B$10:$AB$10,MATCH(C78,Parameter!$B$9:$AB$9,0))</f>
        <v>3</v>
      </c>
      <c r="H78" s="65">
        <f ca="1">INDEX(OFFSET(Data!$CS$1:$DS$1,B78-1,0),MATCH("Total/"&amp;C78,Data!$CS$1:$DS$1,0))</f>
        <v>0</v>
      </c>
      <c r="I78" s="65" t="str">
        <f t="shared" ca="1" si="4"/>
        <v/>
      </c>
      <c r="J78" s="65" t="str">
        <f t="array" aca="1" ref="J78" ca="1">IF(H78=1,MATCH(1,(OFFSET(Data!$DY$1:$IB$1,B78-1,0))*(Data!$DY$90:$IB$90=C78),0),"")</f>
        <v/>
      </c>
      <c r="L78" s="65" t="str">
        <f ca="1">IF(H78&gt;1,"Several Players or rounds",IF(H78=1,INDEX(Data!$DT$91:$DT$190,MATCH(I78,OFFSET(Data!$DX$91:$DX$190,0,Specials!J78),0))&amp;" / "&amp;OFFSET(Data!$DX$89,0,Specials!J78),""))</f>
        <v/>
      </c>
      <c r="M78" s="65" t="s">
        <v>254</v>
      </c>
      <c r="N78" s="65" t="s">
        <v>255</v>
      </c>
      <c r="O78" s="65">
        <f t="shared" ca="1" si="6"/>
        <v>5</v>
      </c>
      <c r="P78" s="65" t="str">
        <f t="shared" ca="1" si="5"/>
        <v/>
      </c>
    </row>
    <row r="79" spans="1:16" s="65" customFormat="1" hidden="1" x14ac:dyDescent="0.25">
      <c r="A79" s="294" t="s">
        <v>225</v>
      </c>
      <c r="B79" s="294">
        <f>MATCH(A79,Data!$DT:$DT,0)</f>
        <v>6</v>
      </c>
      <c r="C79" s="65">
        <f>INDEX(Parameter!$9:$9,,MATCH(17,Parameter!$8:$8,0))</f>
        <v>16</v>
      </c>
      <c r="D79" s="65">
        <f>INDEX(Parameter!$B$10:$AB$10,MATCH(C79,Parameter!$B$9:$AB$9,0))</f>
        <v>3</v>
      </c>
      <c r="H79" s="65">
        <f ca="1">INDEX(OFFSET(Data!$CS$1:$DS$1,B79-1,0),MATCH("Total/"&amp;C79,Data!$CS$1:$DS$1,0))</f>
        <v>0</v>
      </c>
      <c r="I79" s="65" t="str">
        <f t="shared" ca="1" si="4"/>
        <v/>
      </c>
      <c r="J79" s="65" t="str">
        <f t="array" aca="1" ref="J79" ca="1">IF(H79=1,MATCH(1,(OFFSET(Data!$DY$1:$IB$1,B79-1,0))*(Data!$DY$90:$IB$90=C79),0),"")</f>
        <v/>
      </c>
      <c r="L79" s="65" t="str">
        <f ca="1">IF(H79&gt;1,"Several Players or rounds",IF(H79=1,INDEX(Data!$DT$91:$DT$190,MATCH(I79,OFFSET(Data!$DX$91:$DX$190,0,Specials!J79),0))&amp;" / "&amp;OFFSET(Data!$DX$89,0,Specials!J79),""))</f>
        <v/>
      </c>
      <c r="M79" s="65" t="s">
        <v>254</v>
      </c>
      <c r="N79" s="65" t="s">
        <v>255</v>
      </c>
      <c r="O79" s="65">
        <f t="shared" ca="1" si="6"/>
        <v>5</v>
      </c>
      <c r="P79" s="65" t="str">
        <f t="shared" ca="1" si="5"/>
        <v/>
      </c>
    </row>
    <row r="80" spans="1:16" s="65" customFormat="1" hidden="1" x14ac:dyDescent="0.25">
      <c r="A80" s="294" t="s">
        <v>225</v>
      </c>
      <c r="B80" s="294">
        <f>MATCH(A80,Data!$DT:$DT,0)</f>
        <v>6</v>
      </c>
      <c r="C80" s="65">
        <f>INDEX(Parameter!$9:$9,,MATCH(18,Parameter!$8:$8,0))</f>
        <v>17</v>
      </c>
      <c r="D80" s="65">
        <f>INDEX(Parameter!$B$10:$AB$10,MATCH(C80,Parameter!$B$9:$AB$9,0))</f>
        <v>3</v>
      </c>
      <c r="H80" s="65">
        <f ca="1">INDEX(OFFSET(Data!$CS$1:$DS$1,B80-1,0),MATCH("Total/"&amp;C80,Data!$CS$1:$DS$1,0))</f>
        <v>0</v>
      </c>
      <c r="I80" s="65" t="str">
        <f t="shared" ca="1" si="4"/>
        <v/>
      </c>
      <c r="J80" s="65" t="str">
        <f t="array" aca="1" ref="J80" ca="1">IF(H80=1,MATCH(1,(OFFSET(Data!$DY$1:$IB$1,B80-1,0))*(Data!$DY$90:$IB$90=C80),0),"")</f>
        <v/>
      </c>
      <c r="L80" s="65" t="str">
        <f ca="1">IF(H80&gt;1,"Several Players or rounds",IF(H80=1,INDEX(Data!$DT$91:$DT$190,MATCH(I80,OFFSET(Data!$DX$91:$DX$190,0,Specials!J80),0))&amp;" / "&amp;OFFSET(Data!$DX$89,0,Specials!J80),""))</f>
        <v/>
      </c>
      <c r="M80" s="65" t="s">
        <v>254</v>
      </c>
      <c r="N80" s="65" t="s">
        <v>255</v>
      </c>
      <c r="O80" s="65">
        <f t="shared" ca="1" si="6"/>
        <v>5</v>
      </c>
      <c r="P80" s="65" t="str">
        <f t="shared" ca="1" si="5"/>
        <v/>
      </c>
    </row>
    <row r="81" spans="1:16" s="65" customFormat="1" hidden="1" x14ac:dyDescent="0.25">
      <c r="A81" s="294" t="s">
        <v>225</v>
      </c>
      <c r="B81" s="294">
        <f>MATCH(A81,Data!$DT:$DT,0)</f>
        <v>6</v>
      </c>
      <c r="C81" s="65">
        <f>INDEX(Parameter!$9:$9,,MATCH(19,Parameter!$8:$8,0))</f>
        <v>18</v>
      </c>
      <c r="D81" s="65">
        <f>INDEX(Parameter!$B$10:$AB$10,MATCH(C81,Parameter!$B$9:$AB$9,0))</f>
        <v>3</v>
      </c>
      <c r="H81" s="65">
        <f ca="1">INDEX(OFFSET(Data!$CS$1:$DS$1,B81-1,0),MATCH("Total/"&amp;C81,Data!$CS$1:$DS$1,0))</f>
        <v>0</v>
      </c>
      <c r="I81" s="65" t="str">
        <f t="shared" ca="1" si="4"/>
        <v/>
      </c>
      <c r="J81" s="65" t="str">
        <f t="array" aca="1" ref="J81" ca="1">IF(H81=1,MATCH(1,(OFFSET(Data!$DY$1:$IB$1,B81-1,0))*(Data!$DY$90:$IB$90=C81),0),"")</f>
        <v/>
      </c>
      <c r="L81" s="65" t="str">
        <f ca="1">IF(H81&gt;1,"Several Players or rounds",IF(H81=1,INDEX(Data!$DT$91:$DT$190,MATCH(I81,OFFSET(Data!$DX$91:$DX$190,0,Specials!J81),0))&amp;" / "&amp;OFFSET(Data!$DX$89,0,Specials!J81),""))</f>
        <v/>
      </c>
      <c r="M81" s="65" t="s">
        <v>254</v>
      </c>
      <c r="N81" s="65" t="s">
        <v>255</v>
      </c>
      <c r="O81" s="65">
        <f t="shared" ca="1" si="6"/>
        <v>5</v>
      </c>
      <c r="P81" s="65" t="str">
        <f t="shared" ca="1" si="5"/>
        <v/>
      </c>
    </row>
    <row r="82" spans="1:16" s="65" customFormat="1" hidden="1" x14ac:dyDescent="0.25">
      <c r="A82" s="294" t="s">
        <v>225</v>
      </c>
      <c r="B82" s="294">
        <f>MATCH(A82,Data!$DT:$DT,0)</f>
        <v>6</v>
      </c>
      <c r="C82" s="65">
        <f>INDEX(Parameter!$9:$9,,MATCH(20,Parameter!$8:$8,0))</f>
        <v>20</v>
      </c>
      <c r="D82" s="65" t="str">
        <f>INDEX(Parameter!$B$10:$AB$10,MATCH(C82,Parameter!$B$9:$AB$9,0))</f>
        <v>no</v>
      </c>
      <c r="H82" s="65">
        <f ca="1">INDEX(OFFSET(Data!$CS$1:$DS$1,B82-1,0),MATCH("Total/"&amp;C82,Data!$CS$1:$DS$1,0))</f>
        <v>0</v>
      </c>
      <c r="I82" s="65" t="str">
        <f t="shared" ca="1" si="4"/>
        <v/>
      </c>
      <c r="J82" s="65" t="str">
        <f t="array" aca="1" ref="J82" ca="1">IF(H82=1,MATCH(1,(OFFSET(Data!$DY$1:$IB$1,B82-1,0))*(Data!$DY$90:$IB$90=C82),0),"")</f>
        <v/>
      </c>
      <c r="L82" s="65" t="str">
        <f ca="1">IF(H82&gt;1,"Several Players or rounds",IF(H82=1,INDEX(Data!$DT$91:$DT$190,MATCH(I82,OFFSET(Data!$DX$91:$DX$190,0,Specials!J82),0))&amp;" / "&amp;OFFSET(Data!$DX$89,0,Specials!J82),""))</f>
        <v/>
      </c>
      <c r="M82" s="65" t="s">
        <v>254</v>
      </c>
      <c r="N82" s="65" t="s">
        <v>255</v>
      </c>
      <c r="O82" s="65">
        <f t="shared" ca="1" si="6"/>
        <v>5</v>
      </c>
      <c r="P82" s="65" t="str">
        <f t="shared" ca="1" si="5"/>
        <v/>
      </c>
    </row>
    <row r="83" spans="1:16" s="65" customFormat="1" hidden="1" x14ac:dyDescent="0.25">
      <c r="A83" s="294" t="s">
        <v>225</v>
      </c>
      <c r="B83" s="294">
        <f>MATCH(A83,Data!$DT:$DT,0)</f>
        <v>6</v>
      </c>
      <c r="C83" s="65">
        <f>INDEX(Parameter!$9:$9,,MATCH(21,Parameter!$8:$8,0))</f>
        <v>21</v>
      </c>
      <c r="D83" s="65" t="str">
        <f>INDEX(Parameter!$B$10:$AB$10,MATCH(C83,Parameter!$B$9:$AB$9,0))</f>
        <v>no</v>
      </c>
      <c r="H83" s="65">
        <f ca="1">INDEX(OFFSET(Data!$CS$1:$DS$1,B83-1,0),MATCH("Total/"&amp;C83,Data!$CS$1:$DS$1,0))</f>
        <v>0</v>
      </c>
      <c r="I83" s="65" t="str">
        <f t="shared" ca="1" si="4"/>
        <v/>
      </c>
      <c r="J83" s="65" t="str">
        <f t="array" aca="1" ref="J83" ca="1">IF(H83=1,MATCH(1,(OFFSET(Data!$DY$1:$IB$1,B83-1,0))*(Data!$DY$90:$IB$90=C83),0),"")</f>
        <v/>
      </c>
      <c r="L83" s="65" t="str">
        <f ca="1">IF(H83&gt;1,"Several Players or rounds",IF(H83=1,INDEX(Data!$DT$91:$DT$190,MATCH(I83,OFFSET(Data!$DX$91:$DX$190,0,Specials!J83),0))&amp;" / "&amp;OFFSET(Data!$DX$89,0,Specials!J83),""))</f>
        <v/>
      </c>
      <c r="M83" s="65" t="s">
        <v>254</v>
      </c>
      <c r="N83" s="65" t="s">
        <v>255</v>
      </c>
      <c r="O83" s="65">
        <f t="shared" ca="1" si="6"/>
        <v>5</v>
      </c>
      <c r="P83" s="65" t="str">
        <f t="shared" ca="1" si="5"/>
        <v/>
      </c>
    </row>
    <row r="84" spans="1:16" s="65" customFormat="1" hidden="1" x14ac:dyDescent="0.25">
      <c r="A84" s="294" t="s">
        <v>225</v>
      </c>
      <c r="B84" s="294">
        <f>MATCH(A84,Data!$DT:$DT,0)</f>
        <v>6</v>
      </c>
      <c r="C84" s="65">
        <f>INDEX(Parameter!$9:$9,,MATCH(22,Parameter!$8:$8,0))</f>
        <v>22</v>
      </c>
      <c r="D84" s="65" t="str">
        <f>INDEX(Parameter!$B$10:$AB$10,MATCH(C84,Parameter!$B$9:$AB$9,0))</f>
        <v>no</v>
      </c>
      <c r="H84" s="65">
        <f ca="1">INDEX(OFFSET(Data!$CS$1:$DS$1,B84-1,0),MATCH("Total/"&amp;C84,Data!$CS$1:$DS$1,0))</f>
        <v>0</v>
      </c>
      <c r="I84" s="65" t="str">
        <f t="shared" ca="1" si="4"/>
        <v/>
      </c>
      <c r="J84" s="65" t="str">
        <f t="array" aca="1" ref="J84" ca="1">IF(H84=1,MATCH(1,(OFFSET(Data!$DY$1:$IB$1,B84-1,0))*(Data!$DY$90:$IB$90=C84),0),"")</f>
        <v/>
      </c>
      <c r="L84" s="65" t="str">
        <f ca="1">IF(H84&gt;1,"Several Players or rounds",IF(H84=1,INDEX(Data!$DT$91:$DT$190,MATCH(I84,OFFSET(Data!$DX$91:$DX$190,0,Specials!J84),0))&amp;" / "&amp;OFFSET(Data!$DX$89,0,Specials!J84),""))</f>
        <v/>
      </c>
      <c r="M84" s="65" t="s">
        <v>254</v>
      </c>
      <c r="N84" s="65" t="s">
        <v>255</v>
      </c>
      <c r="O84" s="65">
        <f t="shared" ca="1" si="6"/>
        <v>5</v>
      </c>
      <c r="P84" s="65" t="str">
        <f t="shared" ca="1" si="5"/>
        <v/>
      </c>
    </row>
    <row r="85" spans="1:16" s="65" customFormat="1" hidden="1" x14ac:dyDescent="0.25">
      <c r="A85" s="294" t="s">
        <v>225</v>
      </c>
      <c r="B85" s="294">
        <f>MATCH(A85,Data!$DT:$DT,0)</f>
        <v>6</v>
      </c>
      <c r="C85" s="65">
        <f>INDEX(Parameter!$9:$9,,MATCH(23,Parameter!$8:$8,0))</f>
        <v>23</v>
      </c>
      <c r="D85" s="65" t="str">
        <f>INDEX(Parameter!$B$10:$AB$10,MATCH(C85,Parameter!$B$9:$AB$9,0))</f>
        <v>no</v>
      </c>
      <c r="H85" s="65">
        <f ca="1">INDEX(OFFSET(Data!$CS$1:$DS$1,B85-1,0),MATCH("Total/"&amp;C85,Data!$CS$1:$DS$1,0))</f>
        <v>0</v>
      </c>
      <c r="I85" s="65" t="str">
        <f t="shared" ca="1" si="4"/>
        <v/>
      </c>
      <c r="J85" s="65" t="str">
        <f t="array" aca="1" ref="J85" ca="1">IF(H85=1,MATCH(1,(OFFSET(Data!$DY$1:$IB$1,B85-1,0))*(Data!$DY$90:$IB$90=C85),0),"")</f>
        <v/>
      </c>
      <c r="L85" s="65" t="str">
        <f ca="1">IF(H85&gt;1,"Several Players or rounds",IF(H85=1,INDEX(Data!$DT$91:$DT$190,MATCH(I85,OFFSET(Data!$DX$91:$DX$190,0,Specials!J85),0))&amp;" / "&amp;OFFSET(Data!$DX$89,0,Specials!J85),""))</f>
        <v/>
      </c>
      <c r="M85" s="65" t="s">
        <v>254</v>
      </c>
      <c r="N85" s="65" t="s">
        <v>255</v>
      </c>
      <c r="O85" s="65">
        <f t="shared" ca="1" si="6"/>
        <v>5</v>
      </c>
      <c r="P85" s="65" t="str">
        <f t="shared" ca="1" si="5"/>
        <v/>
      </c>
    </row>
    <row r="86" spans="1:16" s="65" customFormat="1" hidden="1" x14ac:dyDescent="0.25">
      <c r="A86" s="294" t="s">
        <v>225</v>
      </c>
      <c r="B86" s="294">
        <f>MATCH(A86,Data!$DT:$DT,0)</f>
        <v>6</v>
      </c>
      <c r="C86" s="65">
        <f>INDEX(Parameter!$9:$9,,MATCH(24,Parameter!$8:$8,0))</f>
        <v>24</v>
      </c>
      <c r="D86" s="65" t="str">
        <f>INDEX(Parameter!$B$10:$AB$10,MATCH(C86,Parameter!$B$9:$AB$9,0))</f>
        <v>no</v>
      </c>
      <c r="H86" s="65">
        <f ca="1">INDEX(OFFSET(Data!$CS$1:$DS$1,B86-1,0),MATCH("Total/"&amp;C86,Data!$CS$1:$DS$1,0))</f>
        <v>0</v>
      </c>
      <c r="I86" s="65" t="str">
        <f t="shared" ca="1" si="4"/>
        <v/>
      </c>
      <c r="J86" s="65" t="str">
        <f t="array" aca="1" ref="J86" ca="1">IF(H86=1,MATCH(1,(OFFSET(Data!$DY$1:$IB$1,B86-1,0))*(Data!$DY$90:$IB$90=C86),0),"")</f>
        <v/>
      </c>
      <c r="L86" s="65" t="str">
        <f ca="1">IF(H86&gt;1,"Several Players or rounds",IF(H86=1,INDEX(Data!$DT$91:$DT$190,MATCH(I86,OFFSET(Data!$DX$91:$DX$190,0,Specials!J86),0))&amp;" / "&amp;OFFSET(Data!$DX$89,0,Specials!J86),""))</f>
        <v/>
      </c>
      <c r="M86" s="65" t="s">
        <v>254</v>
      </c>
      <c r="N86" s="65" t="s">
        <v>255</v>
      </c>
      <c r="O86" s="65">
        <f t="shared" ca="1" si="6"/>
        <v>5</v>
      </c>
      <c r="P86" s="65" t="str">
        <f t="shared" ca="1" si="5"/>
        <v/>
      </c>
    </row>
    <row r="87" spans="1:16" s="65" customFormat="1" hidden="1" x14ac:dyDescent="0.25">
      <c r="A87" s="294" t="s">
        <v>225</v>
      </c>
      <c r="B87" s="294">
        <f>MATCH(A87,Data!$DT:$DT,0)</f>
        <v>6</v>
      </c>
      <c r="C87" s="65">
        <f>INDEX(Parameter!$9:$9,,MATCH(25,Parameter!$8:$8,0))</f>
        <v>25</v>
      </c>
      <c r="D87" s="65" t="str">
        <f>INDEX(Parameter!$B$10:$AB$10,MATCH(C87,Parameter!$B$9:$AB$9,0))</f>
        <v>no</v>
      </c>
      <c r="H87" s="65">
        <f ca="1">INDEX(OFFSET(Data!$CS$1:$DS$1,B87-1,0),MATCH("Total/"&amp;C87,Data!$CS$1:$DS$1,0))</f>
        <v>0</v>
      </c>
      <c r="I87" s="65" t="str">
        <f t="shared" ca="1" si="4"/>
        <v/>
      </c>
      <c r="J87" s="65" t="str">
        <f t="array" aca="1" ref="J87" ca="1">IF(H87=1,MATCH(1,(OFFSET(Data!$DY$1:$IB$1,B87-1,0))*(Data!$DY$90:$IB$90=C87),0),"")</f>
        <v/>
      </c>
      <c r="L87" s="65" t="str">
        <f ca="1">IF(H87&gt;1,"Several Players or rounds",IF(H87=1,INDEX(Data!$DT$91:$DT$190,MATCH(I87,OFFSET(Data!$DX$91:$DX$190,0,Specials!J87),0))&amp;" / "&amp;OFFSET(Data!$DX$89,0,Specials!J87),""))</f>
        <v/>
      </c>
      <c r="M87" s="65" t="s">
        <v>254</v>
      </c>
      <c r="N87" s="65" t="s">
        <v>255</v>
      </c>
      <c r="O87" s="65">
        <f t="shared" ca="1" si="6"/>
        <v>5</v>
      </c>
      <c r="P87" s="65" t="str">
        <f t="shared" ca="1" si="5"/>
        <v/>
      </c>
    </row>
    <row r="88" spans="1:16" s="65" customFormat="1" hidden="1" x14ac:dyDescent="0.25">
      <c r="A88" s="294" t="s">
        <v>225</v>
      </c>
      <c r="B88" s="294">
        <f>MATCH(A88,Data!$DT:$DT,0)</f>
        <v>6</v>
      </c>
      <c r="C88" s="65">
        <f>INDEX(Parameter!$9:$9,,MATCH(26,Parameter!$8:$8,0))</f>
        <v>26</v>
      </c>
      <c r="D88" s="65" t="str">
        <f>INDEX(Parameter!$B$10:$AB$10,MATCH(C88,Parameter!$B$9:$AB$9,0))</f>
        <v>no</v>
      </c>
      <c r="H88" s="65">
        <f ca="1">INDEX(OFFSET(Data!$CS$1:$DS$1,B88-1,0),MATCH("Total/"&amp;C88,Data!$CS$1:$DS$1,0))</f>
        <v>0</v>
      </c>
      <c r="I88" s="65" t="str">
        <f t="shared" ca="1" si="4"/>
        <v/>
      </c>
      <c r="J88" s="65" t="str">
        <f t="array" aca="1" ref="J88" ca="1">IF(H88=1,MATCH(1,(OFFSET(Data!$DY$1:$IB$1,B88-1,0))*(Data!$DY$90:$IB$90=C88),0),"")</f>
        <v/>
      </c>
      <c r="L88" s="65" t="str">
        <f ca="1">IF(H88&gt;1,"Several Players or rounds",IF(H88=1,INDEX(Data!$DT$91:$DT$190,MATCH(I88,OFFSET(Data!$DX$91:$DX$190,0,Specials!J88),0))&amp;" / "&amp;OFFSET(Data!$DX$89,0,Specials!J88),""))</f>
        <v/>
      </c>
      <c r="M88" s="65" t="s">
        <v>254</v>
      </c>
      <c r="N88" s="65" t="s">
        <v>255</v>
      </c>
      <c r="O88" s="65">
        <f t="shared" ca="1" si="6"/>
        <v>5</v>
      </c>
      <c r="P88" s="65" t="str">
        <f t="shared" ca="1" si="5"/>
        <v/>
      </c>
    </row>
    <row r="89" spans="1:16" s="65" customFormat="1" hidden="1" x14ac:dyDescent="0.25">
      <c r="A89" s="294" t="s">
        <v>225</v>
      </c>
      <c r="B89" s="294">
        <f>MATCH(A89,Data!$DT:$DT,0)</f>
        <v>6</v>
      </c>
      <c r="C89" s="65">
        <f>INDEX(Parameter!$9:$9,,MATCH(27,Parameter!$8:$8,0))</f>
        <v>27</v>
      </c>
      <c r="D89" s="65" t="str">
        <f>INDEX(Parameter!$B$10:$AB$10,MATCH(C89,Parameter!$B$9:$AB$9,0))</f>
        <v>no</v>
      </c>
      <c r="H89" s="65">
        <f ca="1">INDEX(OFFSET(Data!$CS$1:$DS$1,B89-1,0),MATCH("Total/"&amp;C89,Data!$CS$1:$DS$1,0))</f>
        <v>0</v>
      </c>
      <c r="I89" s="65" t="str">
        <f t="shared" ca="1" si="4"/>
        <v/>
      </c>
      <c r="J89" s="65" t="str">
        <f t="array" aca="1" ref="J89" ca="1">IF(H89=1,MATCH(1,(OFFSET(Data!$DY$1:$IB$1,B89-1,0))*(Data!$DY$90:$IB$90=C89),0),"")</f>
        <v/>
      </c>
      <c r="L89" s="65" t="str">
        <f ca="1">IF(H89&gt;1,"Several Players or rounds",IF(H89=1,INDEX(Data!$DT$91:$DT$190,MATCH(I89,OFFSET(Data!$DX$91:$DX$190,0,Specials!J89),0))&amp;" / "&amp;OFFSET(Data!$DX$89,0,Specials!J89),""))</f>
        <v/>
      </c>
      <c r="M89" s="65" t="s">
        <v>254</v>
      </c>
      <c r="N89" s="65" t="s">
        <v>255</v>
      </c>
      <c r="O89" s="65">
        <f t="shared" ca="1" si="6"/>
        <v>5</v>
      </c>
      <c r="P89" s="65" t="str">
        <f ca="1">IF(H89&gt;0,H89&amp;" Alabatross(es) on hole "&amp;$C89&amp;" (par "&amp;D89&amp;")","")</f>
        <v/>
      </c>
    </row>
    <row r="90" spans="1:16" ht="15" hidden="1" customHeight="1" x14ac:dyDescent="0.25">
      <c r="A90" s="292" t="s">
        <v>226</v>
      </c>
      <c r="B90" s="292">
        <f>MATCH(A90,Data!$DT:$DT,0)</f>
        <v>7</v>
      </c>
      <c r="C90" s="2">
        <f>INDEX(Parameter!$9:$9,,MATCH(1,Parameter!$8:$8,0))</f>
        <v>1</v>
      </c>
      <c r="D90" s="2">
        <f>INDEX(Parameter!$B$10:$AB$10,MATCH(C90,Parameter!$B$9:$AB$9,0))</f>
        <v>3</v>
      </c>
      <c r="H90" s="2">
        <f ca="1">INDEX(OFFSET(Data!$CS$1:$DS$1,B90-1,0),MATCH("Total/"&amp;C90,Data!$CS$1:$DS$1,0))</f>
        <v>0</v>
      </c>
      <c r="I90" s="2" t="str">
        <f ca="1">IF(H90&gt;0,D90-2,"")</f>
        <v/>
      </c>
      <c r="J90" s="2" t="str">
        <f t="array" aca="1" ref="J90" ca="1">IF(H90=1,MATCH(1,(OFFSET(Data!$DY$1:$IB$1,B90-1,0))*(Data!$DY$90:$IB$90=C90),0),"")</f>
        <v/>
      </c>
      <c r="L90" s="2" t="str">
        <f ca="1">IF(H90&gt;1,"Several Players or rounds",IF(H90=1,INDEX(Data!$DT$91:$DT$190,MATCH(I90,OFFSET(Data!$DX$91:$DX$190,0,Specials!J90),0))&amp;" / "&amp;OFFSET(Data!$DX$89,0,Specials!J90),""))</f>
        <v/>
      </c>
      <c r="M90" s="2" t="s">
        <v>254</v>
      </c>
      <c r="N90" s="2" t="s">
        <v>255</v>
      </c>
      <c r="O90" s="78">
        <f t="shared" ca="1" si="6"/>
        <v>5</v>
      </c>
      <c r="P90" s="2" t="str">
        <f ca="1">IF(H90&gt;0,H90&amp;" Eagle(s) on hole "&amp;$C90&amp;" (par "&amp;D90&amp;")","")</f>
        <v/>
      </c>
    </row>
    <row r="91" spans="1:16" hidden="1" x14ac:dyDescent="0.25">
      <c r="A91" s="292" t="s">
        <v>226</v>
      </c>
      <c r="B91" s="292">
        <f>MATCH(A91,Data!$DT:$DT,0)</f>
        <v>7</v>
      </c>
      <c r="C91" s="2">
        <f>INDEX(Parameter!$9:$9,,MATCH(2,Parameter!$8:$8,0))</f>
        <v>2</v>
      </c>
      <c r="D91" s="2">
        <f>INDEX(Parameter!$B$10:$AB$10,MATCH(C91,Parameter!$B$9:$AB$9,0))</f>
        <v>3</v>
      </c>
      <c r="H91" s="2">
        <f ca="1">INDEX(OFFSET(Data!$CS$1:$DS$1,B91-1,0),MATCH("Total/"&amp;C91,Data!$CS$1:$DS$1,0))</f>
        <v>0</v>
      </c>
      <c r="I91" s="2" t="str">
        <f t="shared" ref="I91:I116" ca="1" si="7">IF(H91&gt;0,D91-2,"")</f>
        <v/>
      </c>
      <c r="J91" s="2" t="str">
        <f t="array" aca="1" ref="J91" ca="1">IF(H91=1,MATCH(1,(OFFSET(Data!$DY$1:$IB$1,B91-1,0))*(Data!$DY$90:$IB$90=C91),0),"")</f>
        <v/>
      </c>
      <c r="L91" s="2" t="str">
        <f ca="1">IF(H91&gt;1,"Several Players or rounds",IF(H91=1,INDEX(Data!$DT$91:$DT$190,MATCH(I91,OFFSET(Data!$DX$91:$DX$190,0,Specials!J91),0))&amp;" / "&amp;OFFSET(Data!$DX$89,0,Specials!J91),""))</f>
        <v/>
      </c>
      <c r="M91" s="2" t="s">
        <v>254</v>
      </c>
      <c r="N91" s="2" t="s">
        <v>255</v>
      </c>
      <c r="O91" s="78">
        <f t="shared" ca="1" si="6"/>
        <v>5</v>
      </c>
      <c r="P91" s="2" t="str">
        <f t="shared" ref="P91:P115" ca="1" si="8">IF(H91&gt;0,H91&amp;" Eagle(s) on hole "&amp;$C91&amp;" (par "&amp;D91&amp;")","")</f>
        <v/>
      </c>
    </row>
    <row r="92" spans="1:16" hidden="1" x14ac:dyDescent="0.25">
      <c r="A92" s="292" t="s">
        <v>226</v>
      </c>
      <c r="B92" s="292">
        <f>MATCH(A92,Data!$DT:$DT,0)</f>
        <v>7</v>
      </c>
      <c r="C92" s="2">
        <f>INDEX(Parameter!$9:$9,,MATCH(3,Parameter!$8:$8,0))</f>
        <v>3</v>
      </c>
      <c r="D92" s="2">
        <f>INDEX(Parameter!$B$10:$AB$10,MATCH(C92,Parameter!$B$9:$AB$9,0))</f>
        <v>3</v>
      </c>
      <c r="H92" s="2">
        <f ca="1">INDEX(OFFSET(Data!$CS$1:$DS$1,B92-1,0),MATCH("Total/"&amp;C92,Data!$CS$1:$DS$1,0))</f>
        <v>0</v>
      </c>
      <c r="I92" s="2" t="str">
        <f t="shared" ca="1" si="7"/>
        <v/>
      </c>
      <c r="J92" s="2" t="str">
        <f t="array" aca="1" ref="J92" ca="1">IF(H92=1,MATCH(1,(OFFSET(Data!$DY$1:$IB$1,B92-1,0))*(Data!$DY$90:$IB$90=C92),0),"")</f>
        <v/>
      </c>
      <c r="L92" s="2" t="str">
        <f ca="1">IF(H92&gt;1,"Several Players or rounds",IF(H92=1,INDEX(Data!$DT$91:$DT$190,MATCH(I92,OFFSET(Data!$DX$91:$DX$190,0,Specials!J92),0))&amp;" / "&amp;OFFSET(Data!$DX$89,0,Specials!J92),""))</f>
        <v/>
      </c>
      <c r="M92" s="2" t="s">
        <v>254</v>
      </c>
      <c r="N92" s="2" t="s">
        <v>255</v>
      </c>
      <c r="O92" s="78">
        <f t="shared" ca="1" si="6"/>
        <v>5</v>
      </c>
      <c r="P92" s="2" t="str">
        <f t="shared" ca="1" si="8"/>
        <v/>
      </c>
    </row>
    <row r="93" spans="1:16" hidden="1" x14ac:dyDescent="0.25">
      <c r="A93" s="292" t="s">
        <v>226</v>
      </c>
      <c r="B93" s="292">
        <f>MATCH(A93,Data!$DT:$DT,0)</f>
        <v>7</v>
      </c>
      <c r="C93" s="2">
        <f>INDEX(Parameter!$9:$9,,MATCH(4,Parameter!$8:$8,0))</f>
        <v>4</v>
      </c>
      <c r="D93" s="2">
        <f>INDEX(Parameter!$B$10:$AB$10,MATCH(C93,Parameter!$B$9:$AB$9,0))</f>
        <v>3</v>
      </c>
      <c r="H93" s="2">
        <f ca="1">INDEX(OFFSET(Data!$CS$1:$DS$1,B93-1,0),MATCH("Total/"&amp;C93,Data!$CS$1:$DS$1,0))</f>
        <v>0</v>
      </c>
      <c r="I93" s="2" t="str">
        <f t="shared" ca="1" si="7"/>
        <v/>
      </c>
      <c r="J93" s="2" t="str">
        <f t="array" aca="1" ref="J93" ca="1">IF(H93=1,MATCH(1,(OFFSET(Data!$DY$1:$IB$1,B93-1,0))*(Data!$DY$90:$IB$90=C93),0),"")</f>
        <v/>
      </c>
      <c r="L93" s="2" t="str">
        <f ca="1">IF(H93&gt;1,"Several Players or rounds",IF(H93=1,INDEX(Data!$DT$91:$DT$190,MATCH(I93,OFFSET(Data!$DX$91:$DX$190,0,Specials!J93),0))&amp;" / "&amp;OFFSET(Data!$DX$89,0,Specials!J93),""))</f>
        <v/>
      </c>
      <c r="M93" s="2" t="s">
        <v>254</v>
      </c>
      <c r="N93" s="2" t="s">
        <v>255</v>
      </c>
      <c r="O93" s="78">
        <f t="shared" ca="1" si="6"/>
        <v>5</v>
      </c>
      <c r="P93" s="2" t="str">
        <f t="shared" ca="1" si="8"/>
        <v/>
      </c>
    </row>
    <row r="94" spans="1:16" hidden="1" x14ac:dyDescent="0.25">
      <c r="A94" s="292" t="s">
        <v>226</v>
      </c>
      <c r="B94" s="292">
        <f>MATCH(A94,Data!$DT:$DT,0)</f>
        <v>7</v>
      </c>
      <c r="C94" s="2">
        <f>INDEX(Parameter!$9:$9,,MATCH(5,Parameter!$8:$8,0))</f>
        <v>5</v>
      </c>
      <c r="D94" s="2">
        <f>INDEX(Parameter!$B$10:$AB$10,MATCH(C94,Parameter!$B$9:$AB$9,0))</f>
        <v>4</v>
      </c>
      <c r="H94" s="2">
        <f ca="1">INDEX(OFFSET(Data!$CS$1:$DS$1,B94-1,0),MATCH("Total/"&amp;C94,Data!$CS$1:$DS$1,0))</f>
        <v>0</v>
      </c>
      <c r="I94" s="2" t="str">
        <f t="shared" ca="1" si="7"/>
        <v/>
      </c>
      <c r="J94" s="2" t="str">
        <f t="array" aca="1" ref="J94" ca="1">IF(H94=1,MATCH(1,(OFFSET(Data!$DY$1:$IB$1,B94-1,0))*(Data!$DY$90:$IB$90=C94),0),"")</f>
        <v/>
      </c>
      <c r="L94" s="2" t="str">
        <f ca="1">IF(H94&gt;1,"Several Players or rounds",IF(H94=1,INDEX(Data!$DT$91:$DT$190,MATCH(I94,OFFSET(Data!$DX$91:$DX$190,0,Specials!J94),0))&amp;" / "&amp;OFFSET(Data!$DX$89,0,Specials!J94),""))</f>
        <v/>
      </c>
      <c r="M94" s="2" t="s">
        <v>254</v>
      </c>
      <c r="N94" s="2" t="s">
        <v>255</v>
      </c>
      <c r="O94" s="78">
        <f t="shared" ca="1" si="6"/>
        <v>5</v>
      </c>
      <c r="P94" s="2" t="str">
        <f t="shared" ca="1" si="8"/>
        <v/>
      </c>
    </row>
    <row r="95" spans="1:16" hidden="1" x14ac:dyDescent="0.25">
      <c r="A95" s="292" t="s">
        <v>226</v>
      </c>
      <c r="B95" s="292">
        <f>MATCH(A95,Data!$DT:$DT,0)</f>
        <v>7</v>
      </c>
      <c r="C95" s="2">
        <f>INDEX(Parameter!$9:$9,,MATCH(6,Parameter!$8:$8,0))</f>
        <v>6</v>
      </c>
      <c r="D95" s="2">
        <f>INDEX(Parameter!$B$10:$AB$10,MATCH(C95,Parameter!$B$9:$AB$9,0))</f>
        <v>3</v>
      </c>
      <c r="H95" s="2">
        <f ca="1">INDEX(OFFSET(Data!$CS$1:$DS$1,B95-1,0),MATCH("Total/"&amp;C95,Data!$CS$1:$DS$1,0))</f>
        <v>0</v>
      </c>
      <c r="I95" s="2" t="str">
        <f t="shared" ca="1" si="7"/>
        <v/>
      </c>
      <c r="J95" s="2" t="str">
        <f t="array" aca="1" ref="J95" ca="1">IF(H95=1,MATCH(1,(OFFSET(Data!$DY$1:$IB$1,B95-1,0))*(Data!$DY$90:$IB$90=C95),0),"")</f>
        <v/>
      </c>
      <c r="L95" s="2" t="str">
        <f ca="1">IF(H95&gt;1,"Several Players or rounds",IF(H95=1,INDEX(Data!$DT$91:$DT$190,MATCH(I95,OFFSET(Data!$DX$91:$DX$190,0,Specials!J95),0))&amp;" / "&amp;OFFSET(Data!$DX$89,0,Specials!J95),""))</f>
        <v/>
      </c>
      <c r="M95" s="2" t="s">
        <v>254</v>
      </c>
      <c r="N95" s="2" t="s">
        <v>255</v>
      </c>
      <c r="O95" s="78">
        <f t="shared" ca="1" si="6"/>
        <v>5</v>
      </c>
      <c r="P95" s="2" t="str">
        <f t="shared" ca="1" si="8"/>
        <v/>
      </c>
    </row>
    <row r="96" spans="1:16" hidden="1" x14ac:dyDescent="0.25">
      <c r="A96" s="292" t="s">
        <v>226</v>
      </c>
      <c r="B96" s="292">
        <f>MATCH(A96,Data!$DT:$DT,0)</f>
        <v>7</v>
      </c>
      <c r="C96" s="2">
        <f>INDEX(Parameter!$9:$9,,MATCH(7,Parameter!$8:$8,0))</f>
        <v>7</v>
      </c>
      <c r="D96" s="2">
        <f>INDEX(Parameter!$B$10:$AB$10,MATCH(C96,Parameter!$B$9:$AB$9,0))</f>
        <v>3</v>
      </c>
      <c r="H96" s="2">
        <f ca="1">INDEX(OFFSET(Data!$CS$1:$DS$1,B96-1,0),MATCH("Total/"&amp;C96,Data!$CS$1:$DS$1,0))</f>
        <v>0</v>
      </c>
      <c r="I96" s="2" t="str">
        <f t="shared" ca="1" si="7"/>
        <v/>
      </c>
      <c r="J96" s="2" t="str">
        <f t="array" aca="1" ref="J96" ca="1">IF(H96=1,MATCH(1,(OFFSET(Data!$DY$1:$IB$1,B96-1,0))*(Data!$DY$90:$IB$90=C96),0),"")</f>
        <v/>
      </c>
      <c r="L96" s="2" t="str">
        <f ca="1">IF(H96&gt;1,"Several Players or rounds",IF(H96=1,INDEX(Data!$DT$91:$DT$190,MATCH(I96,OFFSET(Data!$DX$91:$DX$190,0,Specials!J96),0))&amp;" / "&amp;OFFSET(Data!$DX$89,0,Specials!J96),""))</f>
        <v/>
      </c>
      <c r="M96" s="2" t="s">
        <v>254</v>
      </c>
      <c r="N96" s="2" t="s">
        <v>255</v>
      </c>
      <c r="O96" s="78">
        <f t="shared" ca="1" si="6"/>
        <v>5</v>
      </c>
      <c r="P96" s="2" t="str">
        <f t="shared" ca="1" si="8"/>
        <v/>
      </c>
    </row>
    <row r="97" spans="1:16" hidden="1" x14ac:dyDescent="0.25">
      <c r="A97" s="292" t="s">
        <v>226</v>
      </c>
      <c r="B97" s="292">
        <f>MATCH(A97,Data!$DT:$DT,0)</f>
        <v>7</v>
      </c>
      <c r="C97" s="2">
        <f>INDEX(Parameter!$9:$9,,MATCH(8,Parameter!$8:$8,0))</f>
        <v>8</v>
      </c>
      <c r="D97" s="2">
        <f>INDEX(Parameter!$B$10:$AB$10,MATCH(C97,Parameter!$B$9:$AB$9,0))</f>
        <v>3</v>
      </c>
      <c r="H97" s="2">
        <f ca="1">INDEX(OFFSET(Data!$CS$1:$DS$1,B97-1,0),MATCH("Total/"&amp;C97,Data!$CS$1:$DS$1,0))</f>
        <v>0</v>
      </c>
      <c r="I97" s="2" t="str">
        <f t="shared" ca="1" si="7"/>
        <v/>
      </c>
      <c r="J97" s="2" t="str">
        <f t="array" aca="1" ref="J97" ca="1">IF(H97=1,MATCH(1,(OFFSET(Data!$DY$1:$IB$1,B97-1,0))*(Data!$DY$90:$IB$90=C97),0),"")</f>
        <v/>
      </c>
      <c r="L97" s="2" t="str">
        <f ca="1">IF(H97&gt;1,"Several Players or rounds",IF(H97=1,INDEX(Data!$DT$91:$DT$190,MATCH(I97,OFFSET(Data!$DX$91:$DX$190,0,Specials!J97),0))&amp;" / "&amp;OFFSET(Data!$DX$89,0,Specials!J97),""))</f>
        <v/>
      </c>
      <c r="M97" s="2" t="s">
        <v>254</v>
      </c>
      <c r="N97" s="2" t="s">
        <v>255</v>
      </c>
      <c r="O97" s="78">
        <f t="shared" ca="1" si="6"/>
        <v>5</v>
      </c>
      <c r="P97" s="2" t="str">
        <f t="shared" ca="1" si="8"/>
        <v/>
      </c>
    </row>
    <row r="98" spans="1:16" hidden="1" x14ac:dyDescent="0.25">
      <c r="A98" s="292" t="s">
        <v>226</v>
      </c>
      <c r="B98" s="292">
        <f>MATCH(A98,Data!$DT:$DT,0)</f>
        <v>7</v>
      </c>
      <c r="C98" s="2">
        <f>INDEX(Parameter!$9:$9,,MATCH(9,Parameter!$8:$8,0))</f>
        <v>9</v>
      </c>
      <c r="D98" s="2">
        <f>INDEX(Parameter!$B$10:$AB$10,MATCH(C98,Parameter!$B$9:$AB$9,0))</f>
        <v>4</v>
      </c>
      <c r="H98" s="2">
        <f ca="1">INDEX(OFFSET(Data!$CS$1:$DS$1,B98-1,0),MATCH("Total/"&amp;C98,Data!$CS$1:$DS$1,0))</f>
        <v>0</v>
      </c>
      <c r="I98" s="2" t="str">
        <f t="shared" ca="1" si="7"/>
        <v/>
      </c>
      <c r="J98" s="2" t="str">
        <f t="array" aca="1" ref="J98" ca="1">IF(H98=1,MATCH(1,(OFFSET(Data!$DY$1:$IB$1,B98-1,0))*(Data!$DY$90:$IB$90=C98),0),"")</f>
        <v/>
      </c>
      <c r="L98" s="2" t="str">
        <f ca="1">IF(H98&gt;1,"Several Players or rounds",IF(H98=1,INDEX(Data!$DT$91:$DT$190,MATCH(I98,OFFSET(Data!$DX$91:$DX$190,0,Specials!J98),0))&amp;" / "&amp;OFFSET(Data!$DX$89,0,Specials!J98),""))</f>
        <v/>
      </c>
      <c r="M98" s="2" t="s">
        <v>254</v>
      </c>
      <c r="N98" s="2" t="s">
        <v>255</v>
      </c>
      <c r="O98" s="78">
        <f t="shared" ca="1" si="6"/>
        <v>5</v>
      </c>
      <c r="P98" s="2" t="str">
        <f t="shared" ca="1" si="8"/>
        <v/>
      </c>
    </row>
    <row r="99" spans="1:16" hidden="1" x14ac:dyDescent="0.25">
      <c r="A99" s="292" t="s">
        <v>226</v>
      </c>
      <c r="B99" s="292">
        <f>MATCH(A99,Data!$DT:$DT,0)</f>
        <v>7</v>
      </c>
      <c r="C99" s="2">
        <f>INDEX(Parameter!$9:$9,,MATCH(10,Parameter!$8:$8,0))</f>
        <v>10</v>
      </c>
      <c r="D99" s="2">
        <f>INDEX(Parameter!$B$10:$AB$10,MATCH(C99,Parameter!$B$9:$AB$9,0))</f>
        <v>4</v>
      </c>
      <c r="H99" s="2">
        <f ca="1">INDEX(OFFSET(Data!$CS$1:$DS$1,B99-1,0),MATCH("Total/"&amp;C99,Data!$CS$1:$DS$1,0))</f>
        <v>0</v>
      </c>
      <c r="I99" s="2" t="str">
        <f t="shared" ca="1" si="7"/>
        <v/>
      </c>
      <c r="J99" s="2" t="str">
        <f t="array" aca="1" ref="J99" ca="1">IF(H99=1,MATCH(1,(OFFSET(Data!$DY$1:$IB$1,B99-1,0))*(Data!$DY$90:$IB$90=C99),0),"")</f>
        <v/>
      </c>
      <c r="L99" s="2" t="str">
        <f ca="1">IF(H99&gt;1,"Several Players or rounds",IF(H99=1,INDEX(Data!$DT$91:$DT$190,MATCH(I99,OFFSET(Data!$DX$91:$DX$190,0,Specials!J99),0))&amp;" / "&amp;OFFSET(Data!$DX$89,0,Specials!J99),""))</f>
        <v/>
      </c>
      <c r="M99" s="2" t="s">
        <v>254</v>
      </c>
      <c r="N99" s="2" t="s">
        <v>255</v>
      </c>
      <c r="O99" s="78">
        <f t="shared" ca="1" si="6"/>
        <v>5</v>
      </c>
      <c r="P99" s="2" t="str">
        <f t="shared" ca="1" si="8"/>
        <v/>
      </c>
    </row>
    <row r="100" spans="1:16" hidden="1" x14ac:dyDescent="0.25">
      <c r="A100" s="292" t="s">
        <v>226</v>
      </c>
      <c r="B100" s="292">
        <f>MATCH(A100,Data!$DT:$DT,0)</f>
        <v>7</v>
      </c>
      <c r="C100" s="2">
        <f>INDEX(Parameter!$9:$9,,MATCH(11,Parameter!$8:$8,0))</f>
        <v>11</v>
      </c>
      <c r="D100" s="2">
        <f>INDEX(Parameter!$B$10:$AB$10,MATCH(C100,Parameter!$B$9:$AB$9,0))</f>
        <v>4</v>
      </c>
      <c r="H100" s="2">
        <f ca="1">INDEX(OFFSET(Data!$CS$1:$DS$1,B100-1,0),MATCH("Total/"&amp;C100,Data!$CS$1:$DS$1,0))</f>
        <v>0</v>
      </c>
      <c r="I100" s="2" t="str">
        <f t="shared" ca="1" si="7"/>
        <v/>
      </c>
      <c r="J100" s="2" t="str">
        <f t="array" aca="1" ref="J100" ca="1">IF(H100=1,MATCH(1,(OFFSET(Data!$DY$1:$IB$1,B100-1,0))*(Data!$DY$90:$IB$90=C100),0),"")</f>
        <v/>
      </c>
      <c r="L100" s="2" t="str">
        <f ca="1">IF(H100&gt;1,"Several Players or rounds",IF(H100=1,INDEX(Data!$DT$91:$DT$190,MATCH(I100,OFFSET(Data!$DX$91:$DX$190,0,Specials!J100),0))&amp;" / "&amp;OFFSET(Data!$DX$89,0,Specials!J100),""))</f>
        <v/>
      </c>
      <c r="M100" s="2" t="s">
        <v>254</v>
      </c>
      <c r="N100" s="2" t="s">
        <v>255</v>
      </c>
      <c r="O100" s="78">
        <f t="shared" ca="1" si="6"/>
        <v>5</v>
      </c>
      <c r="P100" s="2" t="str">
        <f t="shared" ca="1" si="8"/>
        <v/>
      </c>
    </row>
    <row r="101" spans="1:16" hidden="1" x14ac:dyDescent="0.25">
      <c r="A101" s="292" t="s">
        <v>226</v>
      </c>
      <c r="B101" s="292">
        <f>MATCH(A101,Data!$DT:$DT,0)</f>
        <v>7</v>
      </c>
      <c r="C101" s="2" t="str">
        <f>INDEX(Parameter!$9:$9,,MATCH(12,Parameter!$8:$8,0))</f>
        <v>11b</v>
      </c>
      <c r="D101" s="2">
        <f>INDEX(Parameter!$B$10:$AB$10,MATCH(C101,Parameter!$B$9:$AB$9,0))</f>
        <v>3</v>
      </c>
      <c r="H101" s="2">
        <f ca="1">INDEX(OFFSET(Data!$CS$1:$DS$1,B101-1,0),MATCH("Total/"&amp;C101,Data!$CS$1:$DS$1,0))</f>
        <v>0</v>
      </c>
      <c r="I101" s="2" t="str">
        <f t="shared" ca="1" si="7"/>
        <v/>
      </c>
      <c r="J101" s="2" t="str">
        <f t="array" aca="1" ref="J101" ca="1">IF(H101=1,MATCH(1,(OFFSET(Data!$DY$1:$IB$1,B101-1,0))*(Data!$DY$90:$IB$90=C101),0),"")</f>
        <v/>
      </c>
      <c r="L101" s="2" t="str">
        <f ca="1">IF(H101&gt;1,"Several Players or rounds",IF(H101=1,INDEX(Data!$DT$91:$DT$190,MATCH(I101,OFFSET(Data!$DX$91:$DX$190,0,Specials!J101),0))&amp;" / "&amp;OFFSET(Data!$DX$89,0,Specials!J101),""))</f>
        <v/>
      </c>
      <c r="M101" s="2" t="s">
        <v>254</v>
      </c>
      <c r="N101" s="2" t="s">
        <v>255</v>
      </c>
      <c r="O101" s="78">
        <f t="shared" ca="1" si="6"/>
        <v>5</v>
      </c>
      <c r="P101" s="2" t="str">
        <f t="shared" ca="1" si="8"/>
        <v/>
      </c>
    </row>
    <row r="102" spans="1:16" hidden="1" x14ac:dyDescent="0.25">
      <c r="A102" s="292" t="s">
        <v>226</v>
      </c>
      <c r="B102" s="292">
        <f>MATCH(A102,Data!$DT:$DT,0)</f>
        <v>7</v>
      </c>
      <c r="C102" s="2">
        <f>INDEX(Parameter!$9:$9,,MATCH(13,Parameter!$8:$8,0))</f>
        <v>12</v>
      </c>
      <c r="D102" s="2">
        <f>INDEX(Parameter!$B$10:$AB$10,MATCH(C102,Parameter!$B$9:$AB$9,0))</f>
        <v>3</v>
      </c>
      <c r="H102" s="2">
        <f ca="1">INDEX(OFFSET(Data!$CS$1:$DS$1,B102-1,0),MATCH("Total/"&amp;C102,Data!$CS$1:$DS$1,0))</f>
        <v>0</v>
      </c>
      <c r="I102" s="2" t="str">
        <f t="shared" ca="1" si="7"/>
        <v/>
      </c>
      <c r="J102" s="2" t="str">
        <f t="array" aca="1" ref="J102" ca="1">IF(H102=1,MATCH(1,(OFFSET(Data!$DY$1:$IB$1,B102-1,0))*(Data!$DY$90:$IB$90=C102),0),"")</f>
        <v/>
      </c>
      <c r="L102" s="2" t="str">
        <f ca="1">IF(H102&gt;1,"Several Players or rounds",IF(H102=1,INDEX(Data!$DT$91:$DT$190,MATCH(I102,OFFSET(Data!$DX$91:$DX$190,0,Specials!J102),0))&amp;" / "&amp;OFFSET(Data!$DX$89,0,Specials!J102),""))</f>
        <v/>
      </c>
      <c r="M102" s="2" t="s">
        <v>254</v>
      </c>
      <c r="N102" s="2" t="s">
        <v>255</v>
      </c>
      <c r="O102" s="78">
        <f t="shared" ca="1" si="6"/>
        <v>5</v>
      </c>
      <c r="P102" s="2" t="str">
        <f t="shared" ca="1" si="8"/>
        <v/>
      </c>
    </row>
    <row r="103" spans="1:16" hidden="1" x14ac:dyDescent="0.25">
      <c r="A103" s="292" t="s">
        <v>226</v>
      </c>
      <c r="B103" s="292">
        <f>MATCH(A103,Data!$DT:$DT,0)</f>
        <v>7</v>
      </c>
      <c r="C103" s="2">
        <f>INDEX(Parameter!$9:$9,,MATCH(14,Parameter!$8:$8,0))</f>
        <v>13</v>
      </c>
      <c r="D103" s="2">
        <f>INDEX(Parameter!$B$10:$AB$10,MATCH(C103,Parameter!$B$9:$AB$9,0))</f>
        <v>3</v>
      </c>
      <c r="H103" s="2">
        <f ca="1">INDEX(OFFSET(Data!$CS$1:$DS$1,B103-1,0),MATCH("Total/"&amp;C103,Data!$CS$1:$DS$1,0))</f>
        <v>0</v>
      </c>
      <c r="I103" s="2" t="str">
        <f t="shared" ca="1" si="7"/>
        <v/>
      </c>
      <c r="J103" s="2" t="str">
        <f t="array" aca="1" ref="J103" ca="1">IF(H103=1,MATCH(1,(OFFSET(Data!$DY$1:$IB$1,B103-1,0))*(Data!$DY$90:$IB$90=C103),0),"")</f>
        <v/>
      </c>
      <c r="L103" s="2" t="str">
        <f ca="1">IF(H103&gt;1,"Several Players or rounds",IF(H103=1,INDEX(Data!$DT$91:$DT$190,MATCH(I103,OFFSET(Data!$DX$91:$DX$190,0,Specials!J103),0))&amp;" / "&amp;OFFSET(Data!$DX$89,0,Specials!J103),""))</f>
        <v/>
      </c>
      <c r="M103" s="2" t="s">
        <v>254</v>
      </c>
      <c r="N103" s="2" t="s">
        <v>255</v>
      </c>
      <c r="O103" s="78">
        <f t="shared" ca="1" si="6"/>
        <v>5</v>
      </c>
      <c r="P103" s="2" t="str">
        <f t="shared" ca="1" si="8"/>
        <v/>
      </c>
    </row>
    <row r="104" spans="1:16" hidden="1" x14ac:dyDescent="0.25">
      <c r="A104" s="292" t="s">
        <v>226</v>
      </c>
      <c r="B104" s="292">
        <f>MATCH(A104,Data!$DT:$DT,0)</f>
        <v>7</v>
      </c>
      <c r="C104" s="2">
        <f>INDEX(Parameter!$9:$9,,MATCH(15,Parameter!$8:$8,0))</f>
        <v>14</v>
      </c>
      <c r="D104" s="2">
        <f>INDEX(Parameter!$B$10:$AB$10,MATCH(C104,Parameter!$B$9:$AB$9,0))</f>
        <v>3</v>
      </c>
      <c r="H104" s="2">
        <f ca="1">INDEX(OFFSET(Data!$CS$1:$DS$1,B104-1,0),MATCH("Total/"&amp;C104,Data!$CS$1:$DS$1,0))</f>
        <v>0</v>
      </c>
      <c r="I104" s="2" t="str">
        <f t="shared" ca="1" si="7"/>
        <v/>
      </c>
      <c r="J104" s="2" t="str">
        <f t="array" aca="1" ref="J104" ca="1">IF(H104=1,MATCH(1,(OFFSET(Data!$DY$1:$IB$1,B104-1,0))*(Data!$DY$90:$IB$90=C104),0),"")</f>
        <v/>
      </c>
      <c r="L104" s="2" t="str">
        <f ca="1">IF(H104&gt;1,"Several Players or rounds",IF(H104=1,INDEX(Data!$DT$91:$DT$190,MATCH(I104,OFFSET(Data!$DX$91:$DX$190,0,Specials!J104),0))&amp;" / "&amp;OFFSET(Data!$DX$89,0,Specials!J104),""))</f>
        <v/>
      </c>
      <c r="M104" s="2" t="s">
        <v>254</v>
      </c>
      <c r="N104" s="2" t="s">
        <v>255</v>
      </c>
      <c r="O104" s="78">
        <f t="shared" ca="1" si="6"/>
        <v>5</v>
      </c>
      <c r="P104" s="2" t="str">
        <f t="shared" ca="1" si="8"/>
        <v/>
      </c>
    </row>
    <row r="105" spans="1:16" hidden="1" x14ac:dyDescent="0.25">
      <c r="A105" s="292" t="s">
        <v>226</v>
      </c>
      <c r="B105" s="292">
        <f>MATCH(A105,Data!$DT:$DT,0)</f>
        <v>7</v>
      </c>
      <c r="C105" s="2">
        <f>INDEX(Parameter!$9:$9,,MATCH(16,Parameter!$8:$8,0))</f>
        <v>15</v>
      </c>
      <c r="D105" s="2">
        <f>INDEX(Parameter!$B$10:$AB$10,MATCH(C105,Parameter!$B$9:$AB$9,0))</f>
        <v>3</v>
      </c>
      <c r="H105" s="2">
        <f ca="1">INDEX(OFFSET(Data!$CS$1:$DS$1,B105-1,0),MATCH("Total/"&amp;C105,Data!$CS$1:$DS$1,0))</f>
        <v>0</v>
      </c>
      <c r="I105" s="2" t="str">
        <f t="shared" ca="1" si="7"/>
        <v/>
      </c>
      <c r="J105" s="2" t="str">
        <f t="array" aca="1" ref="J105" ca="1">IF(H105=1,MATCH(1,(OFFSET(Data!$DY$1:$IB$1,B105-1,0))*(Data!$DY$90:$IB$90=C105),0),"")</f>
        <v/>
      </c>
      <c r="L105" s="2" t="str">
        <f ca="1">IF(H105&gt;1,"Several Players or rounds",IF(H105=1,INDEX(Data!$DT$91:$DT$190,MATCH(I105,OFFSET(Data!$DX$91:$DX$190,0,Specials!J105),0))&amp;" / "&amp;OFFSET(Data!$DX$89,0,Specials!J105),""))</f>
        <v/>
      </c>
      <c r="M105" s="2" t="s">
        <v>254</v>
      </c>
      <c r="N105" s="2" t="s">
        <v>255</v>
      </c>
      <c r="O105" s="78">
        <f t="shared" ca="1" si="6"/>
        <v>5</v>
      </c>
      <c r="P105" s="2" t="str">
        <f t="shared" ca="1" si="8"/>
        <v/>
      </c>
    </row>
    <row r="106" spans="1:16" hidden="1" x14ac:dyDescent="0.25">
      <c r="A106" s="292" t="s">
        <v>226</v>
      </c>
      <c r="B106" s="292">
        <f>MATCH(A106,Data!$DT:$DT,0)</f>
        <v>7</v>
      </c>
      <c r="C106" s="2">
        <f>INDEX(Parameter!$9:$9,,MATCH(17,Parameter!$8:$8,0))</f>
        <v>16</v>
      </c>
      <c r="D106" s="2">
        <f>INDEX(Parameter!$B$10:$AB$10,MATCH(C106,Parameter!$B$9:$AB$9,0))</f>
        <v>3</v>
      </c>
      <c r="H106" s="2">
        <f ca="1">INDEX(OFFSET(Data!$CS$1:$DS$1,B106-1,0),MATCH("Total/"&amp;C106,Data!$CS$1:$DS$1,0))</f>
        <v>0</v>
      </c>
      <c r="I106" s="2" t="str">
        <f t="shared" ca="1" si="7"/>
        <v/>
      </c>
      <c r="J106" s="2" t="str">
        <f t="array" aca="1" ref="J106" ca="1">IF(H106=1,MATCH(1,(OFFSET(Data!$DY$1:$IB$1,B106-1,0))*(Data!$DY$90:$IB$90=C106),0),"")</f>
        <v/>
      </c>
      <c r="L106" s="2" t="str">
        <f ca="1">IF(H106&gt;1,"Several Players or rounds",IF(H106=1,INDEX(Data!$DT$91:$DT$190,MATCH(I106,OFFSET(Data!$DX$91:$DX$190,0,Specials!J106),0))&amp;" / "&amp;OFFSET(Data!$DX$89,0,Specials!J106),""))</f>
        <v/>
      </c>
      <c r="M106" s="2" t="s">
        <v>254</v>
      </c>
      <c r="N106" s="2" t="s">
        <v>255</v>
      </c>
      <c r="O106" s="78">
        <f t="shared" ca="1" si="6"/>
        <v>5</v>
      </c>
      <c r="P106" s="2" t="str">
        <f t="shared" ca="1" si="8"/>
        <v/>
      </c>
    </row>
    <row r="107" spans="1:16" hidden="1" x14ac:dyDescent="0.25">
      <c r="A107" s="292" t="s">
        <v>226</v>
      </c>
      <c r="B107" s="292">
        <f>MATCH(A107,Data!$DT:$DT,0)</f>
        <v>7</v>
      </c>
      <c r="C107" s="2">
        <f>INDEX(Parameter!$9:$9,,MATCH(18,Parameter!$8:$8,0))</f>
        <v>17</v>
      </c>
      <c r="D107" s="2">
        <f>INDEX(Parameter!$B$10:$AB$10,MATCH(C107,Parameter!$B$9:$AB$9,0))</f>
        <v>3</v>
      </c>
      <c r="H107" s="2">
        <f ca="1">INDEX(OFFSET(Data!$CS$1:$DS$1,B107-1,0),MATCH("Total/"&amp;C107,Data!$CS$1:$DS$1,0))</f>
        <v>0</v>
      </c>
      <c r="I107" s="2" t="str">
        <f t="shared" ca="1" si="7"/>
        <v/>
      </c>
      <c r="J107" s="2" t="str">
        <f t="array" aca="1" ref="J107" ca="1">IF(H107=1,MATCH(1,(OFFSET(Data!$DY$1:$IB$1,B107-1,0))*(Data!$DY$90:$IB$90=C107),0),"")</f>
        <v/>
      </c>
      <c r="L107" s="2" t="str">
        <f ca="1">IF(H107&gt;1,"Several Players or rounds",IF(H107=1,INDEX(Data!$DT$91:$DT$190,MATCH(I107,OFFSET(Data!$DX$91:$DX$190,0,Specials!J107),0))&amp;" / "&amp;OFFSET(Data!$DX$89,0,Specials!J107),""))</f>
        <v/>
      </c>
      <c r="M107" s="2" t="s">
        <v>254</v>
      </c>
      <c r="N107" s="2" t="s">
        <v>255</v>
      </c>
      <c r="O107" s="78">
        <f t="shared" ca="1" si="6"/>
        <v>5</v>
      </c>
      <c r="P107" s="2" t="str">
        <f t="shared" ca="1" si="8"/>
        <v/>
      </c>
    </row>
    <row r="108" spans="1:16" hidden="1" x14ac:dyDescent="0.25">
      <c r="A108" s="292" t="s">
        <v>226</v>
      </c>
      <c r="B108" s="292">
        <f>MATCH(A108,Data!$DT:$DT,0)</f>
        <v>7</v>
      </c>
      <c r="C108" s="2">
        <f>INDEX(Parameter!$9:$9,,MATCH(19,Parameter!$8:$8,0))</f>
        <v>18</v>
      </c>
      <c r="D108" s="2">
        <f>INDEX(Parameter!$B$10:$AB$10,MATCH(C108,Parameter!$B$9:$AB$9,0))</f>
        <v>3</v>
      </c>
      <c r="H108" s="2">
        <f ca="1">INDEX(OFFSET(Data!$CS$1:$DS$1,B108-1,0),MATCH("Total/"&amp;C108,Data!$CS$1:$DS$1,0))</f>
        <v>0</v>
      </c>
      <c r="I108" s="2" t="str">
        <f t="shared" ca="1" si="7"/>
        <v/>
      </c>
      <c r="J108" s="2" t="str">
        <f t="array" aca="1" ref="J108" ca="1">IF(H108=1,MATCH(1,(OFFSET(Data!$DY$1:$IB$1,B108-1,0))*(Data!$DY$90:$IB$90=C108),0),"")</f>
        <v/>
      </c>
      <c r="L108" s="2" t="str">
        <f ca="1">IF(H108&gt;1,"Several Players or rounds",IF(H108=1,INDEX(Data!$DT$91:$DT$190,MATCH(I108,OFFSET(Data!$DX$91:$DX$190,0,Specials!J108),0))&amp;" / "&amp;OFFSET(Data!$DX$89,0,Specials!J108),""))</f>
        <v/>
      </c>
      <c r="M108" s="2" t="s">
        <v>254</v>
      </c>
      <c r="N108" s="2" t="s">
        <v>255</v>
      </c>
      <c r="O108" s="78">
        <f t="shared" ca="1" si="6"/>
        <v>5</v>
      </c>
      <c r="P108" s="2" t="str">
        <f t="shared" ca="1" si="8"/>
        <v/>
      </c>
    </row>
    <row r="109" spans="1:16" hidden="1" x14ac:dyDescent="0.25">
      <c r="A109" s="292" t="s">
        <v>226</v>
      </c>
      <c r="B109" s="292">
        <f>MATCH(A109,Data!$DT:$DT,0)</f>
        <v>7</v>
      </c>
      <c r="C109" s="2">
        <f>INDEX(Parameter!$9:$9,,MATCH(20,Parameter!$8:$8,0))</f>
        <v>20</v>
      </c>
      <c r="D109" s="2" t="str">
        <f>INDEX(Parameter!$B$10:$AB$10,MATCH(C109,Parameter!$B$9:$AB$9,0))</f>
        <v>no</v>
      </c>
      <c r="H109" s="2">
        <f ca="1">INDEX(OFFSET(Data!$CS$1:$DS$1,B109-1,0),MATCH("Total/"&amp;C109,Data!$CS$1:$DS$1,0))</f>
        <v>0</v>
      </c>
      <c r="I109" s="2" t="str">
        <f t="shared" ca="1" si="7"/>
        <v/>
      </c>
      <c r="J109" s="2" t="str">
        <f t="array" aca="1" ref="J109" ca="1">IF(H109=1,MATCH(1,(OFFSET(Data!$DY$1:$IB$1,B109-1,0))*(Data!$DY$90:$IB$90=C109),0),"")</f>
        <v/>
      </c>
      <c r="L109" s="2" t="str">
        <f ca="1">IF(H109&gt;1,"Several Players or rounds",IF(H109=1,INDEX(Data!$DT$91:$DT$190,MATCH(I109,OFFSET(Data!$DX$91:$DX$190,0,Specials!J109),0))&amp;" / "&amp;OFFSET(Data!$DX$89,0,Specials!J109),""))</f>
        <v/>
      </c>
      <c r="M109" s="2" t="s">
        <v>254</v>
      </c>
      <c r="N109" s="2" t="s">
        <v>255</v>
      </c>
      <c r="O109" s="78">
        <f t="shared" ca="1" si="6"/>
        <v>5</v>
      </c>
      <c r="P109" s="2" t="str">
        <f t="shared" ca="1" si="8"/>
        <v/>
      </c>
    </row>
    <row r="110" spans="1:16" hidden="1" x14ac:dyDescent="0.25">
      <c r="A110" s="292" t="s">
        <v>226</v>
      </c>
      <c r="B110" s="292">
        <f>MATCH(A110,Data!$DT:$DT,0)</f>
        <v>7</v>
      </c>
      <c r="C110" s="2">
        <f>INDEX(Parameter!$9:$9,,MATCH(21,Parameter!$8:$8,0))</f>
        <v>21</v>
      </c>
      <c r="D110" s="2" t="str">
        <f>INDEX(Parameter!$B$10:$AB$10,MATCH(C110,Parameter!$B$9:$AB$9,0))</f>
        <v>no</v>
      </c>
      <c r="H110" s="2">
        <f ca="1">INDEX(OFFSET(Data!$CS$1:$DS$1,B110-1,0),MATCH("Total/"&amp;C110,Data!$CS$1:$DS$1,0))</f>
        <v>0</v>
      </c>
      <c r="I110" s="2" t="str">
        <f t="shared" ca="1" si="7"/>
        <v/>
      </c>
      <c r="J110" s="2" t="str">
        <f t="array" aca="1" ref="J110" ca="1">IF(H110=1,MATCH(1,(OFFSET(Data!$DY$1:$IB$1,B110-1,0))*(Data!$DY$90:$IB$90=C110),0),"")</f>
        <v/>
      </c>
      <c r="L110" s="2" t="str">
        <f ca="1">IF(H110&gt;1,"Several Players or rounds",IF(H110=1,INDEX(Data!$DT$91:$DT$190,MATCH(I110,OFFSET(Data!$DX$91:$DX$190,0,Specials!J110),0))&amp;" / "&amp;OFFSET(Data!$DX$89,0,Specials!J110),""))</f>
        <v/>
      </c>
      <c r="M110" s="2" t="s">
        <v>254</v>
      </c>
      <c r="N110" s="2" t="s">
        <v>255</v>
      </c>
      <c r="O110" s="78">
        <f t="shared" ca="1" si="6"/>
        <v>5</v>
      </c>
      <c r="P110" s="2" t="str">
        <f t="shared" ca="1" si="8"/>
        <v/>
      </c>
    </row>
    <row r="111" spans="1:16" hidden="1" x14ac:dyDescent="0.25">
      <c r="A111" s="292" t="s">
        <v>226</v>
      </c>
      <c r="B111" s="292">
        <f>MATCH(A111,Data!$DT:$DT,0)</f>
        <v>7</v>
      </c>
      <c r="C111" s="2">
        <f>INDEX(Parameter!$9:$9,,MATCH(22,Parameter!$8:$8,0))</f>
        <v>22</v>
      </c>
      <c r="D111" s="2" t="str">
        <f>INDEX(Parameter!$B$10:$AB$10,MATCH(C111,Parameter!$B$9:$AB$9,0))</f>
        <v>no</v>
      </c>
      <c r="H111" s="2">
        <f ca="1">INDEX(OFFSET(Data!$CS$1:$DS$1,B111-1,0),MATCH("Total/"&amp;C111,Data!$CS$1:$DS$1,0))</f>
        <v>0</v>
      </c>
      <c r="I111" s="2" t="str">
        <f t="shared" ca="1" si="7"/>
        <v/>
      </c>
      <c r="J111" s="2" t="str">
        <f t="array" aca="1" ref="J111" ca="1">IF(H111=1,MATCH(1,(OFFSET(Data!$DY$1:$IB$1,B111-1,0))*(Data!$DY$90:$IB$90=C111),0),"")</f>
        <v/>
      </c>
      <c r="L111" s="2" t="str">
        <f ca="1">IF(H111&gt;1,"Several Players or rounds",IF(H111=1,INDEX(Data!$DT$91:$DT$190,MATCH(I111,OFFSET(Data!$DX$91:$DX$190,0,Specials!J111),0))&amp;" / "&amp;OFFSET(Data!$DX$89,0,Specials!J111),""))</f>
        <v/>
      </c>
      <c r="M111" s="2" t="s">
        <v>254</v>
      </c>
      <c r="N111" s="2" t="s">
        <v>255</v>
      </c>
      <c r="O111" s="78">
        <f t="shared" ca="1" si="6"/>
        <v>5</v>
      </c>
      <c r="P111" s="2" t="str">
        <f t="shared" ca="1" si="8"/>
        <v/>
      </c>
    </row>
    <row r="112" spans="1:16" hidden="1" x14ac:dyDescent="0.25">
      <c r="A112" s="292" t="s">
        <v>226</v>
      </c>
      <c r="B112" s="292">
        <f>MATCH(A112,Data!$DT:$DT,0)</f>
        <v>7</v>
      </c>
      <c r="C112" s="2">
        <f>INDEX(Parameter!$9:$9,,MATCH(23,Parameter!$8:$8,0))</f>
        <v>23</v>
      </c>
      <c r="D112" s="2" t="str">
        <f>INDEX(Parameter!$B$10:$AB$10,MATCH(C112,Parameter!$B$9:$AB$9,0))</f>
        <v>no</v>
      </c>
      <c r="H112" s="2">
        <f ca="1">INDEX(OFFSET(Data!$CS$1:$DS$1,B112-1,0),MATCH("Total/"&amp;C112,Data!$CS$1:$DS$1,0))</f>
        <v>0</v>
      </c>
      <c r="I112" s="2" t="str">
        <f t="shared" ca="1" si="7"/>
        <v/>
      </c>
      <c r="J112" s="2" t="str">
        <f t="array" aca="1" ref="J112" ca="1">IF(H112=1,MATCH(1,(OFFSET(Data!$DY$1:$IB$1,B112-1,0))*(Data!$DY$90:$IB$90=C112),0),"")</f>
        <v/>
      </c>
      <c r="L112" s="2" t="str">
        <f ca="1">IF(H112&gt;1,"Several Players or rounds",IF(H112=1,INDEX(Data!$DT$91:$DT$190,MATCH(I112,OFFSET(Data!$DX$91:$DX$190,0,Specials!J112),0))&amp;" / "&amp;OFFSET(Data!$DX$89,0,Specials!J112),""))</f>
        <v/>
      </c>
      <c r="M112" s="2" t="s">
        <v>254</v>
      </c>
      <c r="N112" s="2" t="s">
        <v>255</v>
      </c>
      <c r="O112" s="78">
        <f t="shared" ca="1" si="6"/>
        <v>5</v>
      </c>
      <c r="P112" s="2" t="str">
        <f t="shared" ca="1" si="8"/>
        <v/>
      </c>
    </row>
    <row r="113" spans="1:16" hidden="1" x14ac:dyDescent="0.25">
      <c r="A113" s="292" t="s">
        <v>226</v>
      </c>
      <c r="B113" s="292">
        <f>MATCH(A113,Data!$DT:$DT,0)</f>
        <v>7</v>
      </c>
      <c r="C113" s="2">
        <f>INDEX(Parameter!$9:$9,,MATCH(24,Parameter!$8:$8,0))</f>
        <v>24</v>
      </c>
      <c r="D113" s="2" t="str">
        <f>INDEX(Parameter!$B$10:$AB$10,MATCH(C113,Parameter!$B$9:$AB$9,0))</f>
        <v>no</v>
      </c>
      <c r="H113" s="2">
        <f ca="1">INDEX(OFFSET(Data!$CS$1:$DS$1,B113-1,0),MATCH("Total/"&amp;C113,Data!$CS$1:$DS$1,0))</f>
        <v>0</v>
      </c>
      <c r="I113" s="2" t="str">
        <f t="shared" ca="1" si="7"/>
        <v/>
      </c>
      <c r="J113" s="2" t="str">
        <f t="array" aca="1" ref="J113" ca="1">IF(H113=1,MATCH(1,(OFFSET(Data!$DY$1:$IB$1,B113-1,0))*(Data!$DY$90:$IB$90=C113),0),"")</f>
        <v/>
      </c>
      <c r="L113" s="2" t="str">
        <f ca="1">IF(H113&gt;1,"Several Players or rounds",IF(H113=1,INDEX(Data!$DT$91:$DT$190,MATCH(I113,OFFSET(Data!$DX$91:$DX$190,0,Specials!J113),0))&amp;" / "&amp;OFFSET(Data!$DX$89,0,Specials!J113),""))</f>
        <v/>
      </c>
      <c r="M113" s="2" t="s">
        <v>254</v>
      </c>
      <c r="N113" s="2" t="s">
        <v>255</v>
      </c>
      <c r="O113" s="78">
        <f t="shared" ca="1" si="6"/>
        <v>5</v>
      </c>
      <c r="P113" s="2" t="str">
        <f t="shared" ca="1" si="8"/>
        <v/>
      </c>
    </row>
    <row r="114" spans="1:16" hidden="1" x14ac:dyDescent="0.25">
      <c r="A114" s="292" t="s">
        <v>226</v>
      </c>
      <c r="B114" s="292">
        <f>MATCH(A114,Data!$DT:$DT,0)</f>
        <v>7</v>
      </c>
      <c r="C114" s="2">
        <f>INDEX(Parameter!$9:$9,,MATCH(25,Parameter!$8:$8,0))</f>
        <v>25</v>
      </c>
      <c r="D114" s="2" t="str">
        <f>INDEX(Parameter!$B$10:$AB$10,MATCH(C114,Parameter!$B$9:$AB$9,0))</f>
        <v>no</v>
      </c>
      <c r="H114" s="2">
        <f ca="1">INDEX(OFFSET(Data!$CS$1:$DS$1,B114-1,0),MATCH("Total/"&amp;C114,Data!$CS$1:$DS$1,0))</f>
        <v>0</v>
      </c>
      <c r="I114" s="2" t="str">
        <f t="shared" ca="1" si="7"/>
        <v/>
      </c>
      <c r="J114" s="2" t="str">
        <f t="array" aca="1" ref="J114" ca="1">IF(H114=1,MATCH(1,(OFFSET(Data!$DY$1:$IB$1,B114-1,0))*(Data!$DY$90:$IB$90=C114),0),"")</f>
        <v/>
      </c>
      <c r="L114" s="2" t="str">
        <f ca="1">IF(H114&gt;1,"Several Players or rounds",IF(H114=1,INDEX(Data!$DT$91:$DT$190,MATCH(I114,OFFSET(Data!$DX$91:$DX$190,0,Specials!J114),0))&amp;" / "&amp;OFFSET(Data!$DX$89,0,Specials!J114),""))</f>
        <v/>
      </c>
      <c r="M114" s="2" t="s">
        <v>254</v>
      </c>
      <c r="N114" s="2" t="s">
        <v>255</v>
      </c>
      <c r="O114" s="78">
        <f t="shared" ca="1" si="6"/>
        <v>5</v>
      </c>
      <c r="P114" s="2" t="str">
        <f t="shared" ca="1" si="8"/>
        <v/>
      </c>
    </row>
    <row r="115" spans="1:16" hidden="1" x14ac:dyDescent="0.25">
      <c r="A115" s="292" t="s">
        <v>226</v>
      </c>
      <c r="B115" s="292">
        <f>MATCH(A115,Data!$DT:$DT,0)</f>
        <v>7</v>
      </c>
      <c r="C115" s="2">
        <f>INDEX(Parameter!$9:$9,,MATCH(26,Parameter!$8:$8,0))</f>
        <v>26</v>
      </c>
      <c r="D115" s="2" t="str">
        <f>INDEX(Parameter!$B$10:$AB$10,MATCH(C115,Parameter!$B$9:$AB$9,0))</f>
        <v>no</v>
      </c>
      <c r="H115" s="2">
        <f ca="1">INDEX(OFFSET(Data!$CS$1:$DS$1,B115-1,0),MATCH("Total/"&amp;C115,Data!$CS$1:$DS$1,0))</f>
        <v>0</v>
      </c>
      <c r="I115" s="2" t="str">
        <f t="shared" ca="1" si="7"/>
        <v/>
      </c>
      <c r="J115" s="2" t="str">
        <f t="array" aca="1" ref="J115" ca="1">IF(H115=1,MATCH(1,(OFFSET(Data!$DY$1:$IB$1,B115-1,0))*(Data!$DY$90:$IB$90=C115),0),"")</f>
        <v/>
      </c>
      <c r="L115" s="2" t="str">
        <f ca="1">IF(H115&gt;1,"Several Players or rounds",IF(H115=1,INDEX(Data!$DT$91:$DT$190,MATCH(I115,OFFSET(Data!$DX$91:$DX$190,0,Specials!J115),0))&amp;" / "&amp;OFFSET(Data!$DX$89,0,Specials!J115),""))</f>
        <v/>
      </c>
      <c r="M115" s="2" t="s">
        <v>254</v>
      </c>
      <c r="N115" s="2" t="s">
        <v>255</v>
      </c>
      <c r="O115" s="78">
        <f t="shared" ca="1" si="6"/>
        <v>5</v>
      </c>
      <c r="P115" s="2" t="str">
        <f t="shared" ca="1" si="8"/>
        <v/>
      </c>
    </row>
    <row r="116" spans="1:16" hidden="1" x14ac:dyDescent="0.25">
      <c r="A116" s="292" t="s">
        <v>226</v>
      </c>
      <c r="B116" s="292">
        <f>MATCH(A116,Data!$DT:$DT,0)</f>
        <v>7</v>
      </c>
      <c r="C116" s="2">
        <f>INDEX(Parameter!$9:$9,,MATCH(27,Parameter!$8:$8,0))</f>
        <v>27</v>
      </c>
      <c r="D116" s="2" t="str">
        <f>INDEX(Parameter!$B$10:$AB$10,MATCH(C116,Parameter!$B$9:$AB$9,0))</f>
        <v>no</v>
      </c>
      <c r="H116" s="2">
        <f ca="1">INDEX(OFFSET(Data!$CS$1:$DS$1,B116-1,0),MATCH("Total/"&amp;C116,Data!$CS$1:$DS$1,0))</f>
        <v>0</v>
      </c>
      <c r="I116" s="2" t="str">
        <f t="shared" ca="1" si="7"/>
        <v/>
      </c>
      <c r="J116" s="2" t="str">
        <f t="array" aca="1" ref="J116" ca="1">IF(H116=1,MATCH(1,(OFFSET(Data!$DY$1:$IB$1,B116-1,0))*(Data!$DY$90:$IB$90=C116),0),"")</f>
        <v/>
      </c>
      <c r="L116" s="2" t="str">
        <f ca="1">IF(H116&gt;1,"Several Players or rounds",IF(H116=1,INDEX(Data!$DT$91:$DT$190,MATCH(I116,OFFSET(Data!$DX$91:$DX$190,0,Specials!J116),0))&amp;" / "&amp;OFFSET(Data!$DX$89,0,Specials!J116),""))</f>
        <v/>
      </c>
      <c r="M116" s="2" t="s">
        <v>254</v>
      </c>
      <c r="N116" s="2" t="s">
        <v>255</v>
      </c>
      <c r="O116" s="78">
        <f t="shared" ca="1" si="6"/>
        <v>5</v>
      </c>
      <c r="P116" s="2" t="str">
        <f ca="1">IF(H116&gt;0,H116&amp;" Eagle(s) on hole "&amp;$C116&amp;" (par "&amp;D116&amp;")","")</f>
        <v/>
      </c>
    </row>
    <row r="117" spans="1:16" hidden="1" x14ac:dyDescent="0.25">
      <c r="A117" s="293" t="s">
        <v>373</v>
      </c>
      <c r="B117" s="292"/>
      <c r="H117" s="2">
        <f>SUM(Data!CS7:DS7)</f>
        <v>0</v>
      </c>
      <c r="L117" s="2" t="str">
        <f>""</f>
        <v/>
      </c>
      <c r="M117" s="2" t="s">
        <v>254</v>
      </c>
      <c r="N117" s="2" t="s">
        <v>255</v>
      </c>
      <c r="O117" s="78">
        <f t="shared" ca="1" si="6"/>
        <v>6</v>
      </c>
      <c r="P117" s="2" t="str">
        <f>IF(H117=0,"No Eagles in tournament","")</f>
        <v>No Eagles in tournament</v>
      </c>
    </row>
    <row r="118" spans="1:16" s="65" customFormat="1" ht="15" hidden="1" customHeight="1" x14ac:dyDescent="0.25">
      <c r="A118" s="294" t="s">
        <v>58</v>
      </c>
      <c r="B118" s="294">
        <f>MATCH(A118,Data!$DT:$DT,0)</f>
        <v>8</v>
      </c>
      <c r="C118" s="65">
        <f>INDEX(Parameter!$9:$9,,MATCH(1,Parameter!$8:$8,0))</f>
        <v>1</v>
      </c>
      <c r="D118" s="65">
        <f>INDEX(Parameter!$B$10:$AB$10,MATCH(C118,Parameter!$B$9:$AB$9,0))</f>
        <v>3</v>
      </c>
      <c r="H118" s="65">
        <f ca="1">INDEX(OFFSET(Data!$CS$1:$DS$1,B118-1,0),MATCH("Total/"&amp;C118,Data!$CS$1:$DS$1,0))</f>
        <v>29</v>
      </c>
      <c r="I118" s="65" t="str">
        <f ca="1">IF(H118=1,D118-1,"")</f>
        <v/>
      </c>
      <c r="J118" s="65" t="str">
        <f t="array" aca="1" ref="J118" ca="1">IF(H118=1,MATCH(1,(OFFSET(Data!$DY$1:$IB$1,B118-1,0))*(Data!$DY$90:$IB$90=C118),0),"")</f>
        <v/>
      </c>
      <c r="K118" s="65" t="str">
        <f ca="1">IF(H118=0,C118,"")</f>
        <v/>
      </c>
      <c r="L118" s="65" t="str">
        <f ca="1">IF(H118=1,INDEX(Data!$DT$91:$DT$190,MATCH(I118,OFFSET(Data!$DX$91:$DX$190,0,Specials!J118),0))&amp;" / "&amp;OFFSET(Data!$DX$89,0,Specials!J118),"")</f>
        <v/>
      </c>
      <c r="M118" s="65" t="s">
        <v>254</v>
      </c>
      <c r="N118" s="65" t="s">
        <v>255</v>
      </c>
      <c r="O118" s="65">
        <f t="shared" ca="1" si="6"/>
        <v>6</v>
      </c>
      <c r="P118" s="65" t="str">
        <f ca="1">IF(H118=1,"Only 1 Birdie on hole "&amp;C118&amp;" (par "&amp;D118&amp;")","")</f>
        <v/>
      </c>
    </row>
    <row r="119" spans="1:16" s="65" customFormat="1" hidden="1" x14ac:dyDescent="0.25">
      <c r="A119" s="294" t="s">
        <v>58</v>
      </c>
      <c r="B119" s="294">
        <f>MATCH(A119,Data!$DT:$DT,0)</f>
        <v>8</v>
      </c>
      <c r="C119" s="65">
        <f>INDEX(Parameter!$9:$9,,MATCH(2,Parameter!$8:$8,0))</f>
        <v>2</v>
      </c>
      <c r="D119" s="65">
        <f>INDEX(Parameter!$B$10:$AB$10,MATCH(C119,Parameter!$B$9:$AB$9,0))</f>
        <v>3</v>
      </c>
      <c r="H119" s="65">
        <f ca="1">INDEX(OFFSET(Data!$CS$1:$DS$1,B119-1,0),MATCH("Total/"&amp;C119,Data!$CS$1:$DS$1,0))</f>
        <v>17</v>
      </c>
      <c r="I119" s="65" t="str">
        <f t="shared" ref="I119:I144" ca="1" si="9">IF(H119=1,D119-1,"")</f>
        <v/>
      </c>
      <c r="J119" s="65" t="str">
        <f t="array" aca="1" ref="J119" ca="1">IF(H119=1,MATCH(1,(OFFSET(Data!$DY$1:$IB$1,B119-1,0))*(Data!$DY$90:$IB$90=C119),0),"")</f>
        <v/>
      </c>
      <c r="K119" s="65" t="str">
        <f ca="1">IF(AND(H119=0,D119&lt;&gt;"no"),IF(K118="",C119,K118&amp;", "&amp;C119),K118)</f>
        <v/>
      </c>
      <c r="L119" s="65" t="str">
        <f ca="1">IF(H119=1,INDEX(Data!$DT$91:$DT$190,MATCH(I119,OFFSET(Data!$DX$91:$DX$190,0,Specials!J119),0))&amp;" / "&amp;OFFSET(Data!$DX$89,0,Specials!J119),"")</f>
        <v/>
      </c>
      <c r="M119" s="65" t="s">
        <v>254</v>
      </c>
      <c r="N119" s="65" t="s">
        <v>255</v>
      </c>
      <c r="O119" s="65">
        <f t="shared" ca="1" si="6"/>
        <v>6</v>
      </c>
      <c r="P119" s="65" t="str">
        <f t="shared" ref="P119:P143" ca="1" si="10">IF(H119=1,"Only 1 Birdie on hole "&amp;C119&amp;" (par "&amp;D119&amp;")","")</f>
        <v/>
      </c>
    </row>
    <row r="120" spans="1:16" s="65" customFormat="1" hidden="1" x14ac:dyDescent="0.25">
      <c r="A120" s="294" t="s">
        <v>58</v>
      </c>
      <c r="B120" s="294">
        <f>MATCH(A120,Data!$DT:$DT,0)</f>
        <v>8</v>
      </c>
      <c r="C120" s="65">
        <f>INDEX(Parameter!$9:$9,,MATCH(3,Parameter!$8:$8,0))</f>
        <v>3</v>
      </c>
      <c r="D120" s="65">
        <f>INDEX(Parameter!$B$10:$AB$10,MATCH(C120,Parameter!$B$9:$AB$9,0))</f>
        <v>3</v>
      </c>
      <c r="H120" s="65">
        <f ca="1">INDEX(OFFSET(Data!$CS$1:$DS$1,B120-1,0),MATCH("Total/"&amp;C120,Data!$CS$1:$DS$1,0))</f>
        <v>13</v>
      </c>
      <c r="I120" s="65" t="str">
        <f t="shared" ca="1" si="9"/>
        <v/>
      </c>
      <c r="J120" s="65" t="str">
        <f t="array" aca="1" ref="J120" ca="1">IF(H120=1,MATCH(1,(OFFSET(Data!$DY$1:$IB$1,B120-1,0))*(Data!$DY$90:$IB$90=C120),0),"")</f>
        <v/>
      </c>
      <c r="K120" s="65" t="str">
        <f ca="1">IF(AND(H120=0,D120&lt;&gt;"no"),IF(K119="",C120,K119&amp;", "&amp;C120),K119)</f>
        <v/>
      </c>
      <c r="L120" s="65" t="str">
        <f ca="1">IF(H120=1,INDEX(Data!$DT$91:$DT$190,MATCH(I120,OFFSET(Data!$DX$91:$DX$190,0,Specials!J120),0))&amp;" / "&amp;OFFSET(Data!$DX$89,0,Specials!J120),"")</f>
        <v/>
      </c>
      <c r="M120" s="65" t="s">
        <v>254</v>
      </c>
      <c r="N120" s="65" t="s">
        <v>255</v>
      </c>
      <c r="O120" s="65">
        <f t="shared" ca="1" si="6"/>
        <v>6</v>
      </c>
      <c r="P120" s="65" t="str">
        <f t="shared" ca="1" si="10"/>
        <v/>
      </c>
    </row>
    <row r="121" spans="1:16" s="65" customFormat="1" hidden="1" x14ac:dyDescent="0.25">
      <c r="A121" s="294" t="s">
        <v>58</v>
      </c>
      <c r="B121" s="294">
        <f>MATCH(A121,Data!$DT:$DT,0)</f>
        <v>8</v>
      </c>
      <c r="C121" s="65">
        <f>INDEX(Parameter!$9:$9,,MATCH(4,Parameter!$8:$8,0))</f>
        <v>4</v>
      </c>
      <c r="D121" s="65">
        <f>INDEX(Parameter!$B$10:$AB$10,MATCH(C121,Parameter!$B$9:$AB$9,0))</f>
        <v>3</v>
      </c>
      <c r="H121" s="65">
        <f ca="1">INDEX(OFFSET(Data!$CS$1:$DS$1,B121-1,0),MATCH("Total/"&amp;C121,Data!$CS$1:$DS$1,0))</f>
        <v>11</v>
      </c>
      <c r="I121" s="65" t="str">
        <f t="shared" ca="1" si="9"/>
        <v/>
      </c>
      <c r="J121" s="65" t="str">
        <f t="array" aca="1" ref="J121" ca="1">IF(H121=1,MATCH(1,(OFFSET(Data!$DY$1:$IB$1,B121-1,0))*(Data!$DY$90:$IB$90=C121),0),"")</f>
        <v/>
      </c>
      <c r="K121" s="65" t="str">
        <f ca="1">IF(AND(H121=0,D121&lt;&gt;"no"),IF(K120="",C121,K120&amp;", "&amp;C121),K120)</f>
        <v/>
      </c>
      <c r="L121" s="65" t="str">
        <f ca="1">IF(H121=1,INDEX(Data!$DT$91:$DT$190,MATCH(I121,OFFSET(Data!$DX$91:$DX$190,0,Specials!J121),0))&amp;" / "&amp;OFFSET(Data!$DX$89,0,Specials!J121),"")</f>
        <v/>
      </c>
      <c r="M121" s="65" t="s">
        <v>254</v>
      </c>
      <c r="N121" s="65" t="s">
        <v>255</v>
      </c>
      <c r="O121" s="65">
        <f t="shared" ca="1" si="6"/>
        <v>6</v>
      </c>
      <c r="P121" s="65" t="str">
        <f t="shared" ca="1" si="10"/>
        <v/>
      </c>
    </row>
    <row r="122" spans="1:16" s="65" customFormat="1" hidden="1" x14ac:dyDescent="0.25">
      <c r="A122" s="294" t="s">
        <v>58</v>
      </c>
      <c r="B122" s="294">
        <f>MATCH(A122,Data!$DT:$DT,0)</f>
        <v>8</v>
      </c>
      <c r="C122" s="65">
        <f>INDEX(Parameter!$9:$9,,MATCH(5,Parameter!$8:$8,0))</f>
        <v>5</v>
      </c>
      <c r="D122" s="65">
        <f>INDEX(Parameter!$B$10:$AB$10,MATCH(C122,Parameter!$B$9:$AB$9,0))</f>
        <v>4</v>
      </c>
      <c r="H122" s="65">
        <f ca="1">INDEX(OFFSET(Data!$CS$1:$DS$1,B122-1,0),MATCH("Total/"&amp;C122,Data!$CS$1:$DS$1,0))</f>
        <v>27</v>
      </c>
      <c r="I122" s="65" t="str">
        <f t="shared" ca="1" si="9"/>
        <v/>
      </c>
      <c r="J122" s="65" t="str">
        <f t="array" aca="1" ref="J122" ca="1">IF(H122=1,MATCH(1,(OFFSET(Data!$DY$1:$IB$1,B122-1,0))*(Data!$DY$90:$IB$90=C122),0),"")</f>
        <v/>
      </c>
      <c r="K122" s="65" t="str">
        <f t="shared" ref="K122:K143" ca="1" si="11">IF(AND(H122=0,D122&lt;&gt;"no"),IF(K121="",C122,K121&amp;", "&amp;C122),K121)</f>
        <v/>
      </c>
      <c r="L122" s="65" t="str">
        <f ca="1">IF(H122=1,INDEX(Data!$DT$91:$DT$190,MATCH(I122,OFFSET(Data!$DX$91:$DX$190,0,Specials!J122),0))&amp;" / "&amp;OFFSET(Data!$DX$89,0,Specials!J122),"")</f>
        <v/>
      </c>
      <c r="M122" s="65" t="s">
        <v>254</v>
      </c>
      <c r="N122" s="65" t="s">
        <v>255</v>
      </c>
      <c r="O122" s="65">
        <f t="shared" ca="1" si="6"/>
        <v>6</v>
      </c>
      <c r="P122" s="65" t="str">
        <f t="shared" ca="1" si="10"/>
        <v/>
      </c>
    </row>
    <row r="123" spans="1:16" s="65" customFormat="1" hidden="1" x14ac:dyDescent="0.25">
      <c r="A123" s="294" t="s">
        <v>58</v>
      </c>
      <c r="B123" s="294">
        <f>MATCH(A123,Data!$DT:$DT,0)</f>
        <v>8</v>
      </c>
      <c r="C123" s="65">
        <f>INDEX(Parameter!$9:$9,,MATCH(6,Parameter!$8:$8,0))</f>
        <v>6</v>
      </c>
      <c r="D123" s="65">
        <f>INDEX(Parameter!$B$10:$AB$10,MATCH(C123,Parameter!$B$9:$AB$9,0))</f>
        <v>3</v>
      </c>
      <c r="H123" s="65">
        <f ca="1">INDEX(OFFSET(Data!$CS$1:$DS$1,B123-1,0),MATCH("Total/"&amp;C123,Data!$CS$1:$DS$1,0))</f>
        <v>12</v>
      </c>
      <c r="I123" s="65" t="str">
        <f t="shared" ca="1" si="9"/>
        <v/>
      </c>
      <c r="J123" s="65" t="str">
        <f t="array" aca="1" ref="J123" ca="1">IF(H123=1,MATCH(1,(OFFSET(Data!$DY$1:$IB$1,B123-1,0))*(Data!$DY$90:$IB$90=C123),0),"")</f>
        <v/>
      </c>
      <c r="K123" s="65" t="str">
        <f t="shared" ca="1" si="11"/>
        <v/>
      </c>
      <c r="L123" s="65" t="str">
        <f ca="1">IF(H123=1,INDEX(Data!$DT$91:$DT$190,MATCH(I123,OFFSET(Data!$DX$91:$DX$190,0,Specials!J123),0))&amp;" / "&amp;OFFSET(Data!$DX$89,0,Specials!J123),"")</f>
        <v/>
      </c>
      <c r="M123" s="65" t="s">
        <v>254</v>
      </c>
      <c r="N123" s="65" t="s">
        <v>255</v>
      </c>
      <c r="O123" s="65">
        <f t="shared" ca="1" si="6"/>
        <v>6</v>
      </c>
      <c r="P123" s="65" t="str">
        <f t="shared" ca="1" si="10"/>
        <v/>
      </c>
    </row>
    <row r="124" spans="1:16" s="65" customFormat="1" hidden="1" x14ac:dyDescent="0.25">
      <c r="A124" s="294" t="s">
        <v>58</v>
      </c>
      <c r="B124" s="294">
        <f>MATCH(A124,Data!$DT:$DT,0)</f>
        <v>8</v>
      </c>
      <c r="C124" s="65">
        <f>INDEX(Parameter!$9:$9,,MATCH(7,Parameter!$8:$8,0))</f>
        <v>7</v>
      </c>
      <c r="D124" s="65">
        <f>INDEX(Parameter!$B$10:$AB$10,MATCH(C124,Parameter!$B$9:$AB$9,0))</f>
        <v>3</v>
      </c>
      <c r="H124" s="65">
        <f ca="1">INDEX(OFFSET(Data!$CS$1:$DS$1,B124-1,0),MATCH("Total/"&amp;C124,Data!$CS$1:$DS$1,0))</f>
        <v>9</v>
      </c>
      <c r="I124" s="65" t="str">
        <f t="shared" ca="1" si="9"/>
        <v/>
      </c>
      <c r="J124" s="65" t="str">
        <f t="array" aca="1" ref="J124" ca="1">IF(H124=1,MATCH(1,(OFFSET(Data!$DY$1:$IB$1,B124-1,0))*(Data!$DY$90:$IB$90=C124),0),"")</f>
        <v/>
      </c>
      <c r="K124" s="65" t="str">
        <f t="shared" ca="1" si="11"/>
        <v/>
      </c>
      <c r="L124" s="65" t="str">
        <f ca="1">IF(H124=1,INDEX(Data!$DT$91:$DT$190,MATCH(I124,OFFSET(Data!$DX$91:$DX$190,0,Specials!J124),0))&amp;" / "&amp;OFFSET(Data!$DX$89,0,Specials!J124),"")</f>
        <v/>
      </c>
      <c r="M124" s="65" t="s">
        <v>254</v>
      </c>
      <c r="N124" s="65" t="s">
        <v>255</v>
      </c>
      <c r="O124" s="65">
        <f t="shared" ca="1" si="6"/>
        <v>6</v>
      </c>
      <c r="P124" s="65" t="str">
        <f t="shared" ca="1" si="10"/>
        <v/>
      </c>
    </row>
    <row r="125" spans="1:16" s="65" customFormat="1" hidden="1" x14ac:dyDescent="0.25">
      <c r="A125" s="294" t="s">
        <v>58</v>
      </c>
      <c r="B125" s="294">
        <f>MATCH(A125,Data!$DT:$DT,0)</f>
        <v>8</v>
      </c>
      <c r="C125" s="65">
        <f>INDEX(Parameter!$9:$9,,MATCH(8,Parameter!$8:$8,0))</f>
        <v>8</v>
      </c>
      <c r="D125" s="65">
        <f>INDEX(Parameter!$B$10:$AB$10,MATCH(C125,Parameter!$B$9:$AB$9,0))</f>
        <v>3</v>
      </c>
      <c r="H125" s="65">
        <f ca="1">INDEX(OFFSET(Data!$CS$1:$DS$1,B125-1,0),MATCH("Total/"&amp;C125,Data!$CS$1:$DS$1,0))</f>
        <v>23</v>
      </c>
      <c r="I125" s="65" t="str">
        <f t="shared" ca="1" si="9"/>
        <v/>
      </c>
      <c r="J125" s="65" t="str">
        <f t="array" aca="1" ref="J125" ca="1">IF(H125=1,MATCH(1,(OFFSET(Data!$DY$1:$IB$1,B125-1,0))*(Data!$DY$90:$IB$90=C125),0),"")</f>
        <v/>
      </c>
      <c r="K125" s="65" t="str">
        <f t="shared" ca="1" si="11"/>
        <v/>
      </c>
      <c r="L125" s="65" t="str">
        <f ca="1">IF(H125=1,INDEX(Data!$DT$91:$DT$190,MATCH(I125,OFFSET(Data!$DX$91:$DX$190,0,Specials!J125),0))&amp;" / "&amp;OFFSET(Data!$DX$89,0,Specials!J125),"")</f>
        <v/>
      </c>
      <c r="M125" s="65" t="s">
        <v>254</v>
      </c>
      <c r="N125" s="65" t="s">
        <v>255</v>
      </c>
      <c r="O125" s="65">
        <f t="shared" ca="1" si="6"/>
        <v>6</v>
      </c>
      <c r="P125" s="65" t="str">
        <f t="shared" ca="1" si="10"/>
        <v/>
      </c>
    </row>
    <row r="126" spans="1:16" s="65" customFormat="1" hidden="1" x14ac:dyDescent="0.25">
      <c r="A126" s="294" t="s">
        <v>58</v>
      </c>
      <c r="B126" s="294">
        <f>MATCH(A126,Data!$DT:$DT,0)</f>
        <v>8</v>
      </c>
      <c r="C126" s="65">
        <f>INDEX(Parameter!$9:$9,,MATCH(9,Parameter!$8:$8,0))</f>
        <v>9</v>
      </c>
      <c r="D126" s="65">
        <f>INDEX(Parameter!$B$10:$AB$10,MATCH(C126,Parameter!$B$9:$AB$9,0))</f>
        <v>4</v>
      </c>
      <c r="H126" s="65">
        <f ca="1">INDEX(OFFSET(Data!$CS$1:$DS$1,B126-1,0),MATCH("Total/"&amp;C126,Data!$CS$1:$DS$1,0))</f>
        <v>8</v>
      </c>
      <c r="I126" s="65" t="str">
        <f t="shared" ca="1" si="9"/>
        <v/>
      </c>
      <c r="J126" s="65" t="str">
        <f t="array" aca="1" ref="J126" ca="1">IF(H126=1,MATCH(1,(OFFSET(Data!$DY$1:$IB$1,B126-1,0))*(Data!$DY$90:$IB$90=C126),0),"")</f>
        <v/>
      </c>
      <c r="K126" s="65" t="str">
        <f t="shared" ca="1" si="11"/>
        <v/>
      </c>
      <c r="L126" s="65" t="str">
        <f ca="1">IF(H126=1,INDEX(Data!$DT$91:$DT$190,MATCH(I126,OFFSET(Data!$DX$91:$DX$190,0,Specials!J126),0))&amp;" / "&amp;OFFSET(Data!$DX$89,0,Specials!J126),"")</f>
        <v/>
      </c>
      <c r="M126" s="65" t="s">
        <v>254</v>
      </c>
      <c r="N126" s="65" t="s">
        <v>255</v>
      </c>
      <c r="O126" s="65">
        <f t="shared" ca="1" si="6"/>
        <v>6</v>
      </c>
      <c r="P126" s="65" t="str">
        <f t="shared" ca="1" si="10"/>
        <v/>
      </c>
    </row>
    <row r="127" spans="1:16" s="65" customFormat="1" hidden="1" x14ac:dyDescent="0.25">
      <c r="A127" s="294" t="s">
        <v>58</v>
      </c>
      <c r="B127" s="294">
        <f>MATCH(A127,Data!$DT:$DT,0)</f>
        <v>8</v>
      </c>
      <c r="C127" s="65">
        <f>INDEX(Parameter!$9:$9,,MATCH(10,Parameter!$8:$8,0))</f>
        <v>10</v>
      </c>
      <c r="D127" s="65">
        <f>INDEX(Parameter!$B$10:$AB$10,MATCH(C127,Parameter!$B$9:$AB$9,0))</f>
        <v>4</v>
      </c>
      <c r="H127" s="65">
        <f ca="1">INDEX(OFFSET(Data!$CS$1:$DS$1,B127-1,0),MATCH("Total/"&amp;C127,Data!$CS$1:$DS$1,0))</f>
        <v>8</v>
      </c>
      <c r="I127" s="65" t="str">
        <f t="shared" ca="1" si="9"/>
        <v/>
      </c>
      <c r="J127" s="65" t="str">
        <f t="array" aca="1" ref="J127" ca="1">IF(H127=1,MATCH(1,(OFFSET(Data!$DY$1:$IB$1,B127-1,0))*(Data!$DY$90:$IB$90=C127),0),"")</f>
        <v/>
      </c>
      <c r="K127" s="65" t="str">
        <f t="shared" ca="1" si="11"/>
        <v/>
      </c>
      <c r="L127" s="65" t="str">
        <f ca="1">IF(H127=1,INDEX(Data!$DT$91:$DT$190,MATCH(I127,OFFSET(Data!$DX$91:$DX$190,0,Specials!J127),0))&amp;" / "&amp;OFFSET(Data!$DX$89,0,Specials!J127),"")</f>
        <v/>
      </c>
      <c r="M127" s="65" t="s">
        <v>254</v>
      </c>
      <c r="N127" s="65" t="s">
        <v>255</v>
      </c>
      <c r="O127" s="65">
        <f t="shared" ca="1" si="6"/>
        <v>6</v>
      </c>
      <c r="P127" s="65" t="str">
        <f t="shared" ca="1" si="10"/>
        <v/>
      </c>
    </row>
    <row r="128" spans="1:16" s="65" customFormat="1" hidden="1" x14ac:dyDescent="0.25">
      <c r="A128" s="294" t="s">
        <v>58</v>
      </c>
      <c r="B128" s="294">
        <f>MATCH(A128,Data!$DT:$DT,0)</f>
        <v>8</v>
      </c>
      <c r="C128" s="65">
        <f>INDEX(Parameter!$9:$9,,MATCH(11,Parameter!$8:$8,0))</f>
        <v>11</v>
      </c>
      <c r="D128" s="65">
        <f>INDEX(Parameter!$B$10:$AB$10,MATCH(C128,Parameter!$B$9:$AB$9,0))</f>
        <v>4</v>
      </c>
      <c r="H128" s="65">
        <f ca="1">INDEX(OFFSET(Data!$CS$1:$DS$1,B128-1,0),MATCH("Total/"&amp;C128,Data!$CS$1:$DS$1,0))</f>
        <v>3</v>
      </c>
      <c r="I128" s="65" t="str">
        <f t="shared" ca="1" si="9"/>
        <v/>
      </c>
      <c r="J128" s="65" t="str">
        <f t="array" aca="1" ref="J128" ca="1">IF(H128=1,MATCH(1,(OFFSET(Data!$DY$1:$IB$1,B128-1,0))*(Data!$DY$90:$IB$90=C128),0),"")</f>
        <v/>
      </c>
      <c r="K128" s="65" t="str">
        <f t="shared" ca="1" si="11"/>
        <v/>
      </c>
      <c r="L128" s="65" t="str">
        <f ca="1">IF(H128=1,INDEX(Data!$DT$91:$DT$190,MATCH(I128,OFFSET(Data!$DX$91:$DX$190,0,Specials!J128),0))&amp;" / "&amp;OFFSET(Data!$DX$89,0,Specials!J128),"")</f>
        <v/>
      </c>
      <c r="M128" s="65" t="s">
        <v>254</v>
      </c>
      <c r="N128" s="65" t="s">
        <v>255</v>
      </c>
      <c r="O128" s="65">
        <f t="shared" ca="1" si="6"/>
        <v>6</v>
      </c>
      <c r="P128" s="65" t="str">
        <f t="shared" ca="1" si="10"/>
        <v/>
      </c>
    </row>
    <row r="129" spans="1:16" s="65" customFormat="1" hidden="1" x14ac:dyDescent="0.25">
      <c r="A129" s="294" t="s">
        <v>58</v>
      </c>
      <c r="B129" s="294">
        <f>MATCH(A129,Data!$DT:$DT,0)</f>
        <v>8</v>
      </c>
      <c r="C129" s="65" t="str">
        <f>INDEX(Parameter!$9:$9,,MATCH(12,Parameter!$8:$8,0))</f>
        <v>11b</v>
      </c>
      <c r="D129" s="65">
        <f>INDEX(Parameter!$B$10:$AB$10,MATCH(C129,Parameter!$B$9:$AB$9,0))</f>
        <v>3</v>
      </c>
      <c r="H129" s="65">
        <f ca="1">INDEX(OFFSET(Data!$CS$1:$DS$1,B129-1,0),MATCH("Total/"&amp;C129,Data!$CS$1:$DS$1,0))</f>
        <v>9</v>
      </c>
      <c r="I129" s="65" t="str">
        <f t="shared" ca="1" si="9"/>
        <v/>
      </c>
      <c r="J129" s="65" t="str">
        <f t="array" aca="1" ref="J129" ca="1">IF(H129=1,MATCH(1,(OFFSET(Data!$DY$1:$IB$1,B129-1,0))*(Data!$DY$90:$IB$90=C129),0),"")</f>
        <v/>
      </c>
      <c r="K129" s="65" t="str">
        <f t="shared" ca="1" si="11"/>
        <v/>
      </c>
      <c r="L129" s="65" t="str">
        <f ca="1">IF(H129=1,INDEX(Data!$DT$91:$DT$190,MATCH(I129,OFFSET(Data!$DX$91:$DX$190,0,Specials!J129),0))&amp;" / "&amp;OFFSET(Data!$DX$89,0,Specials!J129),"")</f>
        <v/>
      </c>
      <c r="M129" s="65" t="s">
        <v>254</v>
      </c>
      <c r="N129" s="65" t="s">
        <v>255</v>
      </c>
      <c r="O129" s="65">
        <f t="shared" ca="1" si="6"/>
        <v>6</v>
      </c>
      <c r="P129" s="65" t="str">
        <f t="shared" ca="1" si="10"/>
        <v/>
      </c>
    </row>
    <row r="130" spans="1:16" s="65" customFormat="1" hidden="1" x14ac:dyDescent="0.25">
      <c r="A130" s="294" t="s">
        <v>58</v>
      </c>
      <c r="B130" s="294">
        <f>MATCH(A130,Data!$DT:$DT,0)</f>
        <v>8</v>
      </c>
      <c r="C130" s="65">
        <f>INDEX(Parameter!$9:$9,,MATCH(13,Parameter!$8:$8,0))</f>
        <v>12</v>
      </c>
      <c r="D130" s="65">
        <f>INDEX(Parameter!$B$10:$AB$10,MATCH(C130,Parameter!$B$9:$AB$9,0))</f>
        <v>3</v>
      </c>
      <c r="H130" s="65">
        <f ca="1">INDEX(OFFSET(Data!$CS$1:$DS$1,B130-1,0),MATCH("Total/"&amp;C130,Data!$CS$1:$DS$1,0))</f>
        <v>25</v>
      </c>
      <c r="I130" s="65" t="str">
        <f t="shared" ca="1" si="9"/>
        <v/>
      </c>
      <c r="J130" s="65" t="str">
        <f t="array" aca="1" ref="J130" ca="1">IF(H130=1,MATCH(1,(OFFSET(Data!$DY$1:$IB$1,B130-1,0))*(Data!$DY$90:$IB$90=C130),0),"")</f>
        <v/>
      </c>
      <c r="K130" s="65" t="str">
        <f t="shared" ca="1" si="11"/>
        <v/>
      </c>
      <c r="L130" s="65" t="str">
        <f ca="1">IF(H130=1,INDEX(Data!$DT$91:$DT$190,MATCH(I130,OFFSET(Data!$DX$91:$DX$190,0,Specials!J130),0))&amp;" / "&amp;OFFSET(Data!$DX$89,0,Specials!J130),"")</f>
        <v/>
      </c>
      <c r="M130" s="65" t="s">
        <v>254</v>
      </c>
      <c r="N130" s="65" t="s">
        <v>255</v>
      </c>
      <c r="O130" s="65">
        <f t="shared" ca="1" si="6"/>
        <v>6</v>
      </c>
      <c r="P130" s="65" t="str">
        <f t="shared" ca="1" si="10"/>
        <v/>
      </c>
    </row>
    <row r="131" spans="1:16" s="65" customFormat="1" hidden="1" x14ac:dyDescent="0.25">
      <c r="A131" s="294" t="s">
        <v>58</v>
      </c>
      <c r="B131" s="294">
        <f>MATCH(A131,Data!$DT:$DT,0)</f>
        <v>8</v>
      </c>
      <c r="C131" s="65">
        <f>INDEX(Parameter!$9:$9,,MATCH(14,Parameter!$8:$8,0))</f>
        <v>13</v>
      </c>
      <c r="D131" s="65">
        <f>INDEX(Parameter!$B$10:$AB$10,MATCH(C131,Parameter!$B$9:$AB$9,0))</f>
        <v>3</v>
      </c>
      <c r="H131" s="65">
        <f ca="1">INDEX(OFFSET(Data!$CS$1:$DS$1,B131-1,0),MATCH("Total/"&amp;C131,Data!$CS$1:$DS$1,0))</f>
        <v>14</v>
      </c>
      <c r="I131" s="65" t="str">
        <f t="shared" ca="1" si="9"/>
        <v/>
      </c>
      <c r="J131" s="65" t="str">
        <f t="array" aca="1" ref="J131" ca="1">IF(H131=1,MATCH(1,(OFFSET(Data!$DY$1:$IB$1,B131-1,0))*(Data!$DY$90:$IB$90=C131),0),"")</f>
        <v/>
      </c>
      <c r="K131" s="65" t="str">
        <f t="shared" ca="1" si="11"/>
        <v/>
      </c>
      <c r="L131" s="65" t="str">
        <f ca="1">IF(H131=1,INDEX(Data!$DT$91:$DT$190,MATCH(I131,OFFSET(Data!$DX$91:$DX$190,0,Specials!J131),0))&amp;" / "&amp;OFFSET(Data!$DX$89,0,Specials!J131),"")</f>
        <v/>
      </c>
      <c r="M131" s="65" t="s">
        <v>254</v>
      </c>
      <c r="N131" s="65" t="s">
        <v>255</v>
      </c>
      <c r="O131" s="65">
        <f t="shared" ca="1" si="6"/>
        <v>6</v>
      </c>
      <c r="P131" s="65" t="str">
        <f t="shared" ca="1" si="10"/>
        <v/>
      </c>
    </row>
    <row r="132" spans="1:16" s="65" customFormat="1" hidden="1" x14ac:dyDescent="0.25">
      <c r="A132" s="294" t="s">
        <v>58</v>
      </c>
      <c r="B132" s="294">
        <f>MATCH(A132,Data!$DT:$DT,0)</f>
        <v>8</v>
      </c>
      <c r="C132" s="65">
        <f>INDEX(Parameter!$9:$9,,MATCH(15,Parameter!$8:$8,0))</f>
        <v>14</v>
      </c>
      <c r="D132" s="65">
        <f>INDEX(Parameter!$B$10:$AB$10,MATCH(C132,Parameter!$B$9:$AB$9,0))</f>
        <v>3</v>
      </c>
      <c r="H132" s="65">
        <f ca="1">INDEX(OFFSET(Data!$CS$1:$DS$1,B132-1,0),MATCH("Total/"&amp;C132,Data!$CS$1:$DS$1,0))</f>
        <v>15</v>
      </c>
      <c r="I132" s="65" t="str">
        <f t="shared" ca="1" si="9"/>
        <v/>
      </c>
      <c r="J132" s="65" t="str">
        <f t="array" aca="1" ref="J132" ca="1">IF(H132=1,MATCH(1,(OFFSET(Data!$DY$1:$IB$1,B132-1,0))*(Data!$DY$90:$IB$90=C132),0),"")</f>
        <v/>
      </c>
      <c r="K132" s="65" t="str">
        <f t="shared" ca="1" si="11"/>
        <v/>
      </c>
      <c r="L132" s="65" t="str">
        <f ca="1">IF(H132=1,INDEX(Data!$DT$91:$DT$190,MATCH(I132,OFFSET(Data!$DX$91:$DX$190,0,Specials!J132),0))&amp;" / "&amp;OFFSET(Data!$DX$89,0,Specials!J132),"")</f>
        <v/>
      </c>
      <c r="M132" s="65" t="s">
        <v>254</v>
      </c>
      <c r="N132" s="65" t="s">
        <v>255</v>
      </c>
      <c r="O132" s="65">
        <f t="shared" ref="O132:O195" ca="1" si="12">IF(AND($P132&lt;&gt;"",$N132="yes"),O131+1,O131)</f>
        <v>6</v>
      </c>
      <c r="P132" s="65" t="str">
        <f t="shared" ca="1" si="10"/>
        <v/>
      </c>
    </row>
    <row r="133" spans="1:16" s="65" customFormat="1" hidden="1" x14ac:dyDescent="0.25">
      <c r="A133" s="294" t="s">
        <v>58</v>
      </c>
      <c r="B133" s="294">
        <f>MATCH(A133,Data!$DT:$DT,0)</f>
        <v>8</v>
      </c>
      <c r="C133" s="65">
        <f>INDEX(Parameter!$9:$9,,MATCH(16,Parameter!$8:$8,0))</f>
        <v>15</v>
      </c>
      <c r="D133" s="65">
        <f>INDEX(Parameter!$B$10:$AB$10,MATCH(C133,Parameter!$B$9:$AB$9,0))</f>
        <v>3</v>
      </c>
      <c r="H133" s="65">
        <f ca="1">INDEX(OFFSET(Data!$CS$1:$DS$1,B133-1,0),MATCH("Total/"&amp;C133,Data!$CS$1:$DS$1,0))</f>
        <v>33</v>
      </c>
      <c r="I133" s="65" t="str">
        <f t="shared" ca="1" si="9"/>
        <v/>
      </c>
      <c r="J133" s="65" t="str">
        <f t="array" aca="1" ref="J133" ca="1">IF(H133=1,MATCH(1,(OFFSET(Data!$DY$1:$IB$1,B133-1,0))*(Data!$DY$90:$IB$90=C133),0),"")</f>
        <v/>
      </c>
      <c r="K133" s="65" t="str">
        <f t="shared" ca="1" si="11"/>
        <v/>
      </c>
      <c r="L133" s="65" t="str">
        <f ca="1">IF(H133=1,INDEX(Data!$DT$91:$DT$190,MATCH(I133,OFFSET(Data!$DX$91:$DX$190,0,Specials!J133),0))&amp;" / "&amp;OFFSET(Data!$DX$89,0,Specials!J133),"")</f>
        <v/>
      </c>
      <c r="M133" s="65" t="s">
        <v>254</v>
      </c>
      <c r="N133" s="65" t="s">
        <v>255</v>
      </c>
      <c r="O133" s="65">
        <f t="shared" ca="1" si="12"/>
        <v>6</v>
      </c>
      <c r="P133" s="65" t="str">
        <f t="shared" ca="1" si="10"/>
        <v/>
      </c>
    </row>
    <row r="134" spans="1:16" s="65" customFormat="1" hidden="1" x14ac:dyDescent="0.25">
      <c r="A134" s="294" t="s">
        <v>58</v>
      </c>
      <c r="B134" s="294">
        <f>MATCH(A134,Data!$DT:$DT,0)</f>
        <v>8</v>
      </c>
      <c r="C134" s="65">
        <f>INDEX(Parameter!$9:$9,,MATCH(17,Parameter!$8:$8,0))</f>
        <v>16</v>
      </c>
      <c r="D134" s="65">
        <f>INDEX(Parameter!$B$10:$AB$10,MATCH(C134,Parameter!$B$9:$AB$9,0))</f>
        <v>3</v>
      </c>
      <c r="H134" s="65">
        <f ca="1">INDEX(OFFSET(Data!$CS$1:$DS$1,B134-1,0),MATCH("Total/"&amp;C134,Data!$CS$1:$DS$1,0))</f>
        <v>10</v>
      </c>
      <c r="I134" s="65" t="str">
        <f t="shared" ca="1" si="9"/>
        <v/>
      </c>
      <c r="J134" s="65" t="str">
        <f t="array" aca="1" ref="J134" ca="1">IF(H134=1,MATCH(1,(OFFSET(Data!$DY$1:$IB$1,B134-1,0))*(Data!$DY$90:$IB$90=C134),0),"")</f>
        <v/>
      </c>
      <c r="K134" s="65" t="str">
        <f t="shared" ca="1" si="11"/>
        <v/>
      </c>
      <c r="L134" s="65" t="str">
        <f ca="1">IF(H134=1,INDEX(Data!$DT$91:$DT$190,MATCH(I134,OFFSET(Data!$DX$91:$DX$190,0,Specials!J134),0))&amp;" / "&amp;OFFSET(Data!$DX$89,0,Specials!J134),"")</f>
        <v/>
      </c>
      <c r="M134" s="65" t="s">
        <v>254</v>
      </c>
      <c r="N134" s="65" t="s">
        <v>255</v>
      </c>
      <c r="O134" s="65">
        <f t="shared" ca="1" si="12"/>
        <v>6</v>
      </c>
      <c r="P134" s="65" t="str">
        <f t="shared" ca="1" si="10"/>
        <v/>
      </c>
    </row>
    <row r="135" spans="1:16" s="65" customFormat="1" hidden="1" x14ac:dyDescent="0.25">
      <c r="A135" s="294" t="s">
        <v>58</v>
      </c>
      <c r="B135" s="294">
        <f>MATCH(A135,Data!$DT:$DT,0)</f>
        <v>8</v>
      </c>
      <c r="C135" s="65">
        <f>INDEX(Parameter!$9:$9,,MATCH(18,Parameter!$8:$8,0))</f>
        <v>17</v>
      </c>
      <c r="D135" s="65">
        <f>INDEX(Parameter!$B$10:$AB$10,MATCH(C135,Parameter!$B$9:$AB$9,0))</f>
        <v>3</v>
      </c>
      <c r="H135" s="65">
        <f ca="1">INDEX(OFFSET(Data!$CS$1:$DS$1,B135-1,0),MATCH("Total/"&amp;C135,Data!$CS$1:$DS$1,0))</f>
        <v>55</v>
      </c>
      <c r="I135" s="65" t="str">
        <f t="shared" ca="1" si="9"/>
        <v/>
      </c>
      <c r="J135" s="65" t="str">
        <f t="array" aca="1" ref="J135" ca="1">IF(H135=1,MATCH(1,(OFFSET(Data!$DY$1:$IB$1,B135-1,0))*(Data!$DY$90:$IB$90=C135),0),"")</f>
        <v/>
      </c>
      <c r="K135" s="65" t="str">
        <f t="shared" ca="1" si="11"/>
        <v/>
      </c>
      <c r="L135" s="65" t="str">
        <f ca="1">IF(H135=1,INDEX(Data!$DT$91:$DT$190,MATCH(I135,OFFSET(Data!$DX$91:$DX$190,0,Specials!J135),0))&amp;" / "&amp;OFFSET(Data!$DX$89,0,Specials!J135),"")</f>
        <v/>
      </c>
      <c r="M135" s="65" t="s">
        <v>254</v>
      </c>
      <c r="N135" s="65" t="s">
        <v>255</v>
      </c>
      <c r="O135" s="65">
        <f t="shared" ca="1" si="12"/>
        <v>6</v>
      </c>
      <c r="P135" s="65" t="str">
        <f t="shared" ca="1" si="10"/>
        <v/>
      </c>
    </row>
    <row r="136" spans="1:16" s="65" customFormat="1" hidden="1" x14ac:dyDescent="0.25">
      <c r="A136" s="294" t="s">
        <v>58</v>
      </c>
      <c r="B136" s="294">
        <f>MATCH(A136,Data!$DT:$DT,0)</f>
        <v>8</v>
      </c>
      <c r="C136" s="65">
        <f>INDEX(Parameter!$9:$9,,MATCH(19,Parameter!$8:$8,0))</f>
        <v>18</v>
      </c>
      <c r="D136" s="65">
        <f>INDEX(Parameter!$B$10:$AB$10,MATCH(C136,Parameter!$B$9:$AB$9,0))</f>
        <v>3</v>
      </c>
      <c r="H136" s="65">
        <f ca="1">INDEX(OFFSET(Data!$CS$1:$DS$1,B136-1,0),MATCH("Total/"&amp;C136,Data!$CS$1:$DS$1,0))</f>
        <v>2</v>
      </c>
      <c r="I136" s="65" t="str">
        <f t="shared" ca="1" si="9"/>
        <v/>
      </c>
      <c r="J136" s="65" t="str">
        <f t="array" aca="1" ref="J136" ca="1">IF(H136=1,MATCH(1,(OFFSET(Data!$DY$1:$IB$1,B136-1,0))*(Data!$DY$90:$IB$90=C136),0),"")</f>
        <v/>
      </c>
      <c r="K136" s="65" t="str">
        <f t="shared" ca="1" si="11"/>
        <v/>
      </c>
      <c r="L136" s="65" t="str">
        <f ca="1">IF(H136=1,INDEX(Data!$DT$91:$DT$190,MATCH(I136,OFFSET(Data!$DX$91:$DX$190,0,Specials!J136),0))&amp;" / "&amp;OFFSET(Data!$DX$89,0,Specials!J136),"")</f>
        <v/>
      </c>
      <c r="M136" s="65" t="s">
        <v>254</v>
      </c>
      <c r="N136" s="65" t="s">
        <v>255</v>
      </c>
      <c r="O136" s="65">
        <f t="shared" ca="1" si="12"/>
        <v>6</v>
      </c>
      <c r="P136" s="65" t="str">
        <f t="shared" ca="1" si="10"/>
        <v/>
      </c>
    </row>
    <row r="137" spans="1:16" s="65" customFormat="1" hidden="1" x14ac:dyDescent="0.25">
      <c r="A137" s="294" t="s">
        <v>58</v>
      </c>
      <c r="B137" s="294">
        <f>MATCH(A137,Data!$DT:$DT,0)</f>
        <v>8</v>
      </c>
      <c r="C137" s="65">
        <f>INDEX(Parameter!$9:$9,,MATCH(20,Parameter!$8:$8,0))</f>
        <v>20</v>
      </c>
      <c r="D137" s="65" t="str">
        <f>INDEX(Parameter!$B$10:$AB$10,MATCH(C137,Parameter!$B$9:$AB$9,0))</f>
        <v>no</v>
      </c>
      <c r="H137" s="65">
        <f ca="1">INDEX(OFFSET(Data!$CS$1:$DS$1,B137-1,0),MATCH("Total/"&amp;C137,Data!$CS$1:$DS$1,0))</f>
        <v>0</v>
      </c>
      <c r="I137" s="65" t="str">
        <f t="shared" ca="1" si="9"/>
        <v/>
      </c>
      <c r="J137" s="65" t="str">
        <f t="array" aca="1" ref="J137" ca="1">IF(H137=1,MATCH(1,(OFFSET(Data!$DY$1:$IB$1,B137-1,0))*(Data!$DY$90:$IB$90=C137),0),"")</f>
        <v/>
      </c>
      <c r="K137" s="65" t="str">
        <f t="shared" ca="1" si="11"/>
        <v/>
      </c>
      <c r="L137" s="65" t="str">
        <f ca="1">IF(H137=1,INDEX(Data!$DT$91:$DT$190,MATCH(I137,OFFSET(Data!$DX$91:$DX$190,0,Specials!J137),0))&amp;" / "&amp;OFFSET(Data!$DX$89,0,Specials!J137),"")</f>
        <v/>
      </c>
      <c r="M137" s="65" t="s">
        <v>254</v>
      </c>
      <c r="N137" s="65" t="s">
        <v>255</v>
      </c>
      <c r="O137" s="65">
        <f t="shared" ca="1" si="12"/>
        <v>6</v>
      </c>
      <c r="P137" s="65" t="str">
        <f t="shared" ca="1" si="10"/>
        <v/>
      </c>
    </row>
    <row r="138" spans="1:16" s="65" customFormat="1" hidden="1" x14ac:dyDescent="0.25">
      <c r="A138" s="294" t="s">
        <v>58</v>
      </c>
      <c r="B138" s="294">
        <f>MATCH(A138,Data!$DT:$DT,0)</f>
        <v>8</v>
      </c>
      <c r="C138" s="65">
        <f>INDEX(Parameter!$9:$9,,MATCH(21,Parameter!$8:$8,0))</f>
        <v>21</v>
      </c>
      <c r="D138" s="65" t="str">
        <f>INDEX(Parameter!$B$10:$AB$10,MATCH(C138,Parameter!$B$9:$AB$9,0))</f>
        <v>no</v>
      </c>
      <c r="H138" s="65">
        <f ca="1">INDEX(OFFSET(Data!$CS$1:$DS$1,B138-1,0),MATCH("Total/"&amp;C138,Data!$CS$1:$DS$1,0))</f>
        <v>0</v>
      </c>
      <c r="I138" s="65" t="str">
        <f t="shared" ca="1" si="9"/>
        <v/>
      </c>
      <c r="J138" s="65" t="str">
        <f t="array" aca="1" ref="J138" ca="1">IF(H138=1,MATCH(1,(OFFSET(Data!$DY$1:$IB$1,B138-1,0))*(Data!$DY$90:$IB$90=C138),0),"")</f>
        <v/>
      </c>
      <c r="K138" s="65" t="str">
        <f t="shared" ca="1" si="11"/>
        <v/>
      </c>
      <c r="L138" s="65" t="str">
        <f ca="1">IF(H138=1,INDEX(Data!$DT$91:$DT$190,MATCH(I138,OFFSET(Data!$DX$91:$DX$190,0,Specials!J138),0))&amp;" / "&amp;OFFSET(Data!$DX$89,0,Specials!J138),"")</f>
        <v/>
      </c>
      <c r="M138" s="65" t="s">
        <v>254</v>
      </c>
      <c r="N138" s="65" t="s">
        <v>255</v>
      </c>
      <c r="O138" s="65">
        <f t="shared" ca="1" si="12"/>
        <v>6</v>
      </c>
      <c r="P138" s="65" t="str">
        <f t="shared" ca="1" si="10"/>
        <v/>
      </c>
    </row>
    <row r="139" spans="1:16" s="65" customFormat="1" hidden="1" x14ac:dyDescent="0.25">
      <c r="A139" s="294" t="s">
        <v>58</v>
      </c>
      <c r="B139" s="294">
        <f>MATCH(A139,Data!$DT:$DT,0)</f>
        <v>8</v>
      </c>
      <c r="C139" s="65">
        <f>INDEX(Parameter!$9:$9,,MATCH(22,Parameter!$8:$8,0))</f>
        <v>22</v>
      </c>
      <c r="D139" s="65" t="str">
        <f>INDEX(Parameter!$B$10:$AB$10,MATCH(C139,Parameter!$B$9:$AB$9,0))</f>
        <v>no</v>
      </c>
      <c r="H139" s="65">
        <f ca="1">INDEX(OFFSET(Data!$CS$1:$DS$1,B139-1,0),MATCH("Total/"&amp;C139,Data!$CS$1:$DS$1,0))</f>
        <v>0</v>
      </c>
      <c r="I139" s="65" t="str">
        <f t="shared" ca="1" si="9"/>
        <v/>
      </c>
      <c r="J139" s="65" t="str">
        <f t="array" aca="1" ref="J139" ca="1">IF(H139=1,MATCH(1,(OFFSET(Data!$DY$1:$IB$1,B139-1,0))*(Data!$DY$90:$IB$90=C139),0),"")</f>
        <v/>
      </c>
      <c r="K139" s="65" t="str">
        <f t="shared" ca="1" si="11"/>
        <v/>
      </c>
      <c r="L139" s="65" t="str">
        <f ca="1">IF(H139=1,INDEX(Data!$DT$91:$DT$190,MATCH(I139,OFFSET(Data!$DX$91:$DX$190,0,Specials!J139),0))&amp;" / "&amp;OFFSET(Data!$DX$89,0,Specials!J139),"")</f>
        <v/>
      </c>
      <c r="M139" s="65" t="s">
        <v>254</v>
      </c>
      <c r="N139" s="65" t="s">
        <v>255</v>
      </c>
      <c r="O139" s="65">
        <f t="shared" ca="1" si="12"/>
        <v>6</v>
      </c>
      <c r="P139" s="65" t="str">
        <f t="shared" ca="1" si="10"/>
        <v/>
      </c>
    </row>
    <row r="140" spans="1:16" s="65" customFormat="1" hidden="1" x14ac:dyDescent="0.25">
      <c r="A140" s="294" t="s">
        <v>58</v>
      </c>
      <c r="B140" s="294">
        <f>MATCH(A140,Data!$DT:$DT,0)</f>
        <v>8</v>
      </c>
      <c r="C140" s="65">
        <f>INDEX(Parameter!$9:$9,,MATCH(23,Parameter!$8:$8,0))</f>
        <v>23</v>
      </c>
      <c r="D140" s="65" t="str">
        <f>INDEX(Parameter!$B$10:$AB$10,MATCH(C140,Parameter!$B$9:$AB$9,0))</f>
        <v>no</v>
      </c>
      <c r="H140" s="65">
        <f ca="1">INDEX(OFFSET(Data!$CS$1:$DS$1,B140-1,0),MATCH("Total/"&amp;C140,Data!$CS$1:$DS$1,0))</f>
        <v>0</v>
      </c>
      <c r="I140" s="65" t="str">
        <f t="shared" ca="1" si="9"/>
        <v/>
      </c>
      <c r="J140" s="65" t="str">
        <f t="array" aca="1" ref="J140" ca="1">IF(H140=1,MATCH(1,(OFFSET(Data!$DY$1:$IB$1,B140-1,0))*(Data!$DY$90:$IB$90=C140),0),"")</f>
        <v/>
      </c>
      <c r="K140" s="65" t="str">
        <f t="shared" ca="1" si="11"/>
        <v/>
      </c>
      <c r="L140" s="65" t="str">
        <f ca="1">IF(H140=1,INDEX(Data!$DT$91:$DT$190,MATCH(I140,OFFSET(Data!$DX$91:$DX$190,0,Specials!J140),0))&amp;" / "&amp;OFFSET(Data!$DX$89,0,Specials!J140),"")</f>
        <v/>
      </c>
      <c r="M140" s="65" t="s">
        <v>254</v>
      </c>
      <c r="N140" s="65" t="s">
        <v>255</v>
      </c>
      <c r="O140" s="65">
        <f t="shared" ca="1" si="12"/>
        <v>6</v>
      </c>
      <c r="P140" s="65" t="str">
        <f t="shared" ca="1" si="10"/>
        <v/>
      </c>
    </row>
    <row r="141" spans="1:16" s="65" customFormat="1" hidden="1" x14ac:dyDescent="0.25">
      <c r="A141" s="294" t="s">
        <v>58</v>
      </c>
      <c r="B141" s="294">
        <f>MATCH(A141,Data!$DT:$DT,0)</f>
        <v>8</v>
      </c>
      <c r="C141" s="65">
        <f>INDEX(Parameter!$9:$9,,MATCH(24,Parameter!$8:$8,0))</f>
        <v>24</v>
      </c>
      <c r="D141" s="65" t="str">
        <f>INDEX(Parameter!$B$10:$AB$10,MATCH(C141,Parameter!$B$9:$AB$9,0))</f>
        <v>no</v>
      </c>
      <c r="H141" s="65">
        <f ca="1">INDEX(OFFSET(Data!$CS$1:$DS$1,B141-1,0),MATCH("Total/"&amp;C141,Data!$CS$1:$DS$1,0))</f>
        <v>0</v>
      </c>
      <c r="I141" s="65" t="str">
        <f t="shared" ca="1" si="9"/>
        <v/>
      </c>
      <c r="J141" s="65" t="str">
        <f t="array" aca="1" ref="J141" ca="1">IF(H141=1,MATCH(1,(OFFSET(Data!$DY$1:$IB$1,B141-1,0))*(Data!$DY$90:$IB$90=C141),0),"")</f>
        <v/>
      </c>
      <c r="K141" s="65" t="str">
        <f t="shared" ca="1" si="11"/>
        <v/>
      </c>
      <c r="L141" s="65" t="str">
        <f ca="1">IF(H141=1,INDEX(Data!$DT$91:$DT$190,MATCH(I141,OFFSET(Data!$DX$91:$DX$190,0,Specials!J141),0))&amp;" / "&amp;OFFSET(Data!$DX$89,0,Specials!J141),"")</f>
        <v/>
      </c>
      <c r="M141" s="65" t="s">
        <v>254</v>
      </c>
      <c r="N141" s="65" t="s">
        <v>255</v>
      </c>
      <c r="O141" s="65">
        <f t="shared" ca="1" si="12"/>
        <v>6</v>
      </c>
      <c r="P141" s="65" t="str">
        <f t="shared" ca="1" si="10"/>
        <v/>
      </c>
    </row>
    <row r="142" spans="1:16" s="65" customFormat="1" hidden="1" x14ac:dyDescent="0.25">
      <c r="A142" s="294" t="s">
        <v>58</v>
      </c>
      <c r="B142" s="294">
        <f>MATCH(A142,Data!$DT:$DT,0)</f>
        <v>8</v>
      </c>
      <c r="C142" s="65">
        <f>INDEX(Parameter!$9:$9,,MATCH(25,Parameter!$8:$8,0))</f>
        <v>25</v>
      </c>
      <c r="D142" s="65" t="str">
        <f>INDEX(Parameter!$B$10:$AB$10,MATCH(C142,Parameter!$B$9:$AB$9,0))</f>
        <v>no</v>
      </c>
      <c r="H142" s="65">
        <f ca="1">INDEX(OFFSET(Data!$CS$1:$DS$1,B142-1,0),MATCH("Total/"&amp;C142,Data!$CS$1:$DS$1,0))</f>
        <v>0</v>
      </c>
      <c r="I142" s="65" t="str">
        <f t="shared" ca="1" si="9"/>
        <v/>
      </c>
      <c r="J142" s="65" t="str">
        <f t="array" aca="1" ref="J142" ca="1">IF(H142=1,MATCH(1,(OFFSET(Data!$DY$1:$IB$1,B142-1,0))*(Data!$DY$90:$IB$90=C142),0),"")</f>
        <v/>
      </c>
      <c r="K142" s="65" t="str">
        <f t="shared" ca="1" si="11"/>
        <v/>
      </c>
      <c r="L142" s="65" t="str">
        <f ca="1">IF(H142=1,INDEX(Data!$DT$91:$DT$190,MATCH(I142,OFFSET(Data!$DX$91:$DX$190,0,Specials!J142),0))&amp;" / "&amp;OFFSET(Data!$DX$89,0,Specials!J142),"")</f>
        <v/>
      </c>
      <c r="M142" s="65" t="s">
        <v>254</v>
      </c>
      <c r="N142" s="65" t="s">
        <v>255</v>
      </c>
      <c r="O142" s="65">
        <f t="shared" ca="1" si="12"/>
        <v>6</v>
      </c>
      <c r="P142" s="65" t="str">
        <f t="shared" ca="1" si="10"/>
        <v/>
      </c>
    </row>
    <row r="143" spans="1:16" s="65" customFormat="1" hidden="1" x14ac:dyDescent="0.25">
      <c r="A143" s="294" t="s">
        <v>58</v>
      </c>
      <c r="B143" s="294">
        <f>MATCH(A143,Data!$DT:$DT,0)</f>
        <v>8</v>
      </c>
      <c r="C143" s="65">
        <f>INDEX(Parameter!$9:$9,,MATCH(26,Parameter!$8:$8,0))</f>
        <v>26</v>
      </c>
      <c r="D143" s="65" t="str">
        <f>INDEX(Parameter!$B$10:$AB$10,MATCH(C143,Parameter!$B$9:$AB$9,0))</f>
        <v>no</v>
      </c>
      <c r="H143" s="65">
        <f ca="1">INDEX(OFFSET(Data!$CS$1:$DS$1,B143-1,0),MATCH("Total/"&amp;C143,Data!$CS$1:$DS$1,0))</f>
        <v>0</v>
      </c>
      <c r="I143" s="65" t="str">
        <f t="shared" ca="1" si="9"/>
        <v/>
      </c>
      <c r="J143" s="65" t="str">
        <f t="array" aca="1" ref="J143" ca="1">IF(H143=1,MATCH(1,(OFFSET(Data!$DY$1:$IB$1,B143-1,0))*(Data!$DY$90:$IB$90=C143),0),"")</f>
        <v/>
      </c>
      <c r="K143" s="65" t="str">
        <f t="shared" ca="1" si="11"/>
        <v/>
      </c>
      <c r="L143" s="65" t="str">
        <f ca="1">IF(H143=1,INDEX(Data!$DT$91:$DT$190,MATCH(I143,OFFSET(Data!$DX$91:$DX$190,0,Specials!J143),0))&amp;" / "&amp;OFFSET(Data!$DX$89,0,Specials!J143),"")</f>
        <v/>
      </c>
      <c r="M143" s="65" t="s">
        <v>254</v>
      </c>
      <c r="N143" s="65" t="s">
        <v>255</v>
      </c>
      <c r="O143" s="65">
        <f t="shared" ca="1" si="12"/>
        <v>6</v>
      </c>
      <c r="P143" s="65" t="str">
        <f t="shared" ca="1" si="10"/>
        <v/>
      </c>
    </row>
    <row r="144" spans="1:16" s="65" customFormat="1" hidden="1" x14ac:dyDescent="0.25">
      <c r="A144" s="294" t="s">
        <v>58</v>
      </c>
      <c r="B144" s="294">
        <f>MATCH(A144,Data!$DT:$DT,0)</f>
        <v>8</v>
      </c>
      <c r="C144" s="65">
        <f>INDEX(Parameter!$9:$9,,MATCH(27,Parameter!$8:$8,0))</f>
        <v>27</v>
      </c>
      <c r="D144" s="65" t="str">
        <f>INDEX(Parameter!$B$10:$AB$10,MATCH(C144,Parameter!$B$9:$AB$9,0))</f>
        <v>no</v>
      </c>
      <c r="H144" s="65">
        <f ca="1">INDEX(OFFSET(Data!$CS$1:$DS$1,B144-1,0),MATCH("Total/"&amp;C144,Data!$CS$1:$DS$1,0))</f>
        <v>0</v>
      </c>
      <c r="I144" s="65" t="str">
        <f t="shared" ca="1" si="9"/>
        <v/>
      </c>
      <c r="J144" s="65" t="str">
        <f t="array" aca="1" ref="J144" ca="1">IF(H144=1,MATCH(1,(OFFSET(Data!$DY$1:$IB$1,B144-1,0))*(Data!$DY$90:$IB$90=C144),0),"")</f>
        <v/>
      </c>
      <c r="K144" s="65" t="str">
        <f ca="1">IF(AND(H144=0,D144&lt;&gt;"no"),IF(K142="",C144,K142&amp;", "&amp;C144),K142)</f>
        <v/>
      </c>
      <c r="L144" s="65" t="str">
        <f ca="1">IF(H144=1,INDEX(Data!$DT$91:$DT$190,MATCH(I144,OFFSET(Data!$DX$91:$DX$190,0,Specials!J144),0))&amp;" / "&amp;OFFSET(Data!$DX$89,0,Specials!J144),"")</f>
        <v/>
      </c>
      <c r="M144" s="65" t="s">
        <v>254</v>
      </c>
      <c r="N144" s="65" t="s">
        <v>255</v>
      </c>
      <c r="O144" s="65">
        <f t="shared" ca="1" si="12"/>
        <v>6</v>
      </c>
      <c r="P144" s="65" t="str">
        <f ca="1">IF(H144=1,"Only 1 Birdie on hole "&amp;C144&amp;" (par "&amp;D144&amp;")","")</f>
        <v/>
      </c>
    </row>
    <row r="145" spans="1:16" s="65" customFormat="1" hidden="1" x14ac:dyDescent="0.25">
      <c r="A145" s="295" t="s">
        <v>374</v>
      </c>
      <c r="B145" s="294"/>
      <c r="K145" s="65" t="str">
        <f ca="1">K144</f>
        <v/>
      </c>
      <c r="L145" s="65" t="str">
        <f>""</f>
        <v/>
      </c>
      <c r="M145" s="65" t="s">
        <v>254</v>
      </c>
      <c r="N145" s="65" t="s">
        <v>255</v>
      </c>
      <c r="O145" s="65">
        <f t="shared" ca="1" si="12"/>
        <v>6</v>
      </c>
      <c r="P145" s="65" t="str">
        <f ca="1">IF(K145="","","No Birdies on hole(s) "&amp;K145)</f>
        <v/>
      </c>
    </row>
    <row r="146" spans="1:16" s="78" customFormat="1" ht="15" hidden="1" customHeight="1" x14ac:dyDescent="0.25">
      <c r="A146" s="297" t="s">
        <v>60</v>
      </c>
      <c r="B146" s="297">
        <f>MATCH(A146,Data!$DT:$DT,0)</f>
        <v>10</v>
      </c>
      <c r="C146" s="78">
        <f>INDEX(Parameter!$9:$9,,MATCH(1,Parameter!$8:$8,0))</f>
        <v>1</v>
      </c>
      <c r="D146" s="78">
        <f>INDEX(Parameter!$B$10:$AB$10,MATCH(C146,Parameter!$B$9:$AB$9,0))</f>
        <v>3</v>
      </c>
      <c r="H146" s="78">
        <f ca="1">INDEX(OFFSET(Data!$CS$1:$DS$1,B146-1,0),MATCH("Total/"&amp;C146,Data!$CS$1:$DS$1,0))</f>
        <v>30</v>
      </c>
      <c r="I146" s="78" t="str">
        <f ca="1">IF(H146=1,D146+1,"")</f>
        <v/>
      </c>
      <c r="J146" s="78" t="str">
        <f t="array" aca="1" ref="J146" ca="1">IF(H146=1,MATCH(1,(OFFSET(Data!$DY$1:$IB$1,B146-1,0))*(Data!$DY$90:$IB$90=C146),0),"")</f>
        <v/>
      </c>
      <c r="K146" s="78" t="str">
        <f ca="1">IF(H146=0,C146,"")</f>
        <v/>
      </c>
      <c r="L146" s="78" t="str">
        <f ca="1">IF(H146=1,INDEX(Data!$DT$91:$DT$190,MATCH(I146,OFFSET(Data!$DX$91:$DX$190,0,Specials!J146),0))&amp;" / "&amp;OFFSET(Data!$DX$89,0,Specials!J146),"")</f>
        <v/>
      </c>
      <c r="M146" s="78" t="s">
        <v>254</v>
      </c>
      <c r="N146" s="78" t="s">
        <v>255</v>
      </c>
      <c r="O146" s="78">
        <f t="shared" ca="1" si="12"/>
        <v>6</v>
      </c>
      <c r="P146" s="78" t="str">
        <f ca="1">IF(H146=1,"Only 1 Bogey on hole "&amp;C146&amp;" (par "&amp;D146&amp;")","")</f>
        <v/>
      </c>
    </row>
    <row r="147" spans="1:16" s="78" customFormat="1" hidden="1" x14ac:dyDescent="0.25">
      <c r="A147" s="297" t="s">
        <v>60</v>
      </c>
      <c r="B147" s="297">
        <f>MATCH(A147,Data!$DT:$DT,0)</f>
        <v>10</v>
      </c>
      <c r="C147" s="78">
        <f>INDEX(Parameter!$9:$9,,MATCH(2,Parameter!$8:$8,0))</f>
        <v>2</v>
      </c>
      <c r="D147" s="78">
        <f>INDEX(Parameter!$B$10:$AB$10,MATCH(C147,Parameter!$B$9:$AB$9,0))</f>
        <v>3</v>
      </c>
      <c r="H147" s="78">
        <f ca="1">INDEX(OFFSET(Data!$CS$1:$DS$1,B147-1,0),MATCH("Total/"&amp;C147,Data!$CS$1:$DS$1,0))</f>
        <v>30</v>
      </c>
      <c r="I147" s="78" t="str">
        <f t="shared" ref="I147:I172" ca="1" si="13">IF(H147=1,D147+1,"")</f>
        <v/>
      </c>
      <c r="J147" s="78" t="str">
        <f t="array" aca="1" ref="J147" ca="1">IF(H147=1,MATCH(1,(OFFSET(Data!$DY$1:$IB$1,B147-1,0))*(Data!$DY$90:$IB$90=C147),0),"")</f>
        <v/>
      </c>
      <c r="K147" s="78" t="str">
        <f ca="1">IF(AND(H147=0,D147&lt;&gt;"no"),IF(K146="",C147,K146&amp;", "&amp;C147),K146)</f>
        <v/>
      </c>
      <c r="L147" s="78" t="str">
        <f ca="1">IF(H147=1,INDEX(Data!$DT$91:$DT$190,MATCH(I147,OFFSET(Data!$DX$91:$DX$190,0,Specials!J147),0))&amp;" / "&amp;OFFSET(Data!$DX$89,0,Specials!J147),"")</f>
        <v/>
      </c>
      <c r="M147" s="78" t="s">
        <v>254</v>
      </c>
      <c r="N147" s="78" t="s">
        <v>255</v>
      </c>
      <c r="O147" s="78">
        <f t="shared" ca="1" si="12"/>
        <v>6</v>
      </c>
      <c r="P147" s="78" t="str">
        <f t="shared" ref="P147:P171" ca="1" si="14">IF(H147=1,"Only 1 Bogey on hole "&amp;C147&amp;" (par "&amp;D147&amp;")","")</f>
        <v/>
      </c>
    </row>
    <row r="148" spans="1:16" s="78" customFormat="1" hidden="1" x14ac:dyDescent="0.25">
      <c r="A148" s="297" t="s">
        <v>60</v>
      </c>
      <c r="B148" s="297">
        <f>MATCH(A148,Data!$DT:$DT,0)</f>
        <v>10</v>
      </c>
      <c r="C148" s="78">
        <f>INDEX(Parameter!$9:$9,,MATCH(3,Parameter!$8:$8,0))</f>
        <v>3</v>
      </c>
      <c r="D148" s="78">
        <f>INDEX(Parameter!$B$10:$AB$10,MATCH(C148,Parameter!$B$9:$AB$9,0))</f>
        <v>3</v>
      </c>
      <c r="H148" s="78">
        <f ca="1">INDEX(OFFSET(Data!$CS$1:$DS$1,B148-1,0),MATCH("Total/"&amp;C148,Data!$CS$1:$DS$1,0))</f>
        <v>45</v>
      </c>
      <c r="I148" s="78" t="str">
        <f t="shared" ca="1" si="13"/>
        <v/>
      </c>
      <c r="J148" s="78" t="str">
        <f t="array" aca="1" ref="J148" ca="1">IF(H148=1,MATCH(1,(OFFSET(Data!$DY$1:$IB$1,B148-1,0))*(Data!$DY$90:$IB$90=C148),0),"")</f>
        <v/>
      </c>
      <c r="K148" s="78" t="str">
        <f t="shared" ref="K148:K172" ca="1" si="15">IF(AND(H148=0,D148&lt;&gt;"no"),IF(K147="",C148,K147&amp;", "&amp;C148),K147)</f>
        <v/>
      </c>
      <c r="L148" s="78" t="str">
        <f ca="1">IF(H148=1,INDEX(Data!$DT$91:$DT$190,MATCH(I148,OFFSET(Data!$DX$91:$DX$190,0,Specials!J148),0))&amp;" / "&amp;OFFSET(Data!$DX$89,0,Specials!J148),"")</f>
        <v/>
      </c>
      <c r="M148" s="78" t="s">
        <v>254</v>
      </c>
      <c r="N148" s="78" t="s">
        <v>255</v>
      </c>
      <c r="O148" s="78">
        <f t="shared" ca="1" si="12"/>
        <v>6</v>
      </c>
      <c r="P148" s="78" t="str">
        <f t="shared" ca="1" si="14"/>
        <v/>
      </c>
    </row>
    <row r="149" spans="1:16" s="78" customFormat="1" hidden="1" x14ac:dyDescent="0.25">
      <c r="A149" s="297" t="s">
        <v>60</v>
      </c>
      <c r="B149" s="297">
        <f>MATCH(A149,Data!$DT:$DT,0)</f>
        <v>10</v>
      </c>
      <c r="C149" s="78">
        <f>INDEX(Parameter!$9:$9,,MATCH(4,Parameter!$8:$8,0))</f>
        <v>4</v>
      </c>
      <c r="D149" s="78">
        <f>INDEX(Parameter!$B$10:$AB$10,MATCH(C149,Parameter!$B$9:$AB$9,0))</f>
        <v>3</v>
      </c>
      <c r="H149" s="78">
        <f ca="1">INDEX(OFFSET(Data!$CS$1:$DS$1,B149-1,0),MATCH("Total/"&amp;C149,Data!$CS$1:$DS$1,0))</f>
        <v>39</v>
      </c>
      <c r="I149" s="78" t="str">
        <f t="shared" ca="1" si="13"/>
        <v/>
      </c>
      <c r="J149" s="78" t="str">
        <f t="array" aca="1" ref="J149" ca="1">IF(H149=1,MATCH(1,(OFFSET(Data!$DY$1:$IB$1,B149-1,0))*(Data!$DY$90:$IB$90=C149),0),"")</f>
        <v/>
      </c>
      <c r="K149" s="78" t="str">
        <f t="shared" ca="1" si="15"/>
        <v/>
      </c>
      <c r="L149" s="78" t="str">
        <f ca="1">IF(H149=1,INDEX(Data!$DT$91:$DT$190,MATCH(I149,OFFSET(Data!$DX$91:$DX$190,0,Specials!J149),0))&amp;" / "&amp;OFFSET(Data!$DX$89,0,Specials!J149),"")</f>
        <v/>
      </c>
      <c r="M149" s="78" t="s">
        <v>254</v>
      </c>
      <c r="N149" s="78" t="s">
        <v>255</v>
      </c>
      <c r="O149" s="78">
        <f t="shared" ca="1" si="12"/>
        <v>6</v>
      </c>
      <c r="P149" s="78" t="str">
        <f t="shared" ca="1" si="14"/>
        <v/>
      </c>
    </row>
    <row r="150" spans="1:16" s="78" customFormat="1" hidden="1" x14ac:dyDescent="0.25">
      <c r="A150" s="297" t="s">
        <v>60</v>
      </c>
      <c r="B150" s="297">
        <f>MATCH(A150,Data!$DT:$DT,0)</f>
        <v>10</v>
      </c>
      <c r="C150" s="78">
        <f>INDEX(Parameter!$9:$9,,MATCH(5,Parameter!$8:$8,0))</f>
        <v>5</v>
      </c>
      <c r="D150" s="78">
        <f>INDEX(Parameter!$B$10:$AB$10,MATCH(C150,Parameter!$B$9:$AB$9,0))</f>
        <v>4</v>
      </c>
      <c r="H150" s="78">
        <f ca="1">INDEX(OFFSET(Data!$CS$1:$DS$1,B150-1,0),MATCH("Total/"&amp;C150,Data!$CS$1:$DS$1,0))</f>
        <v>36</v>
      </c>
      <c r="I150" s="78" t="str">
        <f t="shared" ca="1" si="13"/>
        <v/>
      </c>
      <c r="J150" s="78" t="str">
        <f t="array" aca="1" ref="J150" ca="1">IF(H150=1,MATCH(1,(OFFSET(Data!$DY$1:$IB$1,B150-1,0))*(Data!$DY$90:$IB$90=C150),0),"")</f>
        <v/>
      </c>
      <c r="K150" s="78" t="str">
        <f t="shared" ca="1" si="15"/>
        <v/>
      </c>
      <c r="L150" s="78" t="str">
        <f ca="1">IF(H150=1,INDEX(Data!$DT$91:$DT$190,MATCH(I150,OFFSET(Data!$DX$91:$DX$190,0,Specials!J150),0))&amp;" / "&amp;OFFSET(Data!$DX$89,0,Specials!J150),"")</f>
        <v/>
      </c>
      <c r="M150" s="78" t="s">
        <v>254</v>
      </c>
      <c r="N150" s="78" t="s">
        <v>255</v>
      </c>
      <c r="O150" s="78">
        <f t="shared" ca="1" si="12"/>
        <v>6</v>
      </c>
      <c r="P150" s="78" t="str">
        <f t="shared" ca="1" si="14"/>
        <v/>
      </c>
    </row>
    <row r="151" spans="1:16" s="78" customFormat="1" hidden="1" x14ac:dyDescent="0.25">
      <c r="A151" s="297" t="s">
        <v>60</v>
      </c>
      <c r="B151" s="297">
        <f>MATCH(A151,Data!$DT:$DT,0)</f>
        <v>10</v>
      </c>
      <c r="C151" s="78">
        <f>INDEX(Parameter!$9:$9,,MATCH(6,Parameter!$8:$8,0))</f>
        <v>6</v>
      </c>
      <c r="D151" s="78">
        <f>INDEX(Parameter!$B$10:$AB$10,MATCH(C151,Parameter!$B$9:$AB$9,0))</f>
        <v>3</v>
      </c>
      <c r="H151" s="78">
        <f ca="1">INDEX(OFFSET(Data!$CS$1:$DS$1,B151-1,0),MATCH("Total/"&amp;C151,Data!$CS$1:$DS$1,0))</f>
        <v>52</v>
      </c>
      <c r="I151" s="78" t="str">
        <f t="shared" ca="1" si="13"/>
        <v/>
      </c>
      <c r="J151" s="78" t="str">
        <f t="array" aca="1" ref="J151" ca="1">IF(H151=1,MATCH(1,(OFFSET(Data!$DY$1:$IB$1,B151-1,0))*(Data!$DY$90:$IB$90=C151),0),"")</f>
        <v/>
      </c>
      <c r="K151" s="78" t="str">
        <f t="shared" ca="1" si="15"/>
        <v/>
      </c>
      <c r="L151" s="78" t="str">
        <f ca="1">IF(H151=1,INDEX(Data!$DT$91:$DT$190,MATCH(I151,OFFSET(Data!$DX$91:$DX$190,0,Specials!J151),0))&amp;" / "&amp;OFFSET(Data!$DX$89,0,Specials!J151),"")</f>
        <v/>
      </c>
      <c r="M151" s="78" t="s">
        <v>254</v>
      </c>
      <c r="N151" s="78" t="s">
        <v>255</v>
      </c>
      <c r="O151" s="78">
        <f t="shared" ca="1" si="12"/>
        <v>6</v>
      </c>
      <c r="P151" s="78" t="str">
        <f t="shared" ca="1" si="14"/>
        <v/>
      </c>
    </row>
    <row r="152" spans="1:16" s="78" customFormat="1" hidden="1" x14ac:dyDescent="0.25">
      <c r="A152" s="297" t="s">
        <v>60</v>
      </c>
      <c r="B152" s="297">
        <f>MATCH(A152,Data!$DT:$DT,0)</f>
        <v>10</v>
      </c>
      <c r="C152" s="78">
        <f>INDEX(Parameter!$9:$9,,MATCH(7,Parameter!$8:$8,0))</f>
        <v>7</v>
      </c>
      <c r="D152" s="78">
        <f>INDEX(Parameter!$B$10:$AB$10,MATCH(C152,Parameter!$B$9:$AB$9,0))</f>
        <v>3</v>
      </c>
      <c r="H152" s="78">
        <f ca="1">INDEX(OFFSET(Data!$CS$1:$DS$1,B152-1,0),MATCH("Total/"&amp;C152,Data!$CS$1:$DS$1,0))</f>
        <v>40</v>
      </c>
      <c r="I152" s="78" t="str">
        <f t="shared" ca="1" si="13"/>
        <v/>
      </c>
      <c r="J152" s="78" t="str">
        <f t="array" aca="1" ref="J152" ca="1">IF(H152=1,MATCH(1,(OFFSET(Data!$DY$1:$IB$1,B152-1,0))*(Data!$DY$90:$IB$90=C152),0),"")</f>
        <v/>
      </c>
      <c r="K152" s="78" t="str">
        <f t="shared" ca="1" si="15"/>
        <v/>
      </c>
      <c r="L152" s="78" t="str">
        <f ca="1">IF(H152=1,INDEX(Data!$DT$91:$DT$190,MATCH(I152,OFFSET(Data!$DX$91:$DX$190,0,Specials!J152),0))&amp;" / "&amp;OFFSET(Data!$DX$89,0,Specials!J152),"")</f>
        <v/>
      </c>
      <c r="M152" s="78" t="s">
        <v>254</v>
      </c>
      <c r="N152" s="78" t="s">
        <v>255</v>
      </c>
      <c r="O152" s="78">
        <f t="shared" ca="1" si="12"/>
        <v>6</v>
      </c>
      <c r="P152" s="78" t="str">
        <f t="shared" ca="1" si="14"/>
        <v/>
      </c>
    </row>
    <row r="153" spans="1:16" s="78" customFormat="1" hidden="1" x14ac:dyDescent="0.25">
      <c r="A153" s="297" t="s">
        <v>60</v>
      </c>
      <c r="B153" s="297">
        <f>MATCH(A153,Data!$DT:$DT,0)</f>
        <v>10</v>
      </c>
      <c r="C153" s="78">
        <f>INDEX(Parameter!$9:$9,,MATCH(8,Parameter!$8:$8,0))</f>
        <v>8</v>
      </c>
      <c r="D153" s="78">
        <f>INDEX(Parameter!$B$10:$AB$10,MATCH(C153,Parameter!$B$9:$AB$9,0))</f>
        <v>3</v>
      </c>
      <c r="H153" s="78">
        <f ca="1">INDEX(OFFSET(Data!$CS$1:$DS$1,B153-1,0),MATCH("Total/"&amp;C153,Data!$CS$1:$DS$1,0))</f>
        <v>28</v>
      </c>
      <c r="I153" s="78" t="str">
        <f t="shared" ca="1" si="13"/>
        <v/>
      </c>
      <c r="J153" s="78" t="str">
        <f t="array" aca="1" ref="J153" ca="1">IF(H153=1,MATCH(1,(OFFSET(Data!$DY$1:$IB$1,B153-1,0))*(Data!$DY$90:$IB$90=C153),0),"")</f>
        <v/>
      </c>
      <c r="K153" s="78" t="str">
        <f t="shared" ca="1" si="15"/>
        <v/>
      </c>
      <c r="L153" s="78" t="str">
        <f ca="1">IF(H153=1,INDEX(Data!$DT$91:$DT$190,MATCH(I153,OFFSET(Data!$DX$91:$DX$190,0,Specials!J153),0))&amp;" / "&amp;OFFSET(Data!$DX$89,0,Specials!J153),"")</f>
        <v/>
      </c>
      <c r="M153" s="78" t="s">
        <v>254</v>
      </c>
      <c r="N153" s="78" t="s">
        <v>255</v>
      </c>
      <c r="O153" s="78">
        <f t="shared" ca="1" si="12"/>
        <v>6</v>
      </c>
      <c r="P153" s="78" t="str">
        <f t="shared" ca="1" si="14"/>
        <v/>
      </c>
    </row>
    <row r="154" spans="1:16" s="78" customFormat="1" hidden="1" x14ac:dyDescent="0.25">
      <c r="A154" s="297" t="s">
        <v>60</v>
      </c>
      <c r="B154" s="297">
        <f>MATCH(A154,Data!$DT:$DT,0)</f>
        <v>10</v>
      </c>
      <c r="C154" s="78">
        <f>INDEX(Parameter!$9:$9,,MATCH(9,Parameter!$8:$8,0))</f>
        <v>9</v>
      </c>
      <c r="D154" s="78">
        <f>INDEX(Parameter!$B$10:$AB$10,MATCH(C154,Parameter!$B$9:$AB$9,0))</f>
        <v>4</v>
      </c>
      <c r="H154" s="78">
        <f ca="1">INDEX(OFFSET(Data!$CS$1:$DS$1,B154-1,0),MATCH("Total/"&amp;C154,Data!$CS$1:$DS$1,0))</f>
        <v>40</v>
      </c>
      <c r="I154" s="78" t="str">
        <f t="shared" ca="1" si="13"/>
        <v/>
      </c>
      <c r="J154" s="78" t="str">
        <f t="array" aca="1" ref="J154" ca="1">IF(H154=1,MATCH(1,(OFFSET(Data!$DY$1:$IB$1,B154-1,0))*(Data!$DY$90:$IB$90=C154),0),"")</f>
        <v/>
      </c>
      <c r="K154" s="78" t="str">
        <f t="shared" ca="1" si="15"/>
        <v/>
      </c>
      <c r="L154" s="78" t="str">
        <f ca="1">IF(H154=1,INDEX(Data!$DT$91:$DT$190,MATCH(I154,OFFSET(Data!$DX$91:$DX$190,0,Specials!J154),0))&amp;" / "&amp;OFFSET(Data!$DX$89,0,Specials!J154),"")</f>
        <v/>
      </c>
      <c r="M154" s="78" t="s">
        <v>254</v>
      </c>
      <c r="N154" s="78" t="s">
        <v>255</v>
      </c>
      <c r="O154" s="78">
        <f t="shared" ca="1" si="12"/>
        <v>6</v>
      </c>
      <c r="P154" s="78" t="str">
        <f t="shared" ca="1" si="14"/>
        <v/>
      </c>
    </row>
    <row r="155" spans="1:16" s="78" customFormat="1" hidden="1" x14ac:dyDescent="0.25">
      <c r="A155" s="297" t="s">
        <v>60</v>
      </c>
      <c r="B155" s="297">
        <f>MATCH(A155,Data!$DT:$DT,0)</f>
        <v>10</v>
      </c>
      <c r="C155" s="78">
        <f>INDEX(Parameter!$9:$9,,MATCH(10,Parameter!$8:$8,0))</f>
        <v>10</v>
      </c>
      <c r="D155" s="78">
        <f>INDEX(Parameter!$B$10:$AB$10,MATCH(C155,Parameter!$B$9:$AB$9,0))</f>
        <v>4</v>
      </c>
      <c r="H155" s="78">
        <f ca="1">INDEX(OFFSET(Data!$CS$1:$DS$1,B155-1,0),MATCH("Total/"&amp;C155,Data!$CS$1:$DS$1,0))</f>
        <v>42</v>
      </c>
      <c r="I155" s="78" t="str">
        <f t="shared" ca="1" si="13"/>
        <v/>
      </c>
      <c r="J155" s="78" t="str">
        <f t="array" aca="1" ref="J155" ca="1">IF(H155=1,MATCH(1,(OFFSET(Data!$DY$1:$IB$1,B155-1,0))*(Data!$DY$90:$IB$90=C155),0),"")</f>
        <v/>
      </c>
      <c r="K155" s="78" t="str">
        <f t="shared" ca="1" si="15"/>
        <v/>
      </c>
      <c r="L155" s="78" t="str">
        <f ca="1">IF(H155=1,INDEX(Data!$DT$91:$DT$190,MATCH(I155,OFFSET(Data!$DX$91:$DX$190,0,Specials!J155),0))&amp;" / "&amp;OFFSET(Data!$DX$89,0,Specials!J155),"")</f>
        <v/>
      </c>
      <c r="M155" s="78" t="s">
        <v>254</v>
      </c>
      <c r="N155" s="78" t="s">
        <v>255</v>
      </c>
      <c r="O155" s="78">
        <f t="shared" ca="1" si="12"/>
        <v>6</v>
      </c>
      <c r="P155" s="78" t="str">
        <f t="shared" ca="1" si="14"/>
        <v/>
      </c>
    </row>
    <row r="156" spans="1:16" s="78" customFormat="1" hidden="1" x14ac:dyDescent="0.25">
      <c r="A156" s="297" t="s">
        <v>60</v>
      </c>
      <c r="B156" s="297">
        <f>MATCH(A156,Data!$DT:$DT,0)</f>
        <v>10</v>
      </c>
      <c r="C156" s="78">
        <f>INDEX(Parameter!$9:$9,,MATCH(11,Parameter!$8:$8,0))</f>
        <v>11</v>
      </c>
      <c r="D156" s="78">
        <f>INDEX(Parameter!$B$10:$AB$10,MATCH(C156,Parameter!$B$9:$AB$9,0))</f>
        <v>4</v>
      </c>
      <c r="H156" s="78">
        <f ca="1">INDEX(OFFSET(Data!$CS$1:$DS$1,B156-1,0),MATCH("Total/"&amp;C156,Data!$CS$1:$DS$1,0))</f>
        <v>51</v>
      </c>
      <c r="I156" s="78" t="str">
        <f t="shared" ca="1" si="13"/>
        <v/>
      </c>
      <c r="J156" s="78" t="str">
        <f t="array" aca="1" ref="J156" ca="1">IF(H156=1,MATCH(1,(OFFSET(Data!$DY$1:$IB$1,B156-1,0))*(Data!$DY$90:$IB$90=C156),0),"")</f>
        <v/>
      </c>
      <c r="K156" s="78" t="str">
        <f t="shared" ca="1" si="15"/>
        <v/>
      </c>
      <c r="L156" s="78" t="str">
        <f ca="1">IF(H156=1,INDEX(Data!$DT$91:$DT$190,MATCH(I156,OFFSET(Data!$DX$91:$DX$190,0,Specials!J156),0))&amp;" / "&amp;OFFSET(Data!$DX$89,0,Specials!J156),"")</f>
        <v/>
      </c>
      <c r="M156" s="78" t="s">
        <v>254</v>
      </c>
      <c r="N156" s="78" t="s">
        <v>255</v>
      </c>
      <c r="O156" s="78">
        <f t="shared" ca="1" si="12"/>
        <v>6</v>
      </c>
      <c r="P156" s="78" t="str">
        <f t="shared" ca="1" si="14"/>
        <v/>
      </c>
    </row>
    <row r="157" spans="1:16" s="78" customFormat="1" hidden="1" x14ac:dyDescent="0.25">
      <c r="A157" s="297" t="s">
        <v>60</v>
      </c>
      <c r="B157" s="297">
        <f>MATCH(A157,Data!$DT:$DT,0)</f>
        <v>10</v>
      </c>
      <c r="C157" s="78" t="str">
        <f>INDEX(Parameter!$9:$9,,MATCH(12,Parameter!$8:$8,0))</f>
        <v>11b</v>
      </c>
      <c r="D157" s="78">
        <f>INDEX(Parameter!$B$10:$AB$10,MATCH(C157,Parameter!$B$9:$AB$9,0))</f>
        <v>3</v>
      </c>
      <c r="H157" s="78">
        <f ca="1">INDEX(OFFSET(Data!$CS$1:$DS$1,B157-1,0),MATCH("Total/"&amp;C157,Data!$CS$1:$DS$1,0))</f>
        <v>29</v>
      </c>
      <c r="I157" s="78" t="str">
        <f t="shared" ca="1" si="13"/>
        <v/>
      </c>
      <c r="J157" s="78" t="str">
        <f t="array" aca="1" ref="J157" ca="1">IF(H157=1,MATCH(1,(OFFSET(Data!$DY$1:$IB$1,B157-1,0))*(Data!$DY$90:$IB$90=C157),0),"")</f>
        <v/>
      </c>
      <c r="K157" s="78" t="str">
        <f t="shared" ca="1" si="15"/>
        <v/>
      </c>
      <c r="L157" s="78" t="str">
        <f ca="1">IF(H157=1,INDEX(Data!$DT$91:$DT$190,MATCH(I157,OFFSET(Data!$DX$91:$DX$190,0,Specials!J157),0))&amp;" / "&amp;OFFSET(Data!$DX$89,0,Specials!J157),"")</f>
        <v/>
      </c>
      <c r="M157" s="78" t="s">
        <v>254</v>
      </c>
      <c r="N157" s="78" t="s">
        <v>255</v>
      </c>
      <c r="O157" s="78">
        <f t="shared" ca="1" si="12"/>
        <v>6</v>
      </c>
      <c r="P157" s="78" t="str">
        <f t="shared" ca="1" si="14"/>
        <v/>
      </c>
    </row>
    <row r="158" spans="1:16" s="78" customFormat="1" hidden="1" x14ac:dyDescent="0.25">
      <c r="A158" s="297" t="s">
        <v>60</v>
      </c>
      <c r="B158" s="297">
        <f>MATCH(A158,Data!$DT:$DT,0)</f>
        <v>10</v>
      </c>
      <c r="C158" s="78">
        <f>INDEX(Parameter!$9:$9,,MATCH(13,Parameter!$8:$8,0))</f>
        <v>12</v>
      </c>
      <c r="D158" s="78">
        <f>INDEX(Parameter!$B$10:$AB$10,MATCH(C158,Parameter!$B$9:$AB$9,0))</f>
        <v>3</v>
      </c>
      <c r="H158" s="78">
        <f ca="1">INDEX(OFFSET(Data!$CS$1:$DS$1,B158-1,0),MATCH("Total/"&amp;C158,Data!$CS$1:$DS$1,0))</f>
        <v>31</v>
      </c>
      <c r="I158" s="78" t="str">
        <f t="shared" ca="1" si="13"/>
        <v/>
      </c>
      <c r="J158" s="78" t="str">
        <f t="array" aca="1" ref="J158" ca="1">IF(H158=1,MATCH(1,(OFFSET(Data!$DY$1:$IB$1,B158-1,0))*(Data!$DY$90:$IB$90=C158),0),"")</f>
        <v/>
      </c>
      <c r="K158" s="78" t="str">
        <f t="shared" ca="1" si="15"/>
        <v/>
      </c>
      <c r="L158" s="78" t="str">
        <f ca="1">IF(H158=1,INDEX(Data!$DT$91:$DT$190,MATCH(I158,OFFSET(Data!$DX$91:$DX$190,0,Specials!J158),0))&amp;" / "&amp;OFFSET(Data!$DX$89,0,Specials!J158),"")</f>
        <v/>
      </c>
      <c r="M158" s="78" t="s">
        <v>254</v>
      </c>
      <c r="N158" s="78" t="s">
        <v>255</v>
      </c>
      <c r="O158" s="78">
        <f t="shared" ca="1" si="12"/>
        <v>6</v>
      </c>
      <c r="P158" s="78" t="str">
        <f t="shared" ca="1" si="14"/>
        <v/>
      </c>
    </row>
    <row r="159" spans="1:16" s="78" customFormat="1" hidden="1" x14ac:dyDescent="0.25">
      <c r="A159" s="297" t="s">
        <v>60</v>
      </c>
      <c r="B159" s="297">
        <f>MATCH(A159,Data!$DT:$DT,0)</f>
        <v>10</v>
      </c>
      <c r="C159" s="78">
        <f>INDEX(Parameter!$9:$9,,MATCH(14,Parameter!$8:$8,0))</f>
        <v>13</v>
      </c>
      <c r="D159" s="78">
        <f>INDEX(Parameter!$B$10:$AB$10,MATCH(C159,Parameter!$B$9:$AB$9,0))</f>
        <v>3</v>
      </c>
      <c r="H159" s="78">
        <f ca="1">INDEX(OFFSET(Data!$CS$1:$DS$1,B159-1,0),MATCH("Total/"&amp;C159,Data!$CS$1:$DS$1,0))</f>
        <v>36</v>
      </c>
      <c r="I159" s="78" t="str">
        <f t="shared" ca="1" si="13"/>
        <v/>
      </c>
      <c r="J159" s="78" t="str">
        <f t="array" aca="1" ref="J159" ca="1">IF(H159=1,MATCH(1,(OFFSET(Data!$DY$1:$IB$1,B159-1,0))*(Data!$DY$90:$IB$90=C159),0),"")</f>
        <v/>
      </c>
      <c r="K159" s="78" t="str">
        <f t="shared" ca="1" si="15"/>
        <v/>
      </c>
      <c r="L159" s="78" t="str">
        <f ca="1">IF(H159=1,INDEX(Data!$DT$91:$DT$190,MATCH(I159,OFFSET(Data!$DX$91:$DX$190,0,Specials!J159),0))&amp;" / "&amp;OFFSET(Data!$DX$89,0,Specials!J159),"")</f>
        <v/>
      </c>
      <c r="M159" s="78" t="s">
        <v>254</v>
      </c>
      <c r="N159" s="78" t="s">
        <v>255</v>
      </c>
      <c r="O159" s="78">
        <f t="shared" ca="1" si="12"/>
        <v>6</v>
      </c>
      <c r="P159" s="78" t="str">
        <f t="shared" ca="1" si="14"/>
        <v/>
      </c>
    </row>
    <row r="160" spans="1:16" s="78" customFormat="1" hidden="1" x14ac:dyDescent="0.25">
      <c r="A160" s="297" t="s">
        <v>60</v>
      </c>
      <c r="B160" s="297">
        <f>MATCH(A160,Data!$DT:$DT,0)</f>
        <v>10</v>
      </c>
      <c r="C160" s="78">
        <f>INDEX(Parameter!$9:$9,,MATCH(15,Parameter!$8:$8,0))</f>
        <v>14</v>
      </c>
      <c r="D160" s="78">
        <f>INDEX(Parameter!$B$10:$AB$10,MATCH(C160,Parameter!$B$9:$AB$9,0))</f>
        <v>3</v>
      </c>
      <c r="H160" s="78">
        <f ca="1">INDEX(OFFSET(Data!$CS$1:$DS$1,B160-1,0),MATCH("Total/"&amp;C160,Data!$CS$1:$DS$1,0))</f>
        <v>40</v>
      </c>
      <c r="I160" s="78" t="str">
        <f t="shared" ca="1" si="13"/>
        <v/>
      </c>
      <c r="J160" s="78" t="str">
        <f t="array" aca="1" ref="J160" ca="1">IF(H160=1,MATCH(1,(OFFSET(Data!$DY$1:$IB$1,B160-1,0))*(Data!$DY$90:$IB$90=C160),0),"")</f>
        <v/>
      </c>
      <c r="K160" s="78" t="str">
        <f t="shared" ca="1" si="15"/>
        <v/>
      </c>
      <c r="L160" s="78" t="str">
        <f ca="1">IF(H160=1,INDEX(Data!$DT$91:$DT$190,MATCH(I160,OFFSET(Data!$DX$91:$DX$190,0,Specials!J160),0))&amp;" / "&amp;OFFSET(Data!$DX$89,0,Specials!J160),"")</f>
        <v/>
      </c>
      <c r="M160" s="78" t="s">
        <v>254</v>
      </c>
      <c r="N160" s="78" t="s">
        <v>255</v>
      </c>
      <c r="O160" s="78">
        <f t="shared" ca="1" si="12"/>
        <v>6</v>
      </c>
      <c r="P160" s="78" t="str">
        <f t="shared" ca="1" si="14"/>
        <v/>
      </c>
    </row>
    <row r="161" spans="1:16" s="78" customFormat="1" hidden="1" x14ac:dyDescent="0.25">
      <c r="A161" s="297" t="s">
        <v>60</v>
      </c>
      <c r="B161" s="297">
        <f>MATCH(A161,Data!$DT:$DT,0)</f>
        <v>10</v>
      </c>
      <c r="C161" s="78">
        <f>INDEX(Parameter!$9:$9,,MATCH(16,Parameter!$8:$8,0))</f>
        <v>15</v>
      </c>
      <c r="D161" s="78">
        <f>INDEX(Parameter!$B$10:$AB$10,MATCH(C161,Parameter!$B$9:$AB$9,0))</f>
        <v>3</v>
      </c>
      <c r="H161" s="78">
        <f ca="1">INDEX(OFFSET(Data!$CS$1:$DS$1,B161-1,0),MATCH("Total/"&amp;C161,Data!$CS$1:$DS$1,0))</f>
        <v>13</v>
      </c>
      <c r="I161" s="78" t="str">
        <f t="shared" ca="1" si="13"/>
        <v/>
      </c>
      <c r="J161" s="78" t="str">
        <f t="array" aca="1" ref="J161" ca="1">IF(H161=1,MATCH(1,(OFFSET(Data!$DY$1:$IB$1,B161-1,0))*(Data!$DY$90:$IB$90=C161),0),"")</f>
        <v/>
      </c>
      <c r="K161" s="78" t="str">
        <f t="shared" ca="1" si="15"/>
        <v/>
      </c>
      <c r="L161" s="78" t="str">
        <f ca="1">IF(H161=1,INDEX(Data!$DT$91:$DT$190,MATCH(I161,OFFSET(Data!$DX$91:$DX$190,0,Specials!J161),0))&amp;" / "&amp;OFFSET(Data!$DX$89,0,Specials!J161),"")</f>
        <v/>
      </c>
      <c r="M161" s="78" t="s">
        <v>254</v>
      </c>
      <c r="N161" s="78" t="s">
        <v>255</v>
      </c>
      <c r="O161" s="78">
        <f t="shared" ca="1" si="12"/>
        <v>6</v>
      </c>
      <c r="P161" s="78" t="str">
        <f t="shared" ca="1" si="14"/>
        <v/>
      </c>
    </row>
    <row r="162" spans="1:16" s="78" customFormat="1" hidden="1" x14ac:dyDescent="0.25">
      <c r="A162" s="297" t="s">
        <v>60</v>
      </c>
      <c r="B162" s="297">
        <f>MATCH(A162,Data!$DT:$DT,0)</f>
        <v>10</v>
      </c>
      <c r="C162" s="78">
        <f>INDEX(Parameter!$9:$9,,MATCH(17,Parameter!$8:$8,0))</f>
        <v>16</v>
      </c>
      <c r="D162" s="78">
        <f>INDEX(Parameter!$B$10:$AB$10,MATCH(C162,Parameter!$B$9:$AB$9,0))</f>
        <v>3</v>
      </c>
      <c r="H162" s="78">
        <f ca="1">INDEX(OFFSET(Data!$CS$1:$DS$1,B162-1,0),MATCH("Total/"&amp;C162,Data!$CS$1:$DS$1,0))</f>
        <v>46</v>
      </c>
      <c r="I162" s="78" t="str">
        <f t="shared" ca="1" si="13"/>
        <v/>
      </c>
      <c r="J162" s="78" t="str">
        <f t="array" aca="1" ref="J162" ca="1">IF(H162=1,MATCH(1,(OFFSET(Data!$DY$1:$IB$1,B162-1,0))*(Data!$DY$90:$IB$90=C162),0),"")</f>
        <v/>
      </c>
      <c r="K162" s="78" t="str">
        <f t="shared" ca="1" si="15"/>
        <v/>
      </c>
      <c r="L162" s="78" t="str">
        <f ca="1">IF(H162=1,INDEX(Data!$DT$91:$DT$190,MATCH(I162,OFFSET(Data!$DX$91:$DX$190,0,Specials!J162),0))&amp;" / "&amp;OFFSET(Data!$DX$89,0,Specials!J162),"")</f>
        <v/>
      </c>
      <c r="M162" s="78" t="s">
        <v>254</v>
      </c>
      <c r="N162" s="78" t="s">
        <v>255</v>
      </c>
      <c r="O162" s="78">
        <f t="shared" ca="1" si="12"/>
        <v>6</v>
      </c>
      <c r="P162" s="78" t="str">
        <f t="shared" ca="1" si="14"/>
        <v/>
      </c>
    </row>
    <row r="163" spans="1:16" s="78" customFormat="1" hidden="1" x14ac:dyDescent="0.25">
      <c r="A163" s="297" t="s">
        <v>60</v>
      </c>
      <c r="B163" s="297">
        <f>MATCH(A163,Data!$DT:$DT,0)</f>
        <v>10</v>
      </c>
      <c r="C163" s="78">
        <f>INDEX(Parameter!$9:$9,,MATCH(18,Parameter!$8:$8,0))</f>
        <v>17</v>
      </c>
      <c r="D163" s="78">
        <f>INDEX(Parameter!$B$10:$AB$10,MATCH(C163,Parameter!$B$9:$AB$9,0))</f>
        <v>3</v>
      </c>
      <c r="H163" s="78">
        <f ca="1">INDEX(OFFSET(Data!$CS$1:$DS$1,B163-1,0),MATCH("Total/"&amp;C163,Data!$CS$1:$DS$1,0))</f>
        <v>38</v>
      </c>
      <c r="I163" s="78" t="str">
        <f t="shared" ca="1" si="13"/>
        <v/>
      </c>
      <c r="J163" s="78" t="str">
        <f t="array" aca="1" ref="J163" ca="1">IF(H163=1,MATCH(1,(OFFSET(Data!$DY$1:$IB$1,B163-1,0))*(Data!$DY$90:$IB$90=C163),0),"")</f>
        <v/>
      </c>
      <c r="K163" s="78" t="str">
        <f t="shared" ca="1" si="15"/>
        <v/>
      </c>
      <c r="L163" s="78" t="str">
        <f ca="1">IF(H163=1,INDEX(Data!$DT$91:$DT$190,MATCH(I163,OFFSET(Data!$DX$91:$DX$190,0,Specials!J163),0))&amp;" / "&amp;OFFSET(Data!$DX$89,0,Specials!J163),"")</f>
        <v/>
      </c>
      <c r="M163" s="78" t="s">
        <v>254</v>
      </c>
      <c r="N163" s="78" t="s">
        <v>255</v>
      </c>
      <c r="O163" s="78">
        <f t="shared" ca="1" si="12"/>
        <v>6</v>
      </c>
      <c r="P163" s="78" t="str">
        <f t="shared" ca="1" si="14"/>
        <v/>
      </c>
    </row>
    <row r="164" spans="1:16" s="78" customFormat="1" hidden="1" x14ac:dyDescent="0.25">
      <c r="A164" s="297" t="s">
        <v>60</v>
      </c>
      <c r="B164" s="297">
        <f>MATCH(A164,Data!$DT:$DT,0)</f>
        <v>10</v>
      </c>
      <c r="C164" s="78">
        <f>INDEX(Parameter!$9:$9,,MATCH(19,Parameter!$8:$8,0))</f>
        <v>18</v>
      </c>
      <c r="D164" s="78">
        <f>INDEX(Parameter!$B$10:$AB$10,MATCH(C164,Parameter!$B$9:$AB$9,0))</f>
        <v>3</v>
      </c>
      <c r="H164" s="78">
        <f ca="1">INDEX(OFFSET(Data!$CS$1:$DS$1,B164-1,0),MATCH("Total/"&amp;C164,Data!$CS$1:$DS$1,0))</f>
        <v>66</v>
      </c>
      <c r="I164" s="78" t="str">
        <f t="shared" ca="1" si="13"/>
        <v/>
      </c>
      <c r="J164" s="78" t="str">
        <f t="array" aca="1" ref="J164" ca="1">IF(H164=1,MATCH(1,(OFFSET(Data!$DY$1:$IB$1,B164-1,0))*(Data!$DY$90:$IB$90=C164),0),"")</f>
        <v/>
      </c>
      <c r="K164" s="78" t="str">
        <f t="shared" ca="1" si="15"/>
        <v/>
      </c>
      <c r="L164" s="78" t="str">
        <f ca="1">IF(H164=1,INDEX(Data!$DT$91:$DT$190,MATCH(I164,OFFSET(Data!$DX$91:$DX$190,0,Specials!J164),0))&amp;" / "&amp;OFFSET(Data!$DX$89,0,Specials!J164),"")</f>
        <v/>
      </c>
      <c r="M164" s="78" t="s">
        <v>254</v>
      </c>
      <c r="N164" s="78" t="s">
        <v>255</v>
      </c>
      <c r="O164" s="78">
        <f t="shared" ca="1" si="12"/>
        <v>6</v>
      </c>
      <c r="P164" s="78" t="str">
        <f t="shared" ca="1" si="14"/>
        <v/>
      </c>
    </row>
    <row r="165" spans="1:16" s="78" customFormat="1" hidden="1" x14ac:dyDescent="0.25">
      <c r="A165" s="297" t="s">
        <v>60</v>
      </c>
      <c r="B165" s="297">
        <f>MATCH(A165,Data!$DT:$DT,0)</f>
        <v>10</v>
      </c>
      <c r="C165" s="78">
        <f>INDEX(Parameter!$9:$9,,MATCH(20,Parameter!$8:$8,0))</f>
        <v>20</v>
      </c>
      <c r="D165" s="78" t="str">
        <f>INDEX(Parameter!$B$10:$AB$10,MATCH(C165,Parameter!$B$9:$AB$9,0))</f>
        <v>no</v>
      </c>
      <c r="H165" s="78">
        <f ca="1">INDEX(OFFSET(Data!$CS$1:$DS$1,B165-1,0),MATCH("Total/"&amp;C165,Data!$CS$1:$DS$1,0))</f>
        <v>0</v>
      </c>
      <c r="I165" s="78" t="str">
        <f t="shared" ca="1" si="13"/>
        <v/>
      </c>
      <c r="J165" s="78" t="str">
        <f t="array" aca="1" ref="J165" ca="1">IF(H165=1,MATCH(1,(OFFSET(Data!$DY$1:$IB$1,B165-1,0))*(Data!$DY$90:$IB$90=C165),0),"")</f>
        <v/>
      </c>
      <c r="K165" s="78" t="str">
        <f t="shared" ca="1" si="15"/>
        <v/>
      </c>
      <c r="L165" s="78" t="str">
        <f ca="1">IF(H165=1,INDEX(Data!$DT$91:$DT$190,MATCH(I165,OFFSET(Data!$DX$91:$DX$190,0,Specials!J165),0))&amp;" / "&amp;OFFSET(Data!$DX$89,0,Specials!J165),"")</f>
        <v/>
      </c>
      <c r="M165" s="78" t="s">
        <v>254</v>
      </c>
      <c r="N165" s="78" t="s">
        <v>255</v>
      </c>
      <c r="O165" s="78">
        <f t="shared" ca="1" si="12"/>
        <v>6</v>
      </c>
      <c r="P165" s="78" t="str">
        <f t="shared" ca="1" si="14"/>
        <v/>
      </c>
    </row>
    <row r="166" spans="1:16" s="78" customFormat="1" hidden="1" x14ac:dyDescent="0.25">
      <c r="A166" s="297" t="s">
        <v>60</v>
      </c>
      <c r="B166" s="297">
        <f>MATCH(A166,Data!$DT:$DT,0)</f>
        <v>10</v>
      </c>
      <c r="C166" s="78">
        <f>INDEX(Parameter!$9:$9,,MATCH(21,Parameter!$8:$8,0))</f>
        <v>21</v>
      </c>
      <c r="D166" s="78" t="str">
        <f>INDEX(Parameter!$B$10:$AB$10,MATCH(C166,Parameter!$B$9:$AB$9,0))</f>
        <v>no</v>
      </c>
      <c r="H166" s="78">
        <f ca="1">INDEX(OFFSET(Data!$CS$1:$DS$1,B166-1,0),MATCH("Total/"&amp;C166,Data!$CS$1:$DS$1,0))</f>
        <v>0</v>
      </c>
      <c r="I166" s="78" t="str">
        <f t="shared" ca="1" si="13"/>
        <v/>
      </c>
      <c r="J166" s="78" t="str">
        <f t="array" aca="1" ref="J166" ca="1">IF(H166=1,MATCH(1,(OFFSET(Data!$DY$1:$IB$1,B166-1,0))*(Data!$DY$90:$IB$90=C166),0),"")</f>
        <v/>
      </c>
      <c r="K166" s="78" t="str">
        <f t="shared" ca="1" si="15"/>
        <v/>
      </c>
      <c r="L166" s="78" t="str">
        <f ca="1">IF(H166=1,INDEX(Data!$DT$91:$DT$190,MATCH(I166,OFFSET(Data!$DX$91:$DX$190,0,Specials!J166),0))&amp;" / "&amp;OFFSET(Data!$DX$89,0,Specials!J166),"")</f>
        <v/>
      </c>
      <c r="M166" s="78" t="s">
        <v>254</v>
      </c>
      <c r="N166" s="78" t="s">
        <v>255</v>
      </c>
      <c r="O166" s="78">
        <f t="shared" ca="1" si="12"/>
        <v>6</v>
      </c>
      <c r="P166" s="78" t="str">
        <f t="shared" ca="1" si="14"/>
        <v/>
      </c>
    </row>
    <row r="167" spans="1:16" s="78" customFormat="1" hidden="1" x14ac:dyDescent="0.25">
      <c r="A167" s="297" t="s">
        <v>60</v>
      </c>
      <c r="B167" s="297">
        <f>MATCH(A167,Data!$DT:$DT,0)</f>
        <v>10</v>
      </c>
      <c r="C167" s="78">
        <f>INDEX(Parameter!$9:$9,,MATCH(22,Parameter!$8:$8,0))</f>
        <v>22</v>
      </c>
      <c r="D167" s="78" t="str">
        <f>INDEX(Parameter!$B$10:$AB$10,MATCH(C167,Parameter!$B$9:$AB$9,0))</f>
        <v>no</v>
      </c>
      <c r="H167" s="78">
        <f ca="1">INDEX(OFFSET(Data!$CS$1:$DS$1,B167-1,0),MATCH("Total/"&amp;C167,Data!$CS$1:$DS$1,0))</f>
        <v>0</v>
      </c>
      <c r="I167" s="78" t="str">
        <f t="shared" ca="1" si="13"/>
        <v/>
      </c>
      <c r="J167" s="78" t="str">
        <f t="array" aca="1" ref="J167" ca="1">IF(H167=1,MATCH(1,(OFFSET(Data!$DY$1:$IB$1,B167-1,0))*(Data!$DY$90:$IB$90=C167),0),"")</f>
        <v/>
      </c>
      <c r="K167" s="78" t="str">
        <f t="shared" ca="1" si="15"/>
        <v/>
      </c>
      <c r="L167" s="78" t="str">
        <f ca="1">IF(H167=1,INDEX(Data!$DT$91:$DT$190,MATCH(I167,OFFSET(Data!$DX$91:$DX$190,0,Specials!J167),0))&amp;" / "&amp;OFFSET(Data!$DX$89,0,Specials!J167),"")</f>
        <v/>
      </c>
      <c r="M167" s="78" t="s">
        <v>254</v>
      </c>
      <c r="N167" s="78" t="s">
        <v>255</v>
      </c>
      <c r="O167" s="78">
        <f t="shared" ca="1" si="12"/>
        <v>6</v>
      </c>
      <c r="P167" s="78" t="str">
        <f t="shared" ca="1" si="14"/>
        <v/>
      </c>
    </row>
    <row r="168" spans="1:16" s="78" customFormat="1" hidden="1" x14ac:dyDescent="0.25">
      <c r="A168" s="297" t="s">
        <v>60</v>
      </c>
      <c r="B168" s="297">
        <f>MATCH(A168,Data!$DT:$DT,0)</f>
        <v>10</v>
      </c>
      <c r="C168" s="78">
        <f>INDEX(Parameter!$9:$9,,MATCH(23,Parameter!$8:$8,0))</f>
        <v>23</v>
      </c>
      <c r="D168" s="78" t="str">
        <f>INDEX(Parameter!$B$10:$AB$10,MATCH(C168,Parameter!$B$9:$AB$9,0))</f>
        <v>no</v>
      </c>
      <c r="H168" s="78">
        <f ca="1">INDEX(OFFSET(Data!$CS$1:$DS$1,B168-1,0),MATCH("Total/"&amp;C168,Data!$CS$1:$DS$1,0))</f>
        <v>0</v>
      </c>
      <c r="I168" s="78" t="str">
        <f t="shared" ca="1" si="13"/>
        <v/>
      </c>
      <c r="J168" s="78" t="str">
        <f t="array" aca="1" ref="J168" ca="1">IF(H168=1,MATCH(1,(OFFSET(Data!$DY$1:$IB$1,B168-1,0))*(Data!$DY$90:$IB$90=C168),0),"")</f>
        <v/>
      </c>
      <c r="K168" s="78" t="str">
        <f t="shared" ca="1" si="15"/>
        <v/>
      </c>
      <c r="L168" s="78" t="str">
        <f ca="1">IF(H168=1,INDEX(Data!$DT$91:$DT$190,MATCH(I168,OFFSET(Data!$DX$91:$DX$190,0,Specials!J168),0))&amp;" / "&amp;OFFSET(Data!$DX$89,0,Specials!J168),"")</f>
        <v/>
      </c>
      <c r="M168" s="78" t="s">
        <v>254</v>
      </c>
      <c r="N168" s="78" t="s">
        <v>255</v>
      </c>
      <c r="O168" s="78">
        <f t="shared" ca="1" si="12"/>
        <v>6</v>
      </c>
      <c r="P168" s="78" t="str">
        <f t="shared" ca="1" si="14"/>
        <v/>
      </c>
    </row>
    <row r="169" spans="1:16" s="78" customFormat="1" hidden="1" x14ac:dyDescent="0.25">
      <c r="A169" s="297" t="s">
        <v>60</v>
      </c>
      <c r="B169" s="297">
        <f>MATCH(A169,Data!$DT:$DT,0)</f>
        <v>10</v>
      </c>
      <c r="C169" s="78">
        <f>INDEX(Parameter!$9:$9,,MATCH(24,Parameter!$8:$8,0))</f>
        <v>24</v>
      </c>
      <c r="D169" s="78" t="str">
        <f>INDEX(Parameter!$B$10:$AB$10,MATCH(C169,Parameter!$B$9:$AB$9,0))</f>
        <v>no</v>
      </c>
      <c r="H169" s="78">
        <f ca="1">INDEX(OFFSET(Data!$CS$1:$DS$1,B169-1,0),MATCH("Total/"&amp;C169,Data!$CS$1:$DS$1,0))</f>
        <v>0</v>
      </c>
      <c r="I169" s="78" t="str">
        <f t="shared" ca="1" si="13"/>
        <v/>
      </c>
      <c r="J169" s="78" t="str">
        <f t="array" aca="1" ref="J169" ca="1">IF(H169=1,MATCH(1,(OFFSET(Data!$DY$1:$IB$1,B169-1,0))*(Data!$DY$90:$IB$90=C169),0),"")</f>
        <v/>
      </c>
      <c r="K169" s="78" t="str">
        <f t="shared" ca="1" si="15"/>
        <v/>
      </c>
      <c r="L169" s="78" t="str">
        <f ca="1">IF(H169=1,INDEX(Data!$DT$91:$DT$190,MATCH(I169,OFFSET(Data!$DX$91:$DX$190,0,Specials!J169),0))&amp;" / "&amp;OFFSET(Data!$DX$89,0,Specials!J169),"")</f>
        <v/>
      </c>
      <c r="M169" s="78" t="s">
        <v>254</v>
      </c>
      <c r="N169" s="78" t="s">
        <v>255</v>
      </c>
      <c r="O169" s="78">
        <f t="shared" ca="1" si="12"/>
        <v>6</v>
      </c>
      <c r="P169" s="78" t="str">
        <f t="shared" ca="1" si="14"/>
        <v/>
      </c>
    </row>
    <row r="170" spans="1:16" s="78" customFormat="1" hidden="1" x14ac:dyDescent="0.25">
      <c r="A170" s="297" t="s">
        <v>60</v>
      </c>
      <c r="B170" s="297">
        <f>MATCH(A170,Data!$DT:$DT,0)</f>
        <v>10</v>
      </c>
      <c r="C170" s="78">
        <f>INDEX(Parameter!$9:$9,,MATCH(25,Parameter!$8:$8,0))</f>
        <v>25</v>
      </c>
      <c r="D170" s="78" t="str">
        <f>INDEX(Parameter!$B$10:$AB$10,MATCH(C170,Parameter!$B$9:$AB$9,0))</f>
        <v>no</v>
      </c>
      <c r="H170" s="78">
        <f ca="1">INDEX(OFFSET(Data!$CS$1:$DS$1,B170-1,0),MATCH("Total/"&amp;C170,Data!$CS$1:$DS$1,0))</f>
        <v>0</v>
      </c>
      <c r="I170" s="78" t="str">
        <f t="shared" ca="1" si="13"/>
        <v/>
      </c>
      <c r="J170" s="78" t="str">
        <f t="array" aca="1" ref="J170" ca="1">IF(H170=1,MATCH(1,(OFFSET(Data!$DY$1:$IB$1,B170-1,0))*(Data!$DY$90:$IB$90=C170),0),"")</f>
        <v/>
      </c>
      <c r="K170" s="78" t="str">
        <f t="shared" ca="1" si="15"/>
        <v/>
      </c>
      <c r="L170" s="78" t="str">
        <f ca="1">IF(H170=1,INDEX(Data!$DT$91:$DT$190,MATCH(I170,OFFSET(Data!$DX$91:$DX$190,0,Specials!J170),0))&amp;" / "&amp;OFFSET(Data!$DX$89,0,Specials!J170),"")</f>
        <v/>
      </c>
      <c r="M170" s="78" t="s">
        <v>254</v>
      </c>
      <c r="N170" s="78" t="s">
        <v>255</v>
      </c>
      <c r="O170" s="78">
        <f t="shared" ca="1" si="12"/>
        <v>6</v>
      </c>
      <c r="P170" s="78" t="str">
        <f t="shared" ca="1" si="14"/>
        <v/>
      </c>
    </row>
    <row r="171" spans="1:16" s="78" customFormat="1" hidden="1" x14ac:dyDescent="0.25">
      <c r="A171" s="297" t="s">
        <v>60</v>
      </c>
      <c r="B171" s="297">
        <f>MATCH(A171,Data!$DT:$DT,0)</f>
        <v>10</v>
      </c>
      <c r="C171" s="78">
        <f>INDEX(Parameter!$9:$9,,MATCH(26,Parameter!$8:$8,0))</f>
        <v>26</v>
      </c>
      <c r="D171" s="78" t="str">
        <f>INDEX(Parameter!$B$10:$AB$10,MATCH(C171,Parameter!$B$9:$AB$9,0))</f>
        <v>no</v>
      </c>
      <c r="H171" s="78">
        <f ca="1">INDEX(OFFSET(Data!$CS$1:$DS$1,B171-1,0),MATCH("Total/"&amp;C171,Data!$CS$1:$DS$1,0))</f>
        <v>0</v>
      </c>
      <c r="I171" s="78" t="str">
        <f t="shared" ca="1" si="13"/>
        <v/>
      </c>
      <c r="J171" s="78" t="str">
        <f t="array" aca="1" ref="J171" ca="1">IF(H171=1,MATCH(1,(OFFSET(Data!$DY$1:$IB$1,B171-1,0))*(Data!$DY$90:$IB$90=C171),0),"")</f>
        <v/>
      </c>
      <c r="K171" s="78" t="str">
        <f t="shared" ca="1" si="15"/>
        <v/>
      </c>
      <c r="L171" s="78" t="str">
        <f ca="1">IF(H171=1,INDEX(Data!$DT$91:$DT$190,MATCH(I171,OFFSET(Data!$DX$91:$DX$190,0,Specials!J171),0))&amp;" / "&amp;OFFSET(Data!$DX$89,0,Specials!J171),"")</f>
        <v/>
      </c>
      <c r="M171" s="78" t="s">
        <v>254</v>
      </c>
      <c r="N171" s="78" t="s">
        <v>255</v>
      </c>
      <c r="O171" s="78">
        <f t="shared" ca="1" si="12"/>
        <v>6</v>
      </c>
      <c r="P171" s="78" t="str">
        <f t="shared" ca="1" si="14"/>
        <v/>
      </c>
    </row>
    <row r="172" spans="1:16" s="78" customFormat="1" hidden="1" x14ac:dyDescent="0.25">
      <c r="A172" s="297" t="s">
        <v>60</v>
      </c>
      <c r="B172" s="297">
        <f>MATCH(A172,Data!$DT:$DT,0)</f>
        <v>10</v>
      </c>
      <c r="C172" s="78">
        <f>INDEX(Parameter!$9:$9,,MATCH(27,Parameter!$8:$8,0))</f>
        <v>27</v>
      </c>
      <c r="D172" s="78" t="str">
        <f>INDEX(Parameter!$B$10:$AB$10,MATCH(C172,Parameter!$B$9:$AB$9,0))</f>
        <v>no</v>
      </c>
      <c r="H172" s="78">
        <f ca="1">INDEX(OFFSET(Data!$CS$1:$DS$1,B172-1,0),MATCH("Total/"&amp;C172,Data!$CS$1:$DS$1,0))</f>
        <v>0</v>
      </c>
      <c r="I172" s="78" t="str">
        <f t="shared" ca="1" si="13"/>
        <v/>
      </c>
      <c r="J172" s="78" t="str">
        <f t="array" aca="1" ref="J172" ca="1">IF(H172=1,MATCH(1,(OFFSET(Data!$DY$1:$IB$1,B172-1,0))*(Data!$DY$90:$IB$90=C172),0),"")</f>
        <v/>
      </c>
      <c r="K172" s="78" t="str">
        <f t="shared" ca="1" si="15"/>
        <v/>
      </c>
      <c r="L172" s="78" t="str">
        <f ca="1">IF(H172=1,INDEX(Data!$DT$91:$DT$190,MATCH(I172,OFFSET(Data!$DX$91:$DX$190,0,Specials!J172),0))&amp;" / "&amp;OFFSET(Data!$DX$89,0,Specials!J172),"")</f>
        <v/>
      </c>
      <c r="M172" s="78" t="s">
        <v>254</v>
      </c>
      <c r="N172" s="78" t="s">
        <v>255</v>
      </c>
      <c r="O172" s="78">
        <f t="shared" ca="1" si="12"/>
        <v>6</v>
      </c>
      <c r="P172" s="78" t="str">
        <f ca="1">IF(H172=1,"Only 1 Bogey on hole "&amp;C172&amp;" (par "&amp;D172&amp;")","")</f>
        <v/>
      </c>
    </row>
    <row r="173" spans="1:16" s="78" customFormat="1" hidden="1" x14ac:dyDescent="0.25">
      <c r="A173" s="296" t="s">
        <v>375</v>
      </c>
      <c r="B173" s="297"/>
      <c r="K173" s="78" t="str">
        <f ca="1">K172</f>
        <v/>
      </c>
      <c r="L173" s="78" t="str">
        <f>""</f>
        <v/>
      </c>
      <c r="M173" s="78" t="s">
        <v>254</v>
      </c>
      <c r="N173" s="78" t="s">
        <v>255</v>
      </c>
      <c r="O173" s="78">
        <f t="shared" ca="1" si="12"/>
        <v>6</v>
      </c>
      <c r="P173" s="78" t="str">
        <f ca="1">IF(K173="","","No Bogeys on hole(s) "&amp;K173)</f>
        <v/>
      </c>
    </row>
    <row r="174" spans="1:16" s="65" customFormat="1" ht="15" hidden="1" customHeight="1" x14ac:dyDescent="0.25">
      <c r="A174" s="289" t="s">
        <v>102</v>
      </c>
      <c r="B174" s="294">
        <f>MATCH(A174,Data!$DT:$DT,0)</f>
        <v>12</v>
      </c>
      <c r="C174" s="65">
        <f>INDEX(Parameter!$9:$9,,MATCH(1,Parameter!$8:$8,0))</f>
        <v>1</v>
      </c>
      <c r="D174" s="65">
        <f>INDEX(Parameter!$B$10:$AB$10,MATCH(C174,Parameter!$B$9:$AB$9,0))</f>
        <v>3</v>
      </c>
      <c r="H174" s="65">
        <f ca="1">INDEX(OFFSET(Data!$CS$1:$DS$1,B174-1,0),MATCH("Total/"&amp;C174,Data!$CS$1:$DS$1,0))</f>
        <v>9</v>
      </c>
      <c r="I174" s="65" t="str">
        <f ca="1">IF(H174=1,D174+2,"")</f>
        <v/>
      </c>
      <c r="J174" s="65" t="str">
        <f t="array" aca="1" ref="J174" ca="1">IF(H174=1,MATCH(1,(OFFSET(Data!$DY$1:$IB$1,B174-1,0))*(Data!$DY$90:$IB$90=C174),0),"")</f>
        <v/>
      </c>
      <c r="K174" s="65" t="str">
        <f ca="1">IF(H174=0,C174,"")</f>
        <v/>
      </c>
      <c r="L174" s="65" t="str">
        <f ca="1">IF(H174=1,INDEX(Data!$DT$91:$DT$190,MATCH(I174,OFFSET(Data!$DX$91:$DX$190,0,Specials!J174),0))&amp;" / "&amp;OFFSET(Data!$DX$89,0,Specials!J174),"")</f>
        <v/>
      </c>
      <c r="M174" s="65" t="s">
        <v>254</v>
      </c>
      <c r="N174" s="65" t="s">
        <v>255</v>
      </c>
      <c r="O174" s="65">
        <f t="shared" ca="1" si="12"/>
        <v>6</v>
      </c>
      <c r="P174" s="65" t="str">
        <f ca="1">IF(H174=1,"Only 1 Double-Bogey on hole "&amp;C174&amp;" (par "&amp;D174&amp;")","")</f>
        <v/>
      </c>
    </row>
    <row r="175" spans="1:16" s="65" customFormat="1" hidden="1" x14ac:dyDescent="0.25">
      <c r="A175" s="289" t="s">
        <v>102</v>
      </c>
      <c r="B175" s="294">
        <f>MATCH(A175,Data!$DT:$DT,0)</f>
        <v>12</v>
      </c>
      <c r="C175" s="65">
        <f>INDEX(Parameter!$9:$9,,MATCH(2,Parameter!$8:$8,0))</f>
        <v>2</v>
      </c>
      <c r="D175" s="65">
        <f>INDEX(Parameter!$B$10:$AB$10,MATCH(C175,Parameter!$B$9:$AB$9,0))</f>
        <v>3</v>
      </c>
      <c r="H175" s="65">
        <f ca="1">INDEX(OFFSET(Data!$CS$1:$DS$1,B175-1,0),MATCH("Total/"&amp;C175,Data!$CS$1:$DS$1,0))</f>
        <v>6</v>
      </c>
      <c r="I175" s="65" t="str">
        <f t="shared" ref="I175:I200" ca="1" si="16">IF(H175=1,D175+2,"")</f>
        <v/>
      </c>
      <c r="J175" s="65" t="str">
        <f t="array" aca="1" ref="J175" ca="1">IF(H175=1,MATCH(1,(OFFSET(Data!$DY$1:$IB$1,B175-1,0))*(Data!$DY$90:$IB$90=C175),0),"")</f>
        <v/>
      </c>
      <c r="K175" s="65" t="str">
        <f ca="1">IF(AND(H175=0,D175&lt;&gt;"no"),IF(K174="",C175,K174&amp;", "&amp;C175),K174)</f>
        <v/>
      </c>
      <c r="L175" s="65" t="str">
        <f ca="1">IF(H175=1,INDEX(Data!$DT$91:$DT$190,MATCH(I175,OFFSET(Data!$DX$91:$DX$190,0,Specials!J175),0))&amp;" / "&amp;OFFSET(Data!$DX$89,0,Specials!J175),"")</f>
        <v/>
      </c>
      <c r="M175" s="65" t="s">
        <v>254</v>
      </c>
      <c r="N175" s="65" t="s">
        <v>255</v>
      </c>
      <c r="O175" s="65">
        <f t="shared" ca="1" si="12"/>
        <v>6</v>
      </c>
      <c r="P175" s="65" t="str">
        <f t="shared" ref="P175:P199" ca="1" si="17">IF(H175=1,"Only 1 Double-Bogey on hole "&amp;C175&amp;" (par "&amp;D175&amp;")","")</f>
        <v/>
      </c>
    </row>
    <row r="176" spans="1:16" s="65" customFormat="1" hidden="1" x14ac:dyDescent="0.25">
      <c r="A176" s="289" t="s">
        <v>102</v>
      </c>
      <c r="B176" s="294">
        <f>MATCH(A176,Data!$DT:$DT,0)</f>
        <v>12</v>
      </c>
      <c r="C176" s="65">
        <f>INDEX(Parameter!$9:$9,,MATCH(3,Parameter!$8:$8,0))</f>
        <v>3</v>
      </c>
      <c r="D176" s="65">
        <f>INDEX(Parameter!$B$10:$AB$10,MATCH(C176,Parameter!$B$9:$AB$9,0))</f>
        <v>3</v>
      </c>
      <c r="H176" s="65">
        <f ca="1">INDEX(OFFSET(Data!$CS$1:$DS$1,B176-1,0),MATCH("Total/"&amp;C176,Data!$CS$1:$DS$1,0))</f>
        <v>17</v>
      </c>
      <c r="I176" s="65" t="str">
        <f t="shared" ca="1" si="16"/>
        <v/>
      </c>
      <c r="J176" s="65" t="str">
        <f t="array" aca="1" ref="J176" ca="1">IF(H176=1,MATCH(1,(OFFSET(Data!$DY$1:$IB$1,B176-1,0))*(Data!$DY$90:$IB$90=C176),0),"")</f>
        <v/>
      </c>
      <c r="K176" s="65" t="str">
        <f t="shared" ref="K176:K200" ca="1" si="18">IF(AND(H176=0,D176&lt;&gt;"no"),IF(K175="",C176,K175&amp;", "&amp;C176),K175)</f>
        <v/>
      </c>
      <c r="L176" s="65" t="str">
        <f ca="1">IF(H176=1,INDEX(Data!$DT$91:$DT$190,MATCH(I176,OFFSET(Data!$DX$91:$DX$190,0,Specials!J176),0))&amp;" / "&amp;OFFSET(Data!$DX$89,0,Specials!J176),"")</f>
        <v/>
      </c>
      <c r="M176" s="65" t="s">
        <v>254</v>
      </c>
      <c r="N176" s="65" t="s">
        <v>255</v>
      </c>
      <c r="O176" s="65">
        <f t="shared" ca="1" si="12"/>
        <v>6</v>
      </c>
      <c r="P176" s="65" t="str">
        <f t="shared" ca="1" si="17"/>
        <v/>
      </c>
    </row>
    <row r="177" spans="1:16" s="65" customFormat="1" hidden="1" x14ac:dyDescent="0.25">
      <c r="A177" s="289" t="s">
        <v>102</v>
      </c>
      <c r="B177" s="294">
        <f>MATCH(A177,Data!$DT:$DT,0)</f>
        <v>12</v>
      </c>
      <c r="C177" s="65">
        <f>INDEX(Parameter!$9:$9,,MATCH(4,Parameter!$8:$8,0))</f>
        <v>4</v>
      </c>
      <c r="D177" s="65">
        <f>INDEX(Parameter!$B$10:$AB$10,MATCH(C177,Parameter!$B$9:$AB$9,0))</f>
        <v>3</v>
      </c>
      <c r="H177" s="65">
        <f ca="1">INDEX(OFFSET(Data!$CS$1:$DS$1,B177-1,0),MATCH("Total/"&amp;C177,Data!$CS$1:$DS$1,0))</f>
        <v>12</v>
      </c>
      <c r="I177" s="65" t="str">
        <f t="shared" ca="1" si="16"/>
        <v/>
      </c>
      <c r="J177" s="65" t="str">
        <f t="array" aca="1" ref="J177" ca="1">IF(H177=1,MATCH(1,(OFFSET(Data!$DY$1:$IB$1,B177-1,0))*(Data!$DY$90:$IB$90=C177),0),"")</f>
        <v/>
      </c>
      <c r="K177" s="65" t="str">
        <f t="shared" ca="1" si="18"/>
        <v/>
      </c>
      <c r="L177" s="65" t="str">
        <f ca="1">IF(H177=1,INDEX(Data!$DT$91:$DT$190,MATCH(I177,OFFSET(Data!$DX$91:$DX$190,0,Specials!J177),0))&amp;" / "&amp;OFFSET(Data!$DX$89,0,Specials!J177),"")</f>
        <v/>
      </c>
      <c r="M177" s="65" t="s">
        <v>254</v>
      </c>
      <c r="N177" s="65" t="s">
        <v>255</v>
      </c>
      <c r="O177" s="65">
        <f t="shared" ca="1" si="12"/>
        <v>6</v>
      </c>
      <c r="P177" s="65" t="str">
        <f t="shared" ca="1" si="17"/>
        <v/>
      </c>
    </row>
    <row r="178" spans="1:16" s="65" customFormat="1" hidden="1" x14ac:dyDescent="0.25">
      <c r="A178" s="289" t="s">
        <v>102</v>
      </c>
      <c r="B178" s="294">
        <f>MATCH(A178,Data!$DT:$DT,0)</f>
        <v>12</v>
      </c>
      <c r="C178" s="65">
        <f>INDEX(Parameter!$9:$9,,MATCH(5,Parameter!$8:$8,0))</f>
        <v>5</v>
      </c>
      <c r="D178" s="65">
        <f>INDEX(Parameter!$B$10:$AB$10,MATCH(C178,Parameter!$B$9:$AB$9,0))</f>
        <v>4</v>
      </c>
      <c r="H178" s="65">
        <f ca="1">INDEX(OFFSET(Data!$CS$1:$DS$1,B178-1,0),MATCH("Total/"&amp;C178,Data!$CS$1:$DS$1,0))</f>
        <v>8</v>
      </c>
      <c r="I178" s="65" t="str">
        <f t="shared" ca="1" si="16"/>
        <v/>
      </c>
      <c r="J178" s="65" t="str">
        <f t="array" aca="1" ref="J178" ca="1">IF(H178=1,MATCH(1,(OFFSET(Data!$DY$1:$IB$1,B178-1,0))*(Data!$DY$90:$IB$90=C178),0),"")</f>
        <v/>
      </c>
      <c r="K178" s="65" t="str">
        <f t="shared" ca="1" si="18"/>
        <v/>
      </c>
      <c r="L178" s="65" t="str">
        <f ca="1">IF(H178=1,INDEX(Data!$DT$91:$DT$190,MATCH(I178,OFFSET(Data!$DX$91:$DX$190,0,Specials!J178),0))&amp;" / "&amp;OFFSET(Data!$DX$89,0,Specials!J178),"")</f>
        <v/>
      </c>
      <c r="M178" s="65" t="s">
        <v>254</v>
      </c>
      <c r="N178" s="65" t="s">
        <v>255</v>
      </c>
      <c r="O178" s="65">
        <f t="shared" ca="1" si="12"/>
        <v>6</v>
      </c>
      <c r="P178" s="65" t="str">
        <f t="shared" ca="1" si="17"/>
        <v/>
      </c>
    </row>
    <row r="179" spans="1:16" s="65" customFormat="1" hidden="1" x14ac:dyDescent="0.25">
      <c r="A179" s="289" t="s">
        <v>102</v>
      </c>
      <c r="B179" s="294">
        <f>MATCH(A179,Data!$DT:$DT,0)</f>
        <v>12</v>
      </c>
      <c r="C179" s="65">
        <f>INDEX(Parameter!$9:$9,,MATCH(6,Parameter!$8:$8,0))</f>
        <v>6</v>
      </c>
      <c r="D179" s="65">
        <f>INDEX(Parameter!$B$10:$AB$10,MATCH(C179,Parameter!$B$9:$AB$9,0))</f>
        <v>3</v>
      </c>
      <c r="H179" s="65">
        <f ca="1">INDEX(OFFSET(Data!$CS$1:$DS$1,B179-1,0),MATCH("Total/"&amp;C179,Data!$CS$1:$DS$1,0))</f>
        <v>12</v>
      </c>
      <c r="I179" s="65" t="str">
        <f t="shared" ca="1" si="16"/>
        <v/>
      </c>
      <c r="J179" s="65" t="str">
        <f t="array" aca="1" ref="J179" ca="1">IF(H179=1,MATCH(1,(OFFSET(Data!$DY$1:$IB$1,B179-1,0))*(Data!$DY$90:$IB$90=C179),0),"")</f>
        <v/>
      </c>
      <c r="K179" s="65" t="str">
        <f t="shared" ca="1" si="18"/>
        <v/>
      </c>
      <c r="L179" s="65" t="str">
        <f ca="1">IF(H179=1,INDEX(Data!$DT$91:$DT$190,MATCH(I179,OFFSET(Data!$DX$91:$DX$190,0,Specials!J179),0))&amp;" / "&amp;OFFSET(Data!$DX$89,0,Specials!J179),"")</f>
        <v/>
      </c>
      <c r="M179" s="65" t="s">
        <v>254</v>
      </c>
      <c r="N179" s="65" t="s">
        <v>255</v>
      </c>
      <c r="O179" s="65">
        <f t="shared" ca="1" si="12"/>
        <v>6</v>
      </c>
      <c r="P179" s="65" t="str">
        <f t="shared" ca="1" si="17"/>
        <v/>
      </c>
    </row>
    <row r="180" spans="1:16" s="65" customFormat="1" hidden="1" x14ac:dyDescent="0.25">
      <c r="A180" s="289" t="s">
        <v>102</v>
      </c>
      <c r="B180" s="294">
        <f>MATCH(A180,Data!$DT:$DT,0)</f>
        <v>12</v>
      </c>
      <c r="C180" s="65">
        <f>INDEX(Parameter!$9:$9,,MATCH(7,Parameter!$8:$8,0))</f>
        <v>7</v>
      </c>
      <c r="D180" s="65">
        <f>INDEX(Parameter!$B$10:$AB$10,MATCH(C180,Parameter!$B$9:$AB$9,0))</f>
        <v>3</v>
      </c>
      <c r="H180" s="65">
        <f ca="1">INDEX(OFFSET(Data!$CS$1:$DS$1,B180-1,0),MATCH("Total/"&amp;C180,Data!$CS$1:$DS$1,0))</f>
        <v>11</v>
      </c>
      <c r="I180" s="65" t="str">
        <f t="shared" ca="1" si="16"/>
        <v/>
      </c>
      <c r="J180" s="65" t="str">
        <f t="array" aca="1" ref="J180" ca="1">IF(H180=1,MATCH(1,(OFFSET(Data!$DY$1:$IB$1,B180-1,0))*(Data!$DY$90:$IB$90=C180),0),"")</f>
        <v/>
      </c>
      <c r="K180" s="65" t="str">
        <f t="shared" ca="1" si="18"/>
        <v/>
      </c>
      <c r="L180" s="65" t="str">
        <f ca="1">IF(H180=1,INDEX(Data!$DT$91:$DT$190,MATCH(I180,OFFSET(Data!$DX$91:$DX$190,0,Specials!J180),0))&amp;" / "&amp;OFFSET(Data!$DX$89,0,Specials!J180),"")</f>
        <v/>
      </c>
      <c r="M180" s="65" t="s">
        <v>254</v>
      </c>
      <c r="N180" s="65" t="s">
        <v>255</v>
      </c>
      <c r="O180" s="65">
        <f t="shared" ca="1" si="12"/>
        <v>6</v>
      </c>
      <c r="P180" s="65" t="str">
        <f t="shared" ca="1" si="17"/>
        <v/>
      </c>
    </row>
    <row r="181" spans="1:16" s="65" customFormat="1" hidden="1" x14ac:dyDescent="0.25">
      <c r="A181" s="289" t="s">
        <v>102</v>
      </c>
      <c r="B181" s="294">
        <f>MATCH(A181,Data!$DT:$DT,0)</f>
        <v>12</v>
      </c>
      <c r="C181" s="65">
        <f>INDEX(Parameter!$9:$9,,MATCH(8,Parameter!$8:$8,0))</f>
        <v>8</v>
      </c>
      <c r="D181" s="65">
        <f>INDEX(Parameter!$B$10:$AB$10,MATCH(C181,Parameter!$B$9:$AB$9,0))</f>
        <v>3</v>
      </c>
      <c r="H181" s="65">
        <f ca="1">INDEX(OFFSET(Data!$CS$1:$DS$1,B181-1,0),MATCH("Total/"&amp;C181,Data!$CS$1:$DS$1,0))</f>
        <v>3</v>
      </c>
      <c r="I181" s="65" t="str">
        <f t="shared" ca="1" si="16"/>
        <v/>
      </c>
      <c r="J181" s="65" t="str">
        <f t="array" aca="1" ref="J181" ca="1">IF(H181=1,MATCH(1,(OFFSET(Data!$DY$1:$IB$1,B181-1,0))*(Data!$DY$90:$IB$90=C181),0),"")</f>
        <v/>
      </c>
      <c r="K181" s="65" t="str">
        <f t="shared" ca="1" si="18"/>
        <v/>
      </c>
      <c r="L181" s="65" t="str">
        <f ca="1">IF(H181=1,INDEX(Data!$DT$91:$DT$190,MATCH(I181,OFFSET(Data!$DX$91:$DX$190,0,Specials!J181),0))&amp;" / "&amp;OFFSET(Data!$DX$89,0,Specials!J181),"")</f>
        <v/>
      </c>
      <c r="M181" s="65" t="s">
        <v>254</v>
      </c>
      <c r="N181" s="65" t="s">
        <v>255</v>
      </c>
      <c r="O181" s="65">
        <f t="shared" ca="1" si="12"/>
        <v>6</v>
      </c>
      <c r="P181" s="65" t="str">
        <f t="shared" ca="1" si="17"/>
        <v/>
      </c>
    </row>
    <row r="182" spans="1:16" s="65" customFormat="1" hidden="1" x14ac:dyDescent="0.25">
      <c r="A182" s="289" t="s">
        <v>102</v>
      </c>
      <c r="B182" s="294">
        <f>MATCH(A182,Data!$DT:$DT,0)</f>
        <v>12</v>
      </c>
      <c r="C182" s="65">
        <f>INDEX(Parameter!$9:$9,,MATCH(9,Parameter!$8:$8,0))</f>
        <v>9</v>
      </c>
      <c r="D182" s="65">
        <f>INDEX(Parameter!$B$10:$AB$10,MATCH(C182,Parameter!$B$9:$AB$9,0))</f>
        <v>4</v>
      </c>
      <c r="H182" s="65">
        <f ca="1">INDEX(OFFSET(Data!$CS$1:$DS$1,B182-1,0),MATCH("Total/"&amp;C182,Data!$CS$1:$DS$1,0))</f>
        <v>14</v>
      </c>
      <c r="I182" s="65" t="str">
        <f t="shared" ca="1" si="16"/>
        <v/>
      </c>
      <c r="J182" s="65" t="str">
        <f t="array" aca="1" ref="J182" ca="1">IF(H182=1,MATCH(1,(OFFSET(Data!$DY$1:$IB$1,B182-1,0))*(Data!$DY$90:$IB$90=C182),0),"")</f>
        <v/>
      </c>
      <c r="K182" s="65" t="str">
        <f t="shared" ca="1" si="18"/>
        <v/>
      </c>
      <c r="L182" s="65" t="str">
        <f ca="1">IF(H182=1,INDEX(Data!$DT$91:$DT$190,MATCH(I182,OFFSET(Data!$DX$91:$DX$190,0,Specials!J182),0))&amp;" / "&amp;OFFSET(Data!$DX$89,0,Specials!J182),"")</f>
        <v/>
      </c>
      <c r="M182" s="65" t="s">
        <v>254</v>
      </c>
      <c r="N182" s="65" t="s">
        <v>255</v>
      </c>
      <c r="O182" s="65">
        <f t="shared" ca="1" si="12"/>
        <v>6</v>
      </c>
      <c r="P182" s="65" t="str">
        <f t="shared" ca="1" si="17"/>
        <v/>
      </c>
    </row>
    <row r="183" spans="1:16" s="65" customFormat="1" hidden="1" x14ac:dyDescent="0.25">
      <c r="A183" s="289" t="s">
        <v>102</v>
      </c>
      <c r="B183" s="294">
        <f>MATCH(A183,Data!$DT:$DT,0)</f>
        <v>12</v>
      </c>
      <c r="C183" s="65">
        <f>INDEX(Parameter!$9:$9,,MATCH(10,Parameter!$8:$8,0))</f>
        <v>10</v>
      </c>
      <c r="D183" s="65">
        <f>INDEX(Parameter!$B$10:$AB$10,MATCH(C183,Parameter!$B$9:$AB$9,0))</f>
        <v>4</v>
      </c>
      <c r="H183" s="65">
        <f ca="1">INDEX(OFFSET(Data!$CS$1:$DS$1,B183-1,0),MATCH("Total/"&amp;C183,Data!$CS$1:$DS$1,0))</f>
        <v>20</v>
      </c>
      <c r="I183" s="65" t="str">
        <f t="shared" ca="1" si="16"/>
        <v/>
      </c>
      <c r="J183" s="65" t="str">
        <f t="array" aca="1" ref="J183" ca="1">IF(H183=1,MATCH(1,(OFFSET(Data!$DY$1:$IB$1,B183-1,0))*(Data!$DY$90:$IB$90=C183),0),"")</f>
        <v/>
      </c>
      <c r="K183" s="65" t="str">
        <f t="shared" ca="1" si="18"/>
        <v/>
      </c>
      <c r="L183" s="65" t="str">
        <f ca="1">IF(H183=1,INDEX(Data!$DT$91:$DT$190,MATCH(I183,OFFSET(Data!$DX$91:$DX$190,0,Specials!J183),0))&amp;" / "&amp;OFFSET(Data!$DX$89,0,Specials!J183),"")</f>
        <v/>
      </c>
      <c r="M183" s="65" t="s">
        <v>254</v>
      </c>
      <c r="N183" s="65" t="s">
        <v>255</v>
      </c>
      <c r="O183" s="65">
        <f t="shared" ca="1" si="12"/>
        <v>6</v>
      </c>
      <c r="P183" s="65" t="str">
        <f t="shared" ca="1" si="17"/>
        <v/>
      </c>
    </row>
    <row r="184" spans="1:16" s="65" customFormat="1" hidden="1" x14ac:dyDescent="0.25">
      <c r="A184" s="289" t="s">
        <v>102</v>
      </c>
      <c r="B184" s="294">
        <f>MATCH(A184,Data!$DT:$DT,0)</f>
        <v>12</v>
      </c>
      <c r="C184" s="65">
        <f>INDEX(Parameter!$9:$9,,MATCH(11,Parameter!$8:$8,0))</f>
        <v>11</v>
      </c>
      <c r="D184" s="65">
        <f>INDEX(Parameter!$B$10:$AB$10,MATCH(C184,Parameter!$B$9:$AB$9,0))</f>
        <v>4</v>
      </c>
      <c r="H184" s="65">
        <f ca="1">INDEX(OFFSET(Data!$CS$1:$DS$1,B184-1,0),MATCH("Total/"&amp;C184,Data!$CS$1:$DS$1,0))</f>
        <v>33</v>
      </c>
      <c r="I184" s="65" t="str">
        <f t="shared" ca="1" si="16"/>
        <v/>
      </c>
      <c r="J184" s="65" t="str">
        <f t="array" aca="1" ref="J184" ca="1">IF(H184=1,MATCH(1,(OFFSET(Data!$DY$1:$IB$1,B184-1,0))*(Data!$DY$90:$IB$90=C184),0),"")</f>
        <v/>
      </c>
      <c r="K184" s="65" t="str">
        <f t="shared" ca="1" si="18"/>
        <v/>
      </c>
      <c r="L184" s="65" t="str">
        <f ca="1">IF(H184=1,INDEX(Data!$DT$91:$DT$190,MATCH(I184,OFFSET(Data!$DX$91:$DX$190,0,Specials!J184),0))&amp;" / "&amp;OFFSET(Data!$DX$89,0,Specials!J184),"")</f>
        <v/>
      </c>
      <c r="M184" s="65" t="s">
        <v>254</v>
      </c>
      <c r="N184" s="65" t="s">
        <v>255</v>
      </c>
      <c r="O184" s="65">
        <f t="shared" ca="1" si="12"/>
        <v>6</v>
      </c>
      <c r="P184" s="65" t="str">
        <f t="shared" ca="1" si="17"/>
        <v/>
      </c>
    </row>
    <row r="185" spans="1:16" s="65" customFormat="1" hidden="1" x14ac:dyDescent="0.25">
      <c r="A185" s="289" t="s">
        <v>102</v>
      </c>
      <c r="B185" s="294">
        <f>MATCH(A185,Data!$DT:$DT,0)</f>
        <v>12</v>
      </c>
      <c r="C185" s="65" t="str">
        <f>INDEX(Parameter!$9:$9,,MATCH(12,Parameter!$8:$8,0))</f>
        <v>11b</v>
      </c>
      <c r="D185" s="65">
        <f>INDEX(Parameter!$B$10:$AB$10,MATCH(C185,Parameter!$B$9:$AB$9,0))</f>
        <v>3</v>
      </c>
      <c r="H185" s="65">
        <f ca="1">INDEX(OFFSET(Data!$CS$1:$DS$1,B185-1,0),MATCH("Total/"&amp;C185,Data!$CS$1:$DS$1,0))</f>
        <v>22</v>
      </c>
      <c r="I185" s="65" t="str">
        <f t="shared" ca="1" si="16"/>
        <v/>
      </c>
      <c r="J185" s="65" t="str">
        <f t="array" aca="1" ref="J185" ca="1">IF(H185=1,MATCH(1,(OFFSET(Data!$DY$1:$IB$1,B185-1,0))*(Data!$DY$90:$IB$90=C185),0),"")</f>
        <v/>
      </c>
      <c r="K185" s="65" t="str">
        <f t="shared" ca="1" si="18"/>
        <v/>
      </c>
      <c r="L185" s="65" t="str">
        <f ca="1">IF(H185=1,INDEX(Data!$DT$91:$DT$190,MATCH(I185,OFFSET(Data!$DX$91:$DX$190,0,Specials!J185),0))&amp;" / "&amp;OFFSET(Data!$DX$89,0,Specials!J185),"")</f>
        <v/>
      </c>
      <c r="M185" s="65" t="s">
        <v>254</v>
      </c>
      <c r="N185" s="65" t="s">
        <v>255</v>
      </c>
      <c r="O185" s="65">
        <f t="shared" ca="1" si="12"/>
        <v>6</v>
      </c>
      <c r="P185" s="65" t="str">
        <f t="shared" ca="1" si="17"/>
        <v/>
      </c>
    </row>
    <row r="186" spans="1:16" s="65" customFormat="1" hidden="1" x14ac:dyDescent="0.25">
      <c r="A186" s="289" t="s">
        <v>102</v>
      </c>
      <c r="B186" s="294">
        <f>MATCH(A186,Data!$DT:$DT,0)</f>
        <v>12</v>
      </c>
      <c r="C186" s="65">
        <f>INDEX(Parameter!$9:$9,,MATCH(13,Parameter!$8:$8,0))</f>
        <v>12</v>
      </c>
      <c r="D186" s="65">
        <f>INDEX(Parameter!$B$10:$AB$10,MATCH(C186,Parameter!$B$9:$AB$9,0))</f>
        <v>3</v>
      </c>
      <c r="H186" s="65">
        <f ca="1">INDEX(OFFSET(Data!$CS$1:$DS$1,B186-1,0),MATCH("Total/"&amp;C186,Data!$CS$1:$DS$1,0))</f>
        <v>7</v>
      </c>
      <c r="I186" s="65" t="str">
        <f t="shared" ca="1" si="16"/>
        <v/>
      </c>
      <c r="J186" s="65" t="str">
        <f t="array" aca="1" ref="J186" ca="1">IF(H186=1,MATCH(1,(OFFSET(Data!$DY$1:$IB$1,B186-1,0))*(Data!$DY$90:$IB$90=C186),0),"")</f>
        <v/>
      </c>
      <c r="K186" s="65" t="str">
        <f t="shared" ca="1" si="18"/>
        <v/>
      </c>
      <c r="L186" s="65" t="str">
        <f ca="1">IF(H186=1,INDEX(Data!$DT$91:$DT$190,MATCH(I186,OFFSET(Data!$DX$91:$DX$190,0,Specials!J186),0))&amp;" / "&amp;OFFSET(Data!$DX$89,0,Specials!J186),"")</f>
        <v/>
      </c>
      <c r="M186" s="65" t="s">
        <v>254</v>
      </c>
      <c r="N186" s="65" t="s">
        <v>255</v>
      </c>
      <c r="O186" s="65">
        <f t="shared" ca="1" si="12"/>
        <v>6</v>
      </c>
      <c r="P186" s="65" t="str">
        <f t="shared" ca="1" si="17"/>
        <v/>
      </c>
    </row>
    <row r="187" spans="1:16" s="65" customFormat="1" hidden="1" x14ac:dyDescent="0.25">
      <c r="A187" s="289" t="s">
        <v>102</v>
      </c>
      <c r="B187" s="294">
        <f>MATCH(A187,Data!$DT:$DT,0)</f>
        <v>12</v>
      </c>
      <c r="C187" s="65">
        <f>INDEX(Parameter!$9:$9,,MATCH(14,Parameter!$8:$8,0))</f>
        <v>13</v>
      </c>
      <c r="D187" s="65">
        <f>INDEX(Parameter!$B$10:$AB$10,MATCH(C187,Parameter!$B$9:$AB$9,0))</f>
        <v>3</v>
      </c>
      <c r="H187" s="65">
        <f ca="1">INDEX(OFFSET(Data!$CS$1:$DS$1,B187-1,0),MATCH("Total/"&amp;C187,Data!$CS$1:$DS$1,0))</f>
        <v>9</v>
      </c>
      <c r="I187" s="65" t="str">
        <f t="shared" ca="1" si="16"/>
        <v/>
      </c>
      <c r="J187" s="65" t="str">
        <f t="array" aca="1" ref="J187" ca="1">IF(H187=1,MATCH(1,(OFFSET(Data!$DY$1:$IB$1,B187-1,0))*(Data!$DY$90:$IB$90=C187),0),"")</f>
        <v/>
      </c>
      <c r="K187" s="65" t="str">
        <f t="shared" ca="1" si="18"/>
        <v/>
      </c>
      <c r="L187" s="65" t="str">
        <f ca="1">IF(H187=1,INDEX(Data!$DT$91:$DT$190,MATCH(I187,OFFSET(Data!$DX$91:$DX$190,0,Specials!J187),0))&amp;" / "&amp;OFFSET(Data!$DX$89,0,Specials!J187),"")</f>
        <v/>
      </c>
      <c r="M187" s="65" t="s">
        <v>254</v>
      </c>
      <c r="N187" s="65" t="s">
        <v>255</v>
      </c>
      <c r="O187" s="65">
        <f t="shared" ca="1" si="12"/>
        <v>6</v>
      </c>
      <c r="P187" s="65" t="str">
        <f t="shared" ca="1" si="17"/>
        <v/>
      </c>
    </row>
    <row r="188" spans="1:16" s="65" customFormat="1" hidden="1" x14ac:dyDescent="0.25">
      <c r="A188" s="289" t="s">
        <v>102</v>
      </c>
      <c r="B188" s="294">
        <f>MATCH(A188,Data!$DT:$DT,0)</f>
        <v>12</v>
      </c>
      <c r="C188" s="65">
        <f>INDEX(Parameter!$9:$9,,MATCH(15,Parameter!$8:$8,0))</f>
        <v>14</v>
      </c>
      <c r="D188" s="65">
        <f>INDEX(Parameter!$B$10:$AB$10,MATCH(C188,Parameter!$B$9:$AB$9,0))</f>
        <v>3</v>
      </c>
      <c r="H188" s="65">
        <f ca="1">INDEX(OFFSET(Data!$CS$1:$DS$1,B188-1,0),MATCH("Total/"&amp;C188,Data!$CS$1:$DS$1,0))</f>
        <v>18</v>
      </c>
      <c r="I188" s="65" t="str">
        <f t="shared" ca="1" si="16"/>
        <v/>
      </c>
      <c r="J188" s="65" t="str">
        <f t="array" aca="1" ref="J188" ca="1">IF(H188=1,MATCH(1,(OFFSET(Data!$DY$1:$IB$1,B188-1,0))*(Data!$DY$90:$IB$90=C188),0),"")</f>
        <v/>
      </c>
      <c r="K188" s="65" t="str">
        <f t="shared" ca="1" si="18"/>
        <v/>
      </c>
      <c r="L188" s="65" t="str">
        <f ca="1">IF(H188=1,INDEX(Data!$DT$91:$DT$190,MATCH(I188,OFFSET(Data!$DX$91:$DX$190,0,Specials!J188),0))&amp;" / "&amp;OFFSET(Data!$DX$89,0,Specials!J188),"")</f>
        <v/>
      </c>
      <c r="M188" s="65" t="s">
        <v>254</v>
      </c>
      <c r="N188" s="65" t="s">
        <v>255</v>
      </c>
      <c r="O188" s="65">
        <f t="shared" ca="1" si="12"/>
        <v>6</v>
      </c>
      <c r="P188" s="65" t="str">
        <f t="shared" ca="1" si="17"/>
        <v/>
      </c>
    </row>
    <row r="189" spans="1:16" s="65" customFormat="1" hidden="1" x14ac:dyDescent="0.25">
      <c r="A189" s="289" t="s">
        <v>102</v>
      </c>
      <c r="B189" s="294">
        <f>MATCH(A189,Data!$DT:$DT,0)</f>
        <v>12</v>
      </c>
      <c r="C189" s="65">
        <f>INDEX(Parameter!$9:$9,,MATCH(16,Parameter!$8:$8,0))</f>
        <v>15</v>
      </c>
      <c r="D189" s="65">
        <f>INDEX(Parameter!$B$10:$AB$10,MATCH(C189,Parameter!$B$9:$AB$9,0))</f>
        <v>3</v>
      </c>
      <c r="H189" s="65">
        <f ca="1">INDEX(OFFSET(Data!$CS$1:$DS$1,B189-1,0),MATCH("Total/"&amp;C189,Data!$CS$1:$DS$1,0))</f>
        <v>5</v>
      </c>
      <c r="I189" s="65" t="str">
        <f t="shared" ca="1" si="16"/>
        <v/>
      </c>
      <c r="J189" s="65" t="str">
        <f t="array" aca="1" ref="J189" ca="1">IF(H189=1,MATCH(1,(OFFSET(Data!$DY$1:$IB$1,B189-1,0))*(Data!$DY$90:$IB$90=C189),0),"")</f>
        <v/>
      </c>
      <c r="K189" s="65" t="str">
        <f t="shared" ca="1" si="18"/>
        <v/>
      </c>
      <c r="L189" s="65" t="str">
        <f ca="1">IF(H189=1,INDEX(Data!$DT$91:$DT$190,MATCH(I189,OFFSET(Data!$DX$91:$DX$190,0,Specials!J189),0))&amp;" / "&amp;OFFSET(Data!$DX$89,0,Specials!J189),"")</f>
        <v/>
      </c>
      <c r="M189" s="65" t="s">
        <v>254</v>
      </c>
      <c r="N189" s="65" t="s">
        <v>255</v>
      </c>
      <c r="O189" s="65">
        <f t="shared" ca="1" si="12"/>
        <v>6</v>
      </c>
      <c r="P189" s="65" t="str">
        <f t="shared" ca="1" si="17"/>
        <v/>
      </c>
    </row>
    <row r="190" spans="1:16" s="65" customFormat="1" hidden="1" x14ac:dyDescent="0.25">
      <c r="A190" s="289" t="s">
        <v>102</v>
      </c>
      <c r="B190" s="294">
        <f>MATCH(A190,Data!$DT:$DT,0)</f>
        <v>12</v>
      </c>
      <c r="C190" s="65">
        <f>INDEX(Parameter!$9:$9,,MATCH(17,Parameter!$8:$8,0))</f>
        <v>16</v>
      </c>
      <c r="D190" s="65">
        <f>INDEX(Parameter!$B$10:$AB$10,MATCH(C190,Parameter!$B$9:$AB$9,0))</f>
        <v>3</v>
      </c>
      <c r="H190" s="65">
        <f ca="1">INDEX(OFFSET(Data!$CS$1:$DS$1,B190-1,0),MATCH("Total/"&amp;C190,Data!$CS$1:$DS$1,0))</f>
        <v>6</v>
      </c>
      <c r="I190" s="65" t="str">
        <f t="shared" ca="1" si="16"/>
        <v/>
      </c>
      <c r="J190" s="65" t="str">
        <f t="array" aca="1" ref="J190" ca="1">IF(H190=1,MATCH(1,(OFFSET(Data!$DY$1:$IB$1,B190-1,0))*(Data!$DY$90:$IB$90=C190),0),"")</f>
        <v/>
      </c>
      <c r="K190" s="65" t="str">
        <f t="shared" ca="1" si="18"/>
        <v/>
      </c>
      <c r="L190" s="65" t="str">
        <f ca="1">IF(H190=1,INDEX(Data!$DT$91:$DT$190,MATCH(I190,OFFSET(Data!$DX$91:$DX$190,0,Specials!J190),0))&amp;" / "&amp;OFFSET(Data!$DX$89,0,Specials!J190),"")</f>
        <v/>
      </c>
      <c r="M190" s="65" t="s">
        <v>254</v>
      </c>
      <c r="N190" s="65" t="s">
        <v>255</v>
      </c>
      <c r="O190" s="65">
        <f t="shared" ca="1" si="12"/>
        <v>6</v>
      </c>
      <c r="P190" s="65" t="str">
        <f t="shared" ca="1" si="17"/>
        <v/>
      </c>
    </row>
    <row r="191" spans="1:16" s="65" customFormat="1" hidden="1" x14ac:dyDescent="0.25">
      <c r="A191" s="289" t="s">
        <v>102</v>
      </c>
      <c r="B191" s="294">
        <f>MATCH(A191,Data!$DT:$DT,0)</f>
        <v>12</v>
      </c>
      <c r="C191" s="65">
        <f>INDEX(Parameter!$9:$9,,MATCH(18,Parameter!$8:$8,0))</f>
        <v>17</v>
      </c>
      <c r="D191" s="65">
        <f>INDEX(Parameter!$B$10:$AB$10,MATCH(C191,Parameter!$B$9:$AB$9,0))</f>
        <v>3</v>
      </c>
      <c r="H191" s="65">
        <f ca="1">INDEX(OFFSET(Data!$CS$1:$DS$1,B191-1,0),MATCH("Total/"&amp;C191,Data!$CS$1:$DS$1,0))</f>
        <v>18</v>
      </c>
      <c r="I191" s="65" t="str">
        <f t="shared" ca="1" si="16"/>
        <v/>
      </c>
      <c r="J191" s="65" t="str">
        <f t="array" aca="1" ref="J191" ca="1">IF(H191=1,MATCH(1,(OFFSET(Data!$DY$1:$IB$1,B191-1,0))*(Data!$DY$90:$IB$90=C191),0),"")</f>
        <v/>
      </c>
      <c r="K191" s="65" t="str">
        <f t="shared" ca="1" si="18"/>
        <v/>
      </c>
      <c r="L191" s="65" t="str">
        <f ca="1">IF(H191=1,INDEX(Data!$DT$91:$DT$190,MATCH(I191,OFFSET(Data!$DX$91:$DX$190,0,Specials!J191),0))&amp;" / "&amp;OFFSET(Data!$DX$89,0,Specials!J191),"")</f>
        <v/>
      </c>
      <c r="M191" s="65" t="s">
        <v>254</v>
      </c>
      <c r="N191" s="65" t="s">
        <v>255</v>
      </c>
      <c r="O191" s="65">
        <f t="shared" ca="1" si="12"/>
        <v>6</v>
      </c>
      <c r="P191" s="65" t="str">
        <f t="shared" ca="1" si="17"/>
        <v/>
      </c>
    </row>
    <row r="192" spans="1:16" s="65" customFormat="1" hidden="1" x14ac:dyDescent="0.25">
      <c r="A192" s="289" t="s">
        <v>102</v>
      </c>
      <c r="B192" s="294">
        <f>MATCH(A192,Data!$DT:$DT,0)</f>
        <v>12</v>
      </c>
      <c r="C192" s="65">
        <f>INDEX(Parameter!$9:$9,,MATCH(19,Parameter!$8:$8,0))</f>
        <v>18</v>
      </c>
      <c r="D192" s="65">
        <f>INDEX(Parameter!$B$10:$AB$10,MATCH(C192,Parameter!$B$9:$AB$9,0))</f>
        <v>3</v>
      </c>
      <c r="H192" s="65">
        <f ca="1">INDEX(OFFSET(Data!$CS$1:$DS$1,B192-1,0),MATCH("Total/"&amp;C192,Data!$CS$1:$DS$1,0))</f>
        <v>10</v>
      </c>
      <c r="I192" s="65" t="str">
        <f t="shared" ca="1" si="16"/>
        <v/>
      </c>
      <c r="J192" s="65" t="str">
        <f t="array" aca="1" ref="J192" ca="1">IF(H192=1,MATCH(1,(OFFSET(Data!$DY$1:$IB$1,B192-1,0))*(Data!$DY$90:$IB$90=C192),0),"")</f>
        <v/>
      </c>
      <c r="K192" s="65" t="str">
        <f t="shared" ca="1" si="18"/>
        <v/>
      </c>
      <c r="L192" s="65" t="str">
        <f ca="1">IF(H192=1,INDEX(Data!$DT$91:$DT$190,MATCH(I192,OFFSET(Data!$DX$91:$DX$190,0,Specials!J192),0))&amp;" / "&amp;OFFSET(Data!$DX$89,0,Specials!J192),"")</f>
        <v/>
      </c>
      <c r="M192" s="65" t="s">
        <v>254</v>
      </c>
      <c r="N192" s="65" t="s">
        <v>255</v>
      </c>
      <c r="O192" s="65">
        <f t="shared" ca="1" si="12"/>
        <v>6</v>
      </c>
      <c r="P192" s="65" t="str">
        <f t="shared" ca="1" si="17"/>
        <v/>
      </c>
    </row>
    <row r="193" spans="1:16" s="65" customFormat="1" hidden="1" x14ac:dyDescent="0.25">
      <c r="A193" s="289" t="s">
        <v>102</v>
      </c>
      <c r="B193" s="294">
        <f>MATCH(A193,Data!$DT:$DT,0)</f>
        <v>12</v>
      </c>
      <c r="C193" s="65">
        <f>INDEX(Parameter!$9:$9,,MATCH(20,Parameter!$8:$8,0))</f>
        <v>20</v>
      </c>
      <c r="D193" s="65" t="str">
        <f>INDEX(Parameter!$B$10:$AB$10,MATCH(C193,Parameter!$B$9:$AB$9,0))</f>
        <v>no</v>
      </c>
      <c r="H193" s="65">
        <f ca="1">INDEX(OFFSET(Data!$CS$1:$DS$1,B193-1,0),MATCH("Total/"&amp;C193,Data!$CS$1:$DS$1,0))</f>
        <v>0</v>
      </c>
      <c r="I193" s="65" t="str">
        <f t="shared" ca="1" si="16"/>
        <v/>
      </c>
      <c r="J193" s="65" t="str">
        <f t="array" aca="1" ref="J193" ca="1">IF(H193=1,MATCH(1,(OFFSET(Data!$DY$1:$IB$1,B193-1,0))*(Data!$DY$90:$IB$90=C193),0),"")</f>
        <v/>
      </c>
      <c r="K193" s="65" t="str">
        <f t="shared" ca="1" si="18"/>
        <v/>
      </c>
      <c r="L193" s="65" t="str">
        <f ca="1">IF(H193=1,INDEX(Data!$DT$91:$DT$190,MATCH(I193,OFFSET(Data!$DX$91:$DX$190,0,Specials!J193),0))&amp;" / "&amp;OFFSET(Data!$DX$89,0,Specials!J193),"")</f>
        <v/>
      </c>
      <c r="M193" s="65" t="s">
        <v>254</v>
      </c>
      <c r="N193" s="65" t="s">
        <v>255</v>
      </c>
      <c r="O193" s="65">
        <f t="shared" ca="1" si="12"/>
        <v>6</v>
      </c>
      <c r="P193" s="65" t="str">
        <f t="shared" ca="1" si="17"/>
        <v/>
      </c>
    </row>
    <row r="194" spans="1:16" s="65" customFormat="1" hidden="1" x14ac:dyDescent="0.25">
      <c r="A194" s="289" t="s">
        <v>102</v>
      </c>
      <c r="B194" s="294">
        <f>MATCH(A194,Data!$DT:$DT,0)</f>
        <v>12</v>
      </c>
      <c r="C194" s="65">
        <f>INDEX(Parameter!$9:$9,,MATCH(21,Parameter!$8:$8,0))</f>
        <v>21</v>
      </c>
      <c r="D194" s="65" t="str">
        <f>INDEX(Parameter!$B$10:$AB$10,MATCH(C194,Parameter!$B$9:$AB$9,0))</f>
        <v>no</v>
      </c>
      <c r="H194" s="65">
        <f ca="1">INDEX(OFFSET(Data!$CS$1:$DS$1,B194-1,0),MATCH("Total/"&amp;C194,Data!$CS$1:$DS$1,0))</f>
        <v>0</v>
      </c>
      <c r="I194" s="65" t="str">
        <f t="shared" ca="1" si="16"/>
        <v/>
      </c>
      <c r="J194" s="65" t="str">
        <f t="array" aca="1" ref="J194" ca="1">IF(H194=1,MATCH(1,(OFFSET(Data!$DY$1:$IB$1,B194-1,0))*(Data!$DY$90:$IB$90=C194),0),"")</f>
        <v/>
      </c>
      <c r="K194" s="65" t="str">
        <f t="shared" ca="1" si="18"/>
        <v/>
      </c>
      <c r="L194" s="65" t="str">
        <f ca="1">IF(H194=1,INDEX(Data!$DT$91:$DT$190,MATCH(I194,OFFSET(Data!$DX$91:$DX$190,0,Specials!J194),0))&amp;" / "&amp;OFFSET(Data!$DX$89,0,Specials!J194),"")</f>
        <v/>
      </c>
      <c r="M194" s="65" t="s">
        <v>254</v>
      </c>
      <c r="N194" s="65" t="s">
        <v>255</v>
      </c>
      <c r="O194" s="65">
        <f t="shared" ca="1" si="12"/>
        <v>6</v>
      </c>
      <c r="P194" s="65" t="str">
        <f t="shared" ca="1" si="17"/>
        <v/>
      </c>
    </row>
    <row r="195" spans="1:16" s="65" customFormat="1" hidden="1" x14ac:dyDescent="0.25">
      <c r="A195" s="289" t="s">
        <v>102</v>
      </c>
      <c r="B195" s="294">
        <f>MATCH(A195,Data!$DT:$DT,0)</f>
        <v>12</v>
      </c>
      <c r="C195" s="65">
        <f>INDEX(Parameter!$9:$9,,MATCH(22,Parameter!$8:$8,0))</f>
        <v>22</v>
      </c>
      <c r="D195" s="65" t="str">
        <f>INDEX(Parameter!$B$10:$AB$10,MATCH(C195,Parameter!$B$9:$AB$9,0))</f>
        <v>no</v>
      </c>
      <c r="H195" s="65">
        <f ca="1">INDEX(OFFSET(Data!$CS$1:$DS$1,B195-1,0),MATCH("Total/"&amp;C195,Data!$CS$1:$DS$1,0))</f>
        <v>0</v>
      </c>
      <c r="I195" s="65" t="str">
        <f t="shared" ca="1" si="16"/>
        <v/>
      </c>
      <c r="J195" s="65" t="str">
        <f t="array" aca="1" ref="J195" ca="1">IF(H195=1,MATCH(1,(OFFSET(Data!$DY$1:$IB$1,B195-1,0))*(Data!$DY$90:$IB$90=C195),0),"")</f>
        <v/>
      </c>
      <c r="K195" s="65" t="str">
        <f t="shared" ca="1" si="18"/>
        <v/>
      </c>
      <c r="L195" s="65" t="str">
        <f ca="1">IF(H195=1,INDEX(Data!$DT$91:$DT$190,MATCH(I195,OFFSET(Data!$DX$91:$DX$190,0,Specials!J195),0))&amp;" / "&amp;OFFSET(Data!$DX$89,0,Specials!J195),"")</f>
        <v/>
      </c>
      <c r="M195" s="65" t="s">
        <v>254</v>
      </c>
      <c r="N195" s="65" t="s">
        <v>255</v>
      </c>
      <c r="O195" s="65">
        <f t="shared" ca="1" si="12"/>
        <v>6</v>
      </c>
      <c r="P195" s="65" t="str">
        <f t="shared" ca="1" si="17"/>
        <v/>
      </c>
    </row>
    <row r="196" spans="1:16" s="65" customFormat="1" hidden="1" x14ac:dyDescent="0.25">
      <c r="A196" s="289" t="s">
        <v>102</v>
      </c>
      <c r="B196" s="294">
        <f>MATCH(A196,Data!$DT:$DT,0)</f>
        <v>12</v>
      </c>
      <c r="C196" s="65">
        <f>INDEX(Parameter!$9:$9,,MATCH(23,Parameter!$8:$8,0))</f>
        <v>23</v>
      </c>
      <c r="D196" s="65" t="str">
        <f>INDEX(Parameter!$B$10:$AB$10,MATCH(C196,Parameter!$B$9:$AB$9,0))</f>
        <v>no</v>
      </c>
      <c r="H196" s="65">
        <f ca="1">INDEX(OFFSET(Data!$CS$1:$DS$1,B196-1,0),MATCH("Total/"&amp;C196,Data!$CS$1:$DS$1,0))</f>
        <v>0</v>
      </c>
      <c r="I196" s="65" t="str">
        <f t="shared" ca="1" si="16"/>
        <v/>
      </c>
      <c r="J196" s="65" t="str">
        <f t="array" aca="1" ref="J196" ca="1">IF(H196=1,MATCH(1,(OFFSET(Data!$DY$1:$IB$1,B196-1,0))*(Data!$DY$90:$IB$90=C196),0),"")</f>
        <v/>
      </c>
      <c r="K196" s="65" t="str">
        <f t="shared" ca="1" si="18"/>
        <v/>
      </c>
      <c r="L196" s="65" t="str">
        <f ca="1">IF(H196=1,INDEX(Data!$DT$91:$DT$190,MATCH(I196,OFFSET(Data!$DX$91:$DX$190,0,Specials!J196),0))&amp;" / "&amp;OFFSET(Data!$DX$89,0,Specials!J196),"")</f>
        <v/>
      </c>
      <c r="M196" s="65" t="s">
        <v>254</v>
      </c>
      <c r="N196" s="65" t="s">
        <v>255</v>
      </c>
      <c r="O196" s="65">
        <f t="shared" ref="O196:O259" ca="1" si="19">IF(AND($P196&lt;&gt;"",$N196="yes"),O195+1,O195)</f>
        <v>6</v>
      </c>
      <c r="P196" s="65" t="str">
        <f t="shared" ca="1" si="17"/>
        <v/>
      </c>
    </row>
    <row r="197" spans="1:16" s="65" customFormat="1" hidden="1" x14ac:dyDescent="0.25">
      <c r="A197" s="289" t="s">
        <v>102</v>
      </c>
      <c r="B197" s="294">
        <f>MATCH(A197,Data!$DT:$DT,0)</f>
        <v>12</v>
      </c>
      <c r="C197" s="65">
        <f>INDEX(Parameter!$9:$9,,MATCH(24,Parameter!$8:$8,0))</f>
        <v>24</v>
      </c>
      <c r="D197" s="65" t="str">
        <f>INDEX(Parameter!$B$10:$AB$10,MATCH(C197,Parameter!$B$9:$AB$9,0))</f>
        <v>no</v>
      </c>
      <c r="H197" s="65">
        <f ca="1">INDEX(OFFSET(Data!$CS$1:$DS$1,B197-1,0),MATCH("Total/"&amp;C197,Data!$CS$1:$DS$1,0))</f>
        <v>0</v>
      </c>
      <c r="I197" s="65" t="str">
        <f t="shared" ca="1" si="16"/>
        <v/>
      </c>
      <c r="J197" s="65" t="str">
        <f t="array" aca="1" ref="J197" ca="1">IF(H197=1,MATCH(1,(OFFSET(Data!$DY$1:$IB$1,B197-1,0))*(Data!$DY$90:$IB$90=C197),0),"")</f>
        <v/>
      </c>
      <c r="K197" s="65" t="str">
        <f t="shared" ca="1" si="18"/>
        <v/>
      </c>
      <c r="L197" s="65" t="str">
        <f ca="1">IF(H197=1,INDEX(Data!$DT$91:$DT$190,MATCH(I197,OFFSET(Data!$DX$91:$DX$190,0,Specials!J197),0))&amp;" / "&amp;OFFSET(Data!$DX$89,0,Specials!J197),"")</f>
        <v/>
      </c>
      <c r="M197" s="65" t="s">
        <v>254</v>
      </c>
      <c r="N197" s="65" t="s">
        <v>255</v>
      </c>
      <c r="O197" s="65">
        <f t="shared" ca="1" si="19"/>
        <v>6</v>
      </c>
      <c r="P197" s="65" t="str">
        <f t="shared" ca="1" si="17"/>
        <v/>
      </c>
    </row>
    <row r="198" spans="1:16" s="65" customFormat="1" hidden="1" x14ac:dyDescent="0.25">
      <c r="A198" s="289" t="s">
        <v>102</v>
      </c>
      <c r="B198" s="294">
        <f>MATCH(A198,Data!$DT:$DT,0)</f>
        <v>12</v>
      </c>
      <c r="C198" s="65">
        <f>INDEX(Parameter!$9:$9,,MATCH(25,Parameter!$8:$8,0))</f>
        <v>25</v>
      </c>
      <c r="D198" s="65" t="str">
        <f>INDEX(Parameter!$B$10:$AB$10,MATCH(C198,Parameter!$B$9:$AB$9,0))</f>
        <v>no</v>
      </c>
      <c r="H198" s="65">
        <f ca="1">INDEX(OFFSET(Data!$CS$1:$DS$1,B198-1,0),MATCH("Total/"&amp;C198,Data!$CS$1:$DS$1,0))</f>
        <v>0</v>
      </c>
      <c r="I198" s="65" t="str">
        <f t="shared" ca="1" si="16"/>
        <v/>
      </c>
      <c r="J198" s="65" t="str">
        <f t="array" aca="1" ref="J198" ca="1">IF(H198=1,MATCH(1,(OFFSET(Data!$DY$1:$IB$1,B198-1,0))*(Data!$DY$90:$IB$90=C198),0),"")</f>
        <v/>
      </c>
      <c r="K198" s="65" t="str">
        <f t="shared" ca="1" si="18"/>
        <v/>
      </c>
      <c r="L198" s="65" t="str">
        <f ca="1">IF(H198=1,INDEX(Data!$DT$91:$DT$190,MATCH(I198,OFFSET(Data!$DX$91:$DX$190,0,Specials!J198),0))&amp;" / "&amp;OFFSET(Data!$DX$89,0,Specials!J198),"")</f>
        <v/>
      </c>
      <c r="M198" s="65" t="s">
        <v>254</v>
      </c>
      <c r="N198" s="65" t="s">
        <v>255</v>
      </c>
      <c r="O198" s="65">
        <f t="shared" ca="1" si="19"/>
        <v>6</v>
      </c>
      <c r="P198" s="65" t="str">
        <f t="shared" ca="1" si="17"/>
        <v/>
      </c>
    </row>
    <row r="199" spans="1:16" s="65" customFormat="1" hidden="1" x14ac:dyDescent="0.25">
      <c r="A199" s="289" t="s">
        <v>102</v>
      </c>
      <c r="B199" s="294">
        <f>MATCH(A199,Data!$DT:$DT,0)</f>
        <v>12</v>
      </c>
      <c r="C199" s="65">
        <f>INDEX(Parameter!$9:$9,,MATCH(26,Parameter!$8:$8,0))</f>
        <v>26</v>
      </c>
      <c r="D199" s="65" t="str">
        <f>INDEX(Parameter!$B$10:$AB$10,MATCH(C199,Parameter!$B$9:$AB$9,0))</f>
        <v>no</v>
      </c>
      <c r="H199" s="65">
        <f ca="1">INDEX(OFFSET(Data!$CS$1:$DS$1,B199-1,0),MATCH("Total/"&amp;C199,Data!$CS$1:$DS$1,0))</f>
        <v>0</v>
      </c>
      <c r="I199" s="65" t="str">
        <f t="shared" ca="1" si="16"/>
        <v/>
      </c>
      <c r="J199" s="65" t="str">
        <f t="array" aca="1" ref="J199" ca="1">IF(H199=1,MATCH(1,(OFFSET(Data!$DY$1:$IB$1,B199-1,0))*(Data!$DY$90:$IB$90=C199),0),"")</f>
        <v/>
      </c>
      <c r="K199" s="65" t="str">
        <f t="shared" ca="1" si="18"/>
        <v/>
      </c>
      <c r="L199" s="65" t="str">
        <f ca="1">IF(H199=1,INDEX(Data!$DT$91:$DT$190,MATCH(I199,OFFSET(Data!$DX$91:$DX$190,0,Specials!J199),0))&amp;" / "&amp;OFFSET(Data!$DX$89,0,Specials!J199),"")</f>
        <v/>
      </c>
      <c r="M199" s="65" t="s">
        <v>254</v>
      </c>
      <c r="N199" s="65" t="s">
        <v>255</v>
      </c>
      <c r="O199" s="65">
        <f t="shared" ca="1" si="19"/>
        <v>6</v>
      </c>
      <c r="P199" s="65" t="str">
        <f t="shared" ca="1" si="17"/>
        <v/>
      </c>
    </row>
    <row r="200" spans="1:16" s="65" customFormat="1" hidden="1" x14ac:dyDescent="0.25">
      <c r="A200" s="289" t="s">
        <v>102</v>
      </c>
      <c r="B200" s="294">
        <f>MATCH(A200,Data!$DT:$DT,0)</f>
        <v>12</v>
      </c>
      <c r="C200" s="65">
        <f>INDEX(Parameter!$9:$9,,MATCH(27,Parameter!$8:$8,0))</f>
        <v>27</v>
      </c>
      <c r="D200" s="65" t="str">
        <f>INDEX(Parameter!$B$10:$AB$10,MATCH(C200,Parameter!$B$9:$AB$9,0))</f>
        <v>no</v>
      </c>
      <c r="H200" s="65">
        <f ca="1">INDEX(OFFSET(Data!$CS$1:$DS$1,B200-1,0),MATCH("Total/"&amp;C200,Data!$CS$1:$DS$1,0))</f>
        <v>0</v>
      </c>
      <c r="I200" s="65" t="str">
        <f t="shared" ca="1" si="16"/>
        <v/>
      </c>
      <c r="J200" s="65" t="str">
        <f t="array" aca="1" ref="J200" ca="1">IF(H200=1,MATCH(1,(OFFSET(Data!$DY$1:$IB$1,B200-1,0))*(Data!$DY$90:$IB$90=C200),0),"")</f>
        <v/>
      </c>
      <c r="K200" s="65" t="str">
        <f t="shared" ca="1" si="18"/>
        <v/>
      </c>
      <c r="L200" s="65" t="str">
        <f ca="1">IF(H200=1,INDEX(Data!$DT$91:$DT$190,MATCH(I200,OFFSET(Data!$DX$91:$DX$190,0,Specials!J200),0))&amp;" / "&amp;OFFSET(Data!$DX$89,0,Specials!J200),"")</f>
        <v/>
      </c>
      <c r="M200" s="65" t="s">
        <v>254</v>
      </c>
      <c r="N200" s="65" t="s">
        <v>255</v>
      </c>
      <c r="O200" s="65">
        <f t="shared" ca="1" si="19"/>
        <v>6</v>
      </c>
      <c r="P200" s="65" t="str">
        <f ca="1">IF(H200=1,"Only 1 Double-Bogey on hole "&amp;C200&amp;" (par "&amp;D200&amp;")","")</f>
        <v/>
      </c>
    </row>
    <row r="201" spans="1:16" s="65" customFormat="1" hidden="1" x14ac:dyDescent="0.25">
      <c r="A201" s="295" t="s">
        <v>376</v>
      </c>
      <c r="B201" s="294"/>
      <c r="K201" s="65" t="str">
        <f ca="1">K200</f>
        <v/>
      </c>
      <c r="L201" s="65" t="str">
        <f>""</f>
        <v/>
      </c>
      <c r="M201" s="65" t="s">
        <v>254</v>
      </c>
      <c r="N201" s="65" t="s">
        <v>255</v>
      </c>
      <c r="O201" s="65">
        <f t="shared" ca="1" si="19"/>
        <v>6</v>
      </c>
      <c r="P201" s="65" t="str">
        <f ca="1">IF(K201="","","No Double-Bogeys on hole(s) "&amp;K201)</f>
        <v/>
      </c>
    </row>
    <row r="202" spans="1:16" s="78" customFormat="1" ht="15" customHeight="1" x14ac:dyDescent="0.25">
      <c r="A202" s="317" t="s">
        <v>63</v>
      </c>
      <c r="B202" s="297" t="s">
        <v>258</v>
      </c>
      <c r="C202" s="78" t="s">
        <v>258</v>
      </c>
      <c r="D202" s="78" t="s">
        <v>224</v>
      </c>
      <c r="E202" s="78" t="s">
        <v>225</v>
      </c>
      <c r="F202" s="78" t="s">
        <v>225</v>
      </c>
      <c r="G202" s="78" t="s">
        <v>226</v>
      </c>
      <c r="H202" s="78" t="s">
        <v>226</v>
      </c>
      <c r="I202" s="78" t="s">
        <v>58</v>
      </c>
      <c r="J202" s="78" t="s">
        <v>374</v>
      </c>
      <c r="K202" s="78" t="s">
        <v>60</v>
      </c>
      <c r="L202" s="78" t="s">
        <v>102</v>
      </c>
      <c r="M202" s="78" t="s">
        <v>102</v>
      </c>
      <c r="N202" s="78" t="s">
        <v>103</v>
      </c>
      <c r="O202" s="78" t="s">
        <v>103</v>
      </c>
      <c r="P202" s="78" t="s">
        <v>104</v>
      </c>
    </row>
    <row r="203" spans="1:16" s="78" customFormat="1" x14ac:dyDescent="0.25">
      <c r="A203" s="317" t="s">
        <v>253</v>
      </c>
      <c r="B203" s="297" t="s">
        <v>258</v>
      </c>
      <c r="C203" s="78" t="s">
        <v>258</v>
      </c>
      <c r="D203" s="78" t="s">
        <v>224</v>
      </c>
      <c r="E203" s="78" t="s">
        <v>225</v>
      </c>
      <c r="F203" s="78" t="s">
        <v>225</v>
      </c>
      <c r="G203" s="78" t="s">
        <v>226</v>
      </c>
      <c r="H203" s="78" t="s">
        <v>226</v>
      </c>
      <c r="I203" s="78" t="s">
        <v>58</v>
      </c>
      <c r="J203" s="78" t="s">
        <v>60</v>
      </c>
      <c r="K203" s="78" t="s">
        <v>60</v>
      </c>
      <c r="L203" s="78" t="s">
        <v>102</v>
      </c>
      <c r="M203" s="78" t="s">
        <v>102</v>
      </c>
      <c r="N203" s="78" t="s">
        <v>103</v>
      </c>
      <c r="O203" s="78" t="s">
        <v>103</v>
      </c>
      <c r="P203" s="78" t="s">
        <v>104</v>
      </c>
    </row>
    <row r="204" spans="1:16" s="78" customFormat="1" x14ac:dyDescent="0.25">
      <c r="A204" s="317" t="s">
        <v>256</v>
      </c>
      <c r="B204" s="297" t="s">
        <v>258</v>
      </c>
      <c r="C204" s="78" t="s">
        <v>224</v>
      </c>
      <c r="D204" s="78" t="s">
        <v>224</v>
      </c>
      <c r="E204" s="78" t="s">
        <v>225</v>
      </c>
      <c r="F204" s="78" t="s">
        <v>225</v>
      </c>
      <c r="G204" s="78" t="s">
        <v>226</v>
      </c>
      <c r="H204" s="78" t="s">
        <v>226</v>
      </c>
      <c r="I204" s="78" t="s">
        <v>58</v>
      </c>
      <c r="J204" s="78" t="s">
        <v>60</v>
      </c>
      <c r="K204" s="78" t="s">
        <v>60</v>
      </c>
      <c r="L204" s="78" t="s">
        <v>102</v>
      </c>
      <c r="M204" s="78" t="s">
        <v>102</v>
      </c>
      <c r="N204" s="78" t="s">
        <v>103</v>
      </c>
      <c r="O204" s="78" t="s">
        <v>103</v>
      </c>
      <c r="P204" s="78" t="s">
        <v>104</v>
      </c>
    </row>
    <row r="205" spans="1:16" s="78" customFormat="1" x14ac:dyDescent="0.25">
      <c r="A205" s="317" t="s">
        <v>257</v>
      </c>
      <c r="B205" s="297" t="s">
        <v>258</v>
      </c>
      <c r="C205" s="78" t="s">
        <v>224</v>
      </c>
      <c r="D205" s="78" t="s">
        <v>224</v>
      </c>
      <c r="E205" s="78" t="s">
        <v>225</v>
      </c>
      <c r="F205" s="78" t="s">
        <v>225</v>
      </c>
      <c r="G205" s="78" t="s">
        <v>226</v>
      </c>
      <c r="H205" s="78" t="s">
        <v>226</v>
      </c>
      <c r="I205" s="78" t="s">
        <v>58</v>
      </c>
      <c r="J205" s="78" t="s">
        <v>60</v>
      </c>
      <c r="K205" s="78" t="s">
        <v>60</v>
      </c>
      <c r="L205" s="78" t="s">
        <v>102</v>
      </c>
      <c r="M205" s="78" t="s">
        <v>102</v>
      </c>
      <c r="N205" s="78" t="s">
        <v>103</v>
      </c>
      <c r="O205" s="78" t="s">
        <v>103</v>
      </c>
      <c r="P205" s="78" t="s">
        <v>104</v>
      </c>
    </row>
    <row r="206" spans="1:16" s="78" customFormat="1" x14ac:dyDescent="0.25">
      <c r="A206" s="317" t="s">
        <v>308</v>
      </c>
      <c r="B206" s="297" t="s">
        <v>258</v>
      </c>
      <c r="C206" s="78" t="s">
        <v>224</v>
      </c>
      <c r="D206" s="78" t="s">
        <v>224</v>
      </c>
      <c r="E206" s="78" t="s">
        <v>225</v>
      </c>
      <c r="F206" s="78" t="s">
        <v>225</v>
      </c>
      <c r="G206" s="78" t="s">
        <v>226</v>
      </c>
      <c r="H206" s="78" t="s">
        <v>373</v>
      </c>
      <c r="I206" s="78" t="s">
        <v>58</v>
      </c>
      <c r="J206" s="78" t="s">
        <v>60</v>
      </c>
      <c r="K206" s="78" t="s">
        <v>60</v>
      </c>
      <c r="L206" s="78" t="s">
        <v>102</v>
      </c>
      <c r="M206" s="78" t="s">
        <v>102</v>
      </c>
      <c r="N206" s="78" t="s">
        <v>103</v>
      </c>
      <c r="O206" s="78" t="s">
        <v>377</v>
      </c>
      <c r="P206" s="78" t="s">
        <v>104</v>
      </c>
    </row>
    <row r="207" spans="1:16" s="78" customFormat="1" x14ac:dyDescent="0.25">
      <c r="A207" s="317" t="s">
        <v>294</v>
      </c>
      <c r="B207" s="297" t="s">
        <v>258</v>
      </c>
      <c r="C207" s="78" t="s">
        <v>224</v>
      </c>
      <c r="D207" s="78" t="s">
        <v>224</v>
      </c>
      <c r="E207" s="78" t="s">
        <v>225</v>
      </c>
      <c r="F207" s="78" t="s">
        <v>225</v>
      </c>
      <c r="G207" s="78" t="s">
        <v>226</v>
      </c>
      <c r="H207" s="78" t="s">
        <v>58</v>
      </c>
      <c r="I207" s="78" t="s">
        <v>58</v>
      </c>
      <c r="J207" s="78" t="s">
        <v>60</v>
      </c>
      <c r="K207" s="78" t="s">
        <v>60</v>
      </c>
      <c r="L207" s="78" t="s">
        <v>102</v>
      </c>
      <c r="M207" s="78" t="s">
        <v>102</v>
      </c>
      <c r="N207" s="78" t="s">
        <v>103</v>
      </c>
      <c r="O207" s="78" t="s">
        <v>104</v>
      </c>
      <c r="P207" s="78" t="s">
        <v>104</v>
      </c>
    </row>
    <row r="208" spans="1:16" s="78" customFormat="1" x14ac:dyDescent="0.25">
      <c r="A208" s="317" t="s">
        <v>295</v>
      </c>
      <c r="B208" s="297" t="s">
        <v>258</v>
      </c>
      <c r="C208" s="78" t="s">
        <v>224</v>
      </c>
      <c r="D208" s="78" t="s">
        <v>224</v>
      </c>
      <c r="E208" s="78" t="s">
        <v>225</v>
      </c>
      <c r="F208" s="78" t="s">
        <v>225</v>
      </c>
      <c r="G208" s="78" t="s">
        <v>226</v>
      </c>
      <c r="H208" s="78" t="s">
        <v>58</v>
      </c>
      <c r="I208" s="78" t="s">
        <v>58</v>
      </c>
      <c r="J208" s="78" t="s">
        <v>60</v>
      </c>
      <c r="K208" s="78" t="s">
        <v>60</v>
      </c>
      <c r="L208" s="78" t="s">
        <v>102</v>
      </c>
      <c r="M208" s="78" t="s">
        <v>102</v>
      </c>
      <c r="N208" s="78" t="s">
        <v>103</v>
      </c>
      <c r="O208" s="78" t="s">
        <v>104</v>
      </c>
      <c r="P208" s="78" t="s">
        <v>104</v>
      </c>
    </row>
    <row r="209" spans="1:16" s="78" customFormat="1" x14ac:dyDescent="0.25">
      <c r="A209" s="317" t="s">
        <v>258</v>
      </c>
      <c r="B209" s="297" t="s">
        <v>258</v>
      </c>
      <c r="C209" s="78" t="s">
        <v>224</v>
      </c>
      <c r="D209" s="78" t="s">
        <v>224</v>
      </c>
      <c r="E209" s="78" t="s">
        <v>225</v>
      </c>
      <c r="F209" s="78" t="s">
        <v>225</v>
      </c>
      <c r="G209" s="78" t="s">
        <v>226</v>
      </c>
      <c r="H209" s="78" t="s">
        <v>58</v>
      </c>
      <c r="I209" s="78" t="s">
        <v>58</v>
      </c>
      <c r="J209" s="78" t="s">
        <v>60</v>
      </c>
      <c r="K209" s="78" t="s">
        <v>60</v>
      </c>
      <c r="L209" s="78" t="s">
        <v>102</v>
      </c>
      <c r="M209" s="78" t="s">
        <v>102</v>
      </c>
      <c r="N209" s="78" t="s">
        <v>103</v>
      </c>
      <c r="O209" s="78" t="s">
        <v>104</v>
      </c>
      <c r="P209" s="78" t="s">
        <v>104</v>
      </c>
    </row>
    <row r="210" spans="1:16" s="78" customFormat="1" x14ac:dyDescent="0.25">
      <c r="A210" s="317" t="s">
        <v>258</v>
      </c>
      <c r="B210" s="297" t="s">
        <v>258</v>
      </c>
      <c r="C210" s="78" t="s">
        <v>224</v>
      </c>
      <c r="D210" s="78" t="s">
        <v>224</v>
      </c>
      <c r="E210" s="78" t="s">
        <v>225</v>
      </c>
      <c r="F210" s="78" t="s">
        <v>225</v>
      </c>
      <c r="G210" s="78" t="s">
        <v>226</v>
      </c>
      <c r="H210" s="78" t="s">
        <v>58</v>
      </c>
      <c r="I210" s="78" t="s">
        <v>58</v>
      </c>
      <c r="J210" s="78" t="s">
        <v>60</v>
      </c>
      <c r="K210" s="78" t="s">
        <v>60</v>
      </c>
      <c r="L210" s="78" t="s">
        <v>102</v>
      </c>
      <c r="M210" s="78" t="s">
        <v>376</v>
      </c>
      <c r="N210" s="78" t="s">
        <v>103</v>
      </c>
      <c r="O210" s="78" t="s">
        <v>104</v>
      </c>
      <c r="P210" s="78" t="s">
        <v>104</v>
      </c>
    </row>
    <row r="211" spans="1:16" s="78" customFormat="1" x14ac:dyDescent="0.25">
      <c r="A211" s="317" t="s">
        <v>258</v>
      </c>
      <c r="B211" s="297" t="s">
        <v>258</v>
      </c>
      <c r="C211" s="78" t="s">
        <v>224</v>
      </c>
      <c r="D211" s="78" t="s">
        <v>224</v>
      </c>
      <c r="E211" s="78" t="s">
        <v>225</v>
      </c>
      <c r="F211" s="78" t="s">
        <v>226</v>
      </c>
      <c r="G211" s="78" t="s">
        <v>226</v>
      </c>
      <c r="H211" s="78" t="s">
        <v>58</v>
      </c>
      <c r="I211" s="78" t="s">
        <v>58</v>
      </c>
      <c r="J211" s="78" t="s">
        <v>60</v>
      </c>
      <c r="K211" s="78" t="s">
        <v>60</v>
      </c>
      <c r="L211" s="78" t="s">
        <v>102</v>
      </c>
      <c r="M211" s="78" t="s">
        <v>103</v>
      </c>
      <c r="N211" s="78" t="s">
        <v>103</v>
      </c>
      <c r="O211" s="78" t="s">
        <v>104</v>
      </c>
      <c r="P211" s="78" t="s">
        <v>104</v>
      </c>
    </row>
    <row r="212" spans="1:16" s="78" customFormat="1" x14ac:dyDescent="0.25">
      <c r="A212" s="317" t="s">
        <v>258</v>
      </c>
      <c r="B212" s="297" t="s">
        <v>258</v>
      </c>
      <c r="C212" s="78" t="s">
        <v>224</v>
      </c>
      <c r="D212" s="78" t="s">
        <v>224</v>
      </c>
      <c r="E212" s="78" t="s">
        <v>225</v>
      </c>
      <c r="F212" s="78" t="s">
        <v>226</v>
      </c>
      <c r="G212" s="78" t="s">
        <v>226</v>
      </c>
      <c r="H212" s="78" t="s">
        <v>58</v>
      </c>
      <c r="I212" s="78" t="s">
        <v>58</v>
      </c>
      <c r="J212" s="78" t="s">
        <v>60</v>
      </c>
      <c r="K212" s="78" t="s">
        <v>60</v>
      </c>
      <c r="L212" s="78" t="s">
        <v>102</v>
      </c>
      <c r="M212" s="78" t="s">
        <v>103</v>
      </c>
      <c r="N212" s="78" t="s">
        <v>103</v>
      </c>
      <c r="O212" s="78" t="s">
        <v>104</v>
      </c>
      <c r="P212" s="78" t="s">
        <v>104</v>
      </c>
    </row>
    <row r="213" spans="1:16" s="78" customFormat="1" x14ac:dyDescent="0.25">
      <c r="A213" s="317" t="s">
        <v>258</v>
      </c>
      <c r="B213" s="297" t="s">
        <v>258</v>
      </c>
      <c r="C213" s="78" t="s">
        <v>224</v>
      </c>
      <c r="D213" s="78" t="s">
        <v>224</v>
      </c>
      <c r="E213" s="78" t="s">
        <v>225</v>
      </c>
      <c r="F213" s="78" t="s">
        <v>226</v>
      </c>
      <c r="G213" s="78" t="s">
        <v>226</v>
      </c>
      <c r="H213" s="78" t="s">
        <v>58</v>
      </c>
      <c r="I213" s="78" t="s">
        <v>58</v>
      </c>
      <c r="J213" s="78" t="s">
        <v>60</v>
      </c>
      <c r="K213" s="78" t="s">
        <v>60</v>
      </c>
      <c r="L213" s="78" t="s">
        <v>102</v>
      </c>
      <c r="M213" s="78" t="s">
        <v>103</v>
      </c>
      <c r="N213" s="78" t="s">
        <v>103</v>
      </c>
      <c r="O213" s="78" t="s">
        <v>104</v>
      </c>
      <c r="P213" s="78" t="s">
        <v>104</v>
      </c>
    </row>
    <row r="214" spans="1:16" s="78" customFormat="1" x14ac:dyDescent="0.25">
      <c r="A214" s="317" t="s">
        <v>258</v>
      </c>
      <c r="B214" s="297" t="s">
        <v>258</v>
      </c>
      <c r="C214" s="78" t="s">
        <v>224</v>
      </c>
      <c r="D214" s="78" t="s">
        <v>224</v>
      </c>
      <c r="E214" s="78" t="s">
        <v>225</v>
      </c>
      <c r="F214" s="78" t="s">
        <v>226</v>
      </c>
      <c r="G214" s="78" t="s">
        <v>226</v>
      </c>
      <c r="H214" s="78" t="s">
        <v>58</v>
      </c>
      <c r="I214" s="78" t="s">
        <v>58</v>
      </c>
      <c r="J214" s="78" t="s">
        <v>60</v>
      </c>
      <c r="K214" s="78" t="s">
        <v>375</v>
      </c>
      <c r="L214" s="78" t="s">
        <v>102</v>
      </c>
      <c r="M214" s="78" t="s">
        <v>103</v>
      </c>
      <c r="N214" s="78" t="s">
        <v>103</v>
      </c>
      <c r="O214" s="78" t="s">
        <v>104</v>
      </c>
      <c r="P214" s="78" t="s">
        <v>104</v>
      </c>
    </row>
    <row r="215" spans="1:16" s="78" customFormat="1" x14ac:dyDescent="0.25">
      <c r="A215" s="317" t="s">
        <v>258</v>
      </c>
      <c r="B215" s="297" t="s">
        <v>258</v>
      </c>
      <c r="C215" s="78" t="s">
        <v>224</v>
      </c>
      <c r="D215" s="78" t="s">
        <v>372</v>
      </c>
      <c r="E215" s="78" t="s">
        <v>225</v>
      </c>
      <c r="F215" s="78" t="s">
        <v>226</v>
      </c>
      <c r="G215" s="78" t="s">
        <v>226</v>
      </c>
      <c r="H215" s="78" t="s">
        <v>58</v>
      </c>
      <c r="I215" s="78" t="s">
        <v>58</v>
      </c>
      <c r="J215" s="78" t="s">
        <v>60</v>
      </c>
      <c r="K215" s="78" t="s">
        <v>102</v>
      </c>
      <c r="L215" s="78" t="s">
        <v>102</v>
      </c>
      <c r="M215" s="78" t="s">
        <v>103</v>
      </c>
      <c r="N215" s="78" t="s">
        <v>103</v>
      </c>
      <c r="O215" s="78" t="s">
        <v>104</v>
      </c>
      <c r="P215" s="78" t="s">
        <v>104</v>
      </c>
    </row>
    <row r="216" spans="1:16" s="78" customFormat="1" x14ac:dyDescent="0.25">
      <c r="A216" s="317" t="s">
        <v>258</v>
      </c>
      <c r="B216" s="297" t="s">
        <v>258</v>
      </c>
      <c r="C216" s="78" t="s">
        <v>224</v>
      </c>
      <c r="D216" s="78" t="s">
        <v>225</v>
      </c>
      <c r="E216" s="78" t="s">
        <v>225</v>
      </c>
      <c r="F216" s="78" t="s">
        <v>226</v>
      </c>
      <c r="G216" s="78" t="s">
        <v>226</v>
      </c>
      <c r="H216" s="78" t="s">
        <v>58</v>
      </c>
      <c r="I216" s="78" t="s">
        <v>58</v>
      </c>
      <c r="J216" s="78" t="s">
        <v>60</v>
      </c>
      <c r="K216" s="78" t="s">
        <v>102</v>
      </c>
      <c r="L216" s="78" t="s">
        <v>102</v>
      </c>
      <c r="M216" s="78" t="s">
        <v>103</v>
      </c>
      <c r="N216" s="78" t="s">
        <v>103</v>
      </c>
      <c r="O216" s="78" t="s">
        <v>104</v>
      </c>
      <c r="P216" s="78" t="s">
        <v>104</v>
      </c>
    </row>
    <row r="217" spans="1:16" s="78" customFormat="1" x14ac:dyDescent="0.25">
      <c r="A217" s="317" t="s">
        <v>258</v>
      </c>
      <c r="B217" s="297" t="s">
        <v>258</v>
      </c>
      <c r="C217" s="78" t="s">
        <v>224</v>
      </c>
      <c r="D217" s="78" t="s">
        <v>225</v>
      </c>
      <c r="E217" s="78" t="s">
        <v>225</v>
      </c>
      <c r="F217" s="78" t="s">
        <v>226</v>
      </c>
      <c r="G217" s="78" t="s">
        <v>226</v>
      </c>
      <c r="H217" s="78" t="s">
        <v>58</v>
      </c>
      <c r="I217" s="78" t="s">
        <v>58</v>
      </c>
      <c r="J217" s="78" t="s">
        <v>60</v>
      </c>
      <c r="K217" s="78" t="s">
        <v>102</v>
      </c>
      <c r="L217" s="78" t="s">
        <v>102</v>
      </c>
      <c r="M217" s="78" t="s">
        <v>103</v>
      </c>
      <c r="N217" s="78" t="s">
        <v>103</v>
      </c>
      <c r="O217" s="78" t="s">
        <v>104</v>
      </c>
      <c r="P217" s="78" t="s">
        <v>104</v>
      </c>
    </row>
    <row r="218" spans="1:16" s="78" customFormat="1" x14ac:dyDescent="0.25">
      <c r="A218" s="317" t="e">
        <v>#N/A</v>
      </c>
      <c r="B218" s="297" t="e">
        <v>#N/A</v>
      </c>
      <c r="C218" s="78" t="e">
        <v>#N/A</v>
      </c>
      <c r="D218" s="78" t="e">
        <v>#N/A</v>
      </c>
      <c r="E218" s="78" t="e">
        <v>#N/A</v>
      </c>
      <c r="F218" s="78" t="e">
        <v>#N/A</v>
      </c>
      <c r="G218" s="78" t="e">
        <v>#N/A</v>
      </c>
      <c r="H218" s="78" t="e">
        <v>#N/A</v>
      </c>
      <c r="I218" s="78" t="e">
        <v>#N/A</v>
      </c>
      <c r="J218" s="78" t="e">
        <v>#N/A</v>
      </c>
      <c r="K218" s="78" t="e">
        <v>#N/A</v>
      </c>
      <c r="L218" s="78" t="e">
        <v>#N/A</v>
      </c>
      <c r="M218" s="78" t="e">
        <v>#N/A</v>
      </c>
      <c r="N218" s="78" t="e">
        <v>#N/A</v>
      </c>
      <c r="O218" s="78" t="e">
        <v>#N/A</v>
      </c>
      <c r="P218" s="78" t="e">
        <v>#N/A</v>
      </c>
    </row>
    <row r="219" spans="1:16" s="78" customFormat="1" x14ac:dyDescent="0.25">
      <c r="A219" s="317" t="e">
        <v>#N/A</v>
      </c>
      <c r="B219" s="297" t="e">
        <v>#N/A</v>
      </c>
      <c r="C219" s="78" t="e">
        <v>#N/A</v>
      </c>
      <c r="D219" s="78" t="e">
        <v>#N/A</v>
      </c>
      <c r="E219" s="78" t="e">
        <v>#N/A</v>
      </c>
      <c r="F219" s="78" t="e">
        <v>#N/A</v>
      </c>
      <c r="G219" s="78" t="e">
        <v>#N/A</v>
      </c>
      <c r="H219" s="78" t="e">
        <v>#N/A</v>
      </c>
      <c r="I219" s="78" t="e">
        <v>#N/A</v>
      </c>
      <c r="J219" s="78" t="e">
        <v>#N/A</v>
      </c>
      <c r="K219" s="78" t="e">
        <v>#N/A</v>
      </c>
      <c r="L219" s="78" t="e">
        <v>#N/A</v>
      </c>
      <c r="M219" s="78" t="e">
        <v>#N/A</v>
      </c>
      <c r="N219" s="78" t="e">
        <v>#N/A</v>
      </c>
      <c r="O219" s="78" t="e">
        <v>#N/A</v>
      </c>
      <c r="P219" s="78" t="e">
        <v>#N/A</v>
      </c>
    </row>
    <row r="220" spans="1:16" s="78" customFormat="1" x14ac:dyDescent="0.25">
      <c r="A220" s="317" t="e">
        <v>#N/A</v>
      </c>
      <c r="B220" s="297" t="e">
        <v>#N/A</v>
      </c>
      <c r="C220" s="78" t="e">
        <v>#N/A</v>
      </c>
      <c r="D220" s="78" t="e">
        <v>#N/A</v>
      </c>
      <c r="E220" s="78" t="e">
        <v>#N/A</v>
      </c>
      <c r="F220" s="78" t="e">
        <v>#N/A</v>
      </c>
      <c r="G220" s="78" t="e">
        <v>#N/A</v>
      </c>
      <c r="H220" s="78" t="e">
        <v>#N/A</v>
      </c>
      <c r="I220" s="78" t="e">
        <v>#N/A</v>
      </c>
      <c r="J220" s="78" t="e">
        <v>#N/A</v>
      </c>
      <c r="K220" s="78" t="e">
        <v>#N/A</v>
      </c>
      <c r="L220" s="78" t="e">
        <v>#N/A</v>
      </c>
      <c r="M220" s="78" t="e">
        <v>#N/A</v>
      </c>
      <c r="N220" s="78" t="e">
        <v>#N/A</v>
      </c>
      <c r="O220" s="78" t="e">
        <v>#N/A</v>
      </c>
      <c r="P220" s="78" t="e">
        <v>#N/A</v>
      </c>
    </row>
    <row r="221" spans="1:16" s="78" customFormat="1" x14ac:dyDescent="0.25">
      <c r="A221" s="317" t="e">
        <v>#N/A</v>
      </c>
      <c r="B221" s="297" t="e">
        <v>#N/A</v>
      </c>
      <c r="C221" s="78" t="e">
        <v>#N/A</v>
      </c>
      <c r="D221" s="78" t="e">
        <v>#N/A</v>
      </c>
      <c r="E221" s="78" t="e">
        <v>#N/A</v>
      </c>
      <c r="F221" s="78" t="e">
        <v>#N/A</v>
      </c>
      <c r="G221" s="78" t="e">
        <v>#N/A</v>
      </c>
      <c r="H221" s="78" t="e">
        <v>#N/A</v>
      </c>
      <c r="I221" s="78" t="e">
        <v>#N/A</v>
      </c>
      <c r="J221" s="78" t="e">
        <v>#N/A</v>
      </c>
      <c r="K221" s="78" t="e">
        <v>#N/A</v>
      </c>
      <c r="L221" s="78" t="e">
        <v>#N/A</v>
      </c>
      <c r="M221" s="78" t="e">
        <v>#N/A</v>
      </c>
      <c r="N221" s="78" t="e">
        <v>#N/A</v>
      </c>
      <c r="O221" s="78" t="e">
        <v>#N/A</v>
      </c>
      <c r="P221" s="78" t="e">
        <v>#N/A</v>
      </c>
    </row>
    <row r="222" spans="1:16" s="78" customFormat="1" x14ac:dyDescent="0.25">
      <c r="A222" s="317" t="e">
        <v>#N/A</v>
      </c>
      <c r="B222" s="297" t="e">
        <v>#N/A</v>
      </c>
      <c r="C222" s="78" t="e">
        <v>#N/A</v>
      </c>
      <c r="D222" s="78" t="e">
        <v>#N/A</v>
      </c>
      <c r="E222" s="78" t="e">
        <v>#N/A</v>
      </c>
      <c r="F222" s="78" t="e">
        <v>#N/A</v>
      </c>
      <c r="G222" s="78" t="e">
        <v>#N/A</v>
      </c>
      <c r="H222" s="78" t="e">
        <v>#N/A</v>
      </c>
      <c r="I222" s="78" t="e">
        <v>#N/A</v>
      </c>
      <c r="J222" s="78" t="e">
        <v>#N/A</v>
      </c>
      <c r="K222" s="78" t="e">
        <v>#N/A</v>
      </c>
      <c r="L222" s="78" t="e">
        <v>#N/A</v>
      </c>
      <c r="M222" s="78" t="e">
        <v>#N/A</v>
      </c>
      <c r="N222" s="78" t="e">
        <v>#N/A</v>
      </c>
      <c r="O222" s="78" t="e">
        <v>#N/A</v>
      </c>
      <c r="P222" s="78" t="e">
        <v>#N/A</v>
      </c>
    </row>
    <row r="223" spans="1:16" s="78" customFormat="1" x14ac:dyDescent="0.25">
      <c r="A223" s="317" t="e">
        <v>#N/A</v>
      </c>
      <c r="B223" s="297" t="e">
        <v>#N/A</v>
      </c>
      <c r="C223" s="78" t="e">
        <v>#N/A</v>
      </c>
      <c r="D223" s="78" t="e">
        <v>#N/A</v>
      </c>
      <c r="E223" s="78" t="e">
        <v>#N/A</v>
      </c>
      <c r="F223" s="78" t="e">
        <v>#N/A</v>
      </c>
      <c r="G223" s="78" t="e">
        <v>#N/A</v>
      </c>
      <c r="H223" s="78" t="e">
        <v>#N/A</v>
      </c>
      <c r="I223" s="78" t="e">
        <v>#N/A</v>
      </c>
      <c r="J223" s="78" t="e">
        <v>#N/A</v>
      </c>
      <c r="K223" s="78" t="e">
        <v>#N/A</v>
      </c>
      <c r="L223" s="78" t="e">
        <v>#N/A</v>
      </c>
      <c r="M223" s="78" t="e">
        <v>#N/A</v>
      </c>
      <c r="N223" s="78" t="e">
        <v>#N/A</v>
      </c>
      <c r="O223" s="78" t="e">
        <v>#N/A</v>
      </c>
      <c r="P223" s="78" t="e">
        <v>#N/A</v>
      </c>
    </row>
    <row r="224" spans="1:16" s="78" customFormat="1" x14ac:dyDescent="0.25">
      <c r="A224" s="317" t="e">
        <v>#N/A</v>
      </c>
      <c r="B224" s="297" t="e">
        <v>#N/A</v>
      </c>
      <c r="C224" s="78" t="e">
        <v>#N/A</v>
      </c>
      <c r="D224" s="78" t="e">
        <v>#N/A</v>
      </c>
      <c r="E224" s="78" t="e">
        <v>#N/A</v>
      </c>
      <c r="F224" s="78" t="e">
        <v>#N/A</v>
      </c>
      <c r="G224" s="78" t="e">
        <v>#N/A</v>
      </c>
      <c r="H224" s="78" t="e">
        <v>#N/A</v>
      </c>
      <c r="I224" s="78" t="e">
        <v>#N/A</v>
      </c>
      <c r="J224" s="78" t="e">
        <v>#N/A</v>
      </c>
      <c r="K224" s="78" t="e">
        <v>#N/A</v>
      </c>
      <c r="L224" s="78" t="e">
        <v>#N/A</v>
      </c>
      <c r="M224" s="78" t="e">
        <v>#N/A</v>
      </c>
      <c r="N224" s="78" t="e">
        <v>#N/A</v>
      </c>
      <c r="O224" s="78" t="e">
        <v>#N/A</v>
      </c>
      <c r="P224" s="78" t="e">
        <v>#N/A</v>
      </c>
    </row>
    <row r="225" spans="1:16" s="78" customFormat="1" x14ac:dyDescent="0.25">
      <c r="A225" s="317" t="e">
        <v>#N/A</v>
      </c>
      <c r="B225" s="297" t="e">
        <v>#N/A</v>
      </c>
      <c r="C225" s="78" t="e">
        <v>#N/A</v>
      </c>
      <c r="D225" s="78" t="e">
        <v>#N/A</v>
      </c>
      <c r="E225" s="78" t="e">
        <v>#N/A</v>
      </c>
      <c r="F225" s="78" t="e">
        <v>#N/A</v>
      </c>
      <c r="G225" s="78" t="e">
        <v>#N/A</v>
      </c>
      <c r="H225" s="78" t="e">
        <v>#N/A</v>
      </c>
      <c r="I225" s="78" t="e">
        <v>#N/A</v>
      </c>
      <c r="J225" s="78" t="e">
        <v>#N/A</v>
      </c>
      <c r="K225" s="78" t="e">
        <v>#N/A</v>
      </c>
      <c r="L225" s="78" t="e">
        <v>#N/A</v>
      </c>
      <c r="M225" s="78" t="e">
        <v>#N/A</v>
      </c>
      <c r="N225" s="78" t="e">
        <v>#N/A</v>
      </c>
      <c r="O225" s="78" t="e">
        <v>#N/A</v>
      </c>
      <c r="P225" s="78" t="e">
        <v>#N/A</v>
      </c>
    </row>
    <row r="226" spans="1:16" s="78" customFormat="1" x14ac:dyDescent="0.25">
      <c r="A226" s="317" t="e">
        <v>#N/A</v>
      </c>
      <c r="B226" s="297" t="e">
        <v>#N/A</v>
      </c>
      <c r="C226" s="78" t="e">
        <v>#N/A</v>
      </c>
      <c r="D226" s="78" t="e">
        <v>#N/A</v>
      </c>
      <c r="E226" s="78" t="e">
        <v>#N/A</v>
      </c>
      <c r="F226" s="78" t="e">
        <v>#N/A</v>
      </c>
      <c r="G226" s="78" t="e">
        <v>#N/A</v>
      </c>
      <c r="H226" s="78" t="e">
        <v>#N/A</v>
      </c>
      <c r="I226" s="78" t="e">
        <v>#N/A</v>
      </c>
      <c r="J226" s="78" t="e">
        <v>#N/A</v>
      </c>
      <c r="K226" s="78" t="e">
        <v>#N/A</v>
      </c>
      <c r="L226" s="78" t="e">
        <v>#N/A</v>
      </c>
      <c r="M226" s="78" t="e">
        <v>#N/A</v>
      </c>
      <c r="N226" s="78" t="e">
        <v>#N/A</v>
      </c>
      <c r="O226" s="78" t="e">
        <v>#N/A</v>
      </c>
      <c r="P226" s="78" t="e">
        <v>#N/A</v>
      </c>
    </row>
    <row r="227" spans="1:16" s="78" customFormat="1" x14ac:dyDescent="0.25">
      <c r="A227" s="317" t="e">
        <v>#N/A</v>
      </c>
      <c r="B227" s="297" t="e">
        <v>#N/A</v>
      </c>
      <c r="C227" s="78" t="e">
        <v>#N/A</v>
      </c>
      <c r="D227" s="78" t="e">
        <v>#N/A</v>
      </c>
      <c r="E227" s="78" t="e">
        <v>#N/A</v>
      </c>
      <c r="F227" s="78" t="e">
        <v>#N/A</v>
      </c>
      <c r="G227" s="78" t="e">
        <v>#N/A</v>
      </c>
      <c r="H227" s="78" t="e">
        <v>#N/A</v>
      </c>
      <c r="I227" s="78" t="e">
        <v>#N/A</v>
      </c>
      <c r="J227" s="78" t="e">
        <v>#N/A</v>
      </c>
      <c r="K227" s="78" t="e">
        <v>#N/A</v>
      </c>
      <c r="L227" s="78" t="e">
        <v>#N/A</v>
      </c>
      <c r="M227" s="78" t="e">
        <v>#N/A</v>
      </c>
      <c r="N227" s="78" t="e">
        <v>#N/A</v>
      </c>
      <c r="O227" s="78" t="e">
        <v>#N/A</v>
      </c>
      <c r="P227" s="78" t="e">
        <v>#N/A</v>
      </c>
    </row>
    <row r="228" spans="1:16" s="78" customFormat="1" x14ac:dyDescent="0.25">
      <c r="A228" s="317" t="e">
        <v>#N/A</v>
      </c>
      <c r="B228" s="297" t="e">
        <v>#N/A</v>
      </c>
      <c r="C228" s="78" t="e">
        <v>#N/A</v>
      </c>
      <c r="D228" s="78" t="e">
        <v>#N/A</v>
      </c>
      <c r="E228" s="78" t="e">
        <v>#N/A</v>
      </c>
      <c r="F228" s="78" t="e">
        <v>#N/A</v>
      </c>
      <c r="G228" s="78" t="e">
        <v>#N/A</v>
      </c>
      <c r="H228" s="78" t="e">
        <v>#N/A</v>
      </c>
      <c r="I228" s="78" t="e">
        <v>#N/A</v>
      </c>
      <c r="J228" s="78" t="e">
        <v>#N/A</v>
      </c>
      <c r="K228" s="78" t="e">
        <v>#N/A</v>
      </c>
      <c r="L228" s="78" t="e">
        <v>#N/A</v>
      </c>
      <c r="M228" s="78" t="e">
        <v>#N/A</v>
      </c>
      <c r="N228" s="78" t="e">
        <v>#N/A</v>
      </c>
      <c r="O228" s="78" t="e">
        <v>#N/A</v>
      </c>
      <c r="P228" s="78" t="e">
        <v>#N/A</v>
      </c>
    </row>
    <row r="229" spans="1:16" s="78" customFormat="1" x14ac:dyDescent="0.25">
      <c r="A229" s="296" t="e">
        <v>#N/A</v>
      </c>
      <c r="B229" s="297" t="e">
        <v>#N/A</v>
      </c>
      <c r="C229" s="78" t="e">
        <v>#N/A</v>
      </c>
      <c r="D229" s="78" t="e">
        <v>#N/A</v>
      </c>
      <c r="E229" s="78" t="e">
        <v>#N/A</v>
      </c>
      <c r="F229" s="78" t="e">
        <v>#N/A</v>
      </c>
      <c r="G229" s="78" t="e">
        <v>#N/A</v>
      </c>
      <c r="H229" s="78" t="e">
        <v>#N/A</v>
      </c>
      <c r="I229" s="78" t="e">
        <v>#N/A</v>
      </c>
      <c r="J229" s="78" t="e">
        <v>#N/A</v>
      </c>
      <c r="K229" s="78" t="e">
        <v>#N/A</v>
      </c>
      <c r="L229" s="78" t="e">
        <v>#N/A</v>
      </c>
      <c r="M229" s="78" t="e">
        <v>#N/A</v>
      </c>
      <c r="N229" s="78" t="e">
        <v>#N/A</v>
      </c>
      <c r="O229" s="78" t="e">
        <v>#N/A</v>
      </c>
      <c r="P229" s="78" t="e">
        <v>#N/A</v>
      </c>
    </row>
    <row r="230" spans="1:16" s="65" customFormat="1" ht="15" customHeight="1" x14ac:dyDescent="0.25">
      <c r="A230" s="289" t="e">
        <v>#N/A</v>
      </c>
      <c r="B230" s="294" t="e">
        <v>#N/A</v>
      </c>
      <c r="C230" s="65" t="e">
        <v>#N/A</v>
      </c>
      <c r="D230" s="65" t="e">
        <v>#N/A</v>
      </c>
      <c r="E230" s="65" t="e">
        <v>#N/A</v>
      </c>
      <c r="F230" s="65" t="e">
        <v>#N/A</v>
      </c>
      <c r="G230" s="65" t="e">
        <v>#N/A</v>
      </c>
      <c r="H230" s="65" t="e">
        <v>#N/A</v>
      </c>
      <c r="I230" s="65" t="e">
        <v>#N/A</v>
      </c>
      <c r="J230" s="65" t="e">
        <v>#N/A</v>
      </c>
      <c r="K230" s="65" t="e">
        <v>#N/A</v>
      </c>
      <c r="L230" s="65" t="e">
        <v>#N/A</v>
      </c>
      <c r="M230" s="65" t="e">
        <v>#N/A</v>
      </c>
      <c r="N230" s="65" t="e">
        <v>#N/A</v>
      </c>
      <c r="O230" s="65" t="e">
        <v>#N/A</v>
      </c>
      <c r="P230" s="65" t="e">
        <v>#N/A</v>
      </c>
    </row>
    <row r="231" spans="1:16" s="65" customFormat="1" x14ac:dyDescent="0.25">
      <c r="A231" s="289" t="e">
        <v>#N/A</v>
      </c>
      <c r="B231" s="294" t="e">
        <v>#N/A</v>
      </c>
      <c r="C231" s="65" t="e">
        <v>#N/A</v>
      </c>
      <c r="D231" s="65" t="e">
        <v>#N/A</v>
      </c>
      <c r="E231" s="65" t="e">
        <v>#N/A</v>
      </c>
      <c r="F231" s="65" t="e">
        <v>#N/A</v>
      </c>
      <c r="G231" s="65" t="e">
        <v>#N/A</v>
      </c>
      <c r="H231" s="65" t="e">
        <v>#N/A</v>
      </c>
      <c r="I231" s="65" t="e">
        <v>#N/A</v>
      </c>
      <c r="J231" s="65" t="e">
        <v>#N/A</v>
      </c>
      <c r="K231" s="65" t="e">
        <v>#N/A</v>
      </c>
      <c r="L231" s="65" t="e">
        <v>#N/A</v>
      </c>
      <c r="M231" s="65" t="e">
        <v>#N/A</v>
      </c>
      <c r="N231" s="65" t="e">
        <v>#N/A</v>
      </c>
      <c r="O231" s="65" t="e">
        <v>#N/A</v>
      </c>
      <c r="P231" s="65" t="e">
        <v>#N/A</v>
      </c>
    </row>
    <row r="232" spans="1:16" s="65" customFormat="1" x14ac:dyDescent="0.25">
      <c r="A232" s="289" t="e">
        <v>#N/A</v>
      </c>
      <c r="B232" s="294" t="e">
        <v>#N/A</v>
      </c>
      <c r="C232" s="65" t="e">
        <v>#N/A</v>
      </c>
      <c r="D232" s="65" t="e">
        <v>#N/A</v>
      </c>
      <c r="E232" s="65" t="e">
        <v>#N/A</v>
      </c>
      <c r="F232" s="65" t="e">
        <v>#N/A</v>
      </c>
      <c r="G232" s="65" t="e">
        <v>#N/A</v>
      </c>
      <c r="H232" s="65" t="e">
        <v>#N/A</v>
      </c>
      <c r="I232" s="65" t="e">
        <v>#N/A</v>
      </c>
      <c r="J232" s="65" t="e">
        <v>#N/A</v>
      </c>
      <c r="K232" s="65" t="e">
        <v>#N/A</v>
      </c>
      <c r="L232" s="65" t="e">
        <v>#N/A</v>
      </c>
      <c r="M232" s="65" t="e">
        <v>#N/A</v>
      </c>
      <c r="N232" s="65" t="e">
        <v>#N/A</v>
      </c>
      <c r="O232" s="65" t="e">
        <v>#N/A</v>
      </c>
      <c r="P232" s="65" t="e">
        <v>#N/A</v>
      </c>
    </row>
    <row r="233" spans="1:16" s="65" customFormat="1" x14ac:dyDescent="0.25">
      <c r="A233" s="289" t="e">
        <v>#N/A</v>
      </c>
      <c r="B233" s="294" t="e">
        <v>#N/A</v>
      </c>
      <c r="C233" s="65" t="e">
        <v>#N/A</v>
      </c>
      <c r="D233" s="65" t="e">
        <v>#N/A</v>
      </c>
      <c r="E233" s="65" t="e">
        <v>#N/A</v>
      </c>
      <c r="F233" s="65" t="e">
        <v>#N/A</v>
      </c>
      <c r="G233" s="65" t="e">
        <v>#N/A</v>
      </c>
      <c r="H233" s="65" t="e">
        <v>#N/A</v>
      </c>
      <c r="I233" s="65" t="e">
        <v>#N/A</v>
      </c>
      <c r="J233" s="65" t="e">
        <v>#N/A</v>
      </c>
      <c r="K233" s="65" t="e">
        <v>#N/A</v>
      </c>
      <c r="L233" s="65" t="e">
        <v>#N/A</v>
      </c>
      <c r="M233" s="65" t="e">
        <v>#N/A</v>
      </c>
      <c r="N233" s="65" t="e">
        <v>#N/A</v>
      </c>
      <c r="O233" s="65" t="e">
        <v>#N/A</v>
      </c>
      <c r="P233" s="65" t="e">
        <v>#N/A</v>
      </c>
    </row>
    <row r="234" spans="1:16" s="65" customFormat="1" x14ac:dyDescent="0.25">
      <c r="A234" s="289" t="e">
        <v>#N/A</v>
      </c>
      <c r="B234" s="294" t="e">
        <v>#N/A</v>
      </c>
      <c r="C234" s="65" t="e">
        <v>#N/A</v>
      </c>
      <c r="D234" s="65" t="e">
        <v>#N/A</v>
      </c>
      <c r="E234" s="65" t="e">
        <v>#N/A</v>
      </c>
      <c r="F234" s="65" t="e">
        <v>#N/A</v>
      </c>
      <c r="G234" s="65" t="e">
        <v>#N/A</v>
      </c>
      <c r="H234" s="65" t="e">
        <v>#N/A</v>
      </c>
      <c r="I234" s="65" t="e">
        <v>#N/A</v>
      </c>
      <c r="J234" s="65" t="e">
        <v>#N/A</v>
      </c>
      <c r="K234" s="65" t="e">
        <v>#N/A</v>
      </c>
      <c r="L234" s="65" t="e">
        <v>#N/A</v>
      </c>
      <c r="M234" s="65" t="e">
        <v>#N/A</v>
      </c>
      <c r="N234" s="65" t="e">
        <v>#N/A</v>
      </c>
      <c r="O234" s="65" t="e">
        <v>#N/A</v>
      </c>
      <c r="P234" s="65" t="e">
        <v>#N/A</v>
      </c>
    </row>
    <row r="235" spans="1:16" s="65" customFormat="1" x14ac:dyDescent="0.25">
      <c r="A235" s="289" t="e">
        <v>#N/A</v>
      </c>
      <c r="B235" s="294" t="e">
        <v>#N/A</v>
      </c>
      <c r="C235" s="65" t="e">
        <v>#N/A</v>
      </c>
      <c r="D235" s="65" t="e">
        <v>#N/A</v>
      </c>
      <c r="E235" s="65" t="e">
        <v>#N/A</v>
      </c>
      <c r="F235" s="65" t="e">
        <v>#N/A</v>
      </c>
      <c r="G235" s="65" t="e">
        <v>#N/A</v>
      </c>
      <c r="H235" s="65" t="e">
        <v>#N/A</v>
      </c>
      <c r="I235" s="65" t="e">
        <v>#N/A</v>
      </c>
      <c r="J235" s="65" t="e">
        <v>#N/A</v>
      </c>
      <c r="K235" s="65" t="e">
        <v>#N/A</v>
      </c>
      <c r="L235" s="65" t="e">
        <v>#N/A</v>
      </c>
      <c r="M235" s="65" t="e">
        <v>#N/A</v>
      </c>
      <c r="N235" s="65" t="e">
        <v>#N/A</v>
      </c>
      <c r="O235" s="65" t="e">
        <v>#N/A</v>
      </c>
      <c r="P235" s="65" t="e">
        <v>#N/A</v>
      </c>
    </row>
    <row r="236" spans="1:16" s="65" customFormat="1" x14ac:dyDescent="0.25">
      <c r="A236" s="289" t="e">
        <v>#N/A</v>
      </c>
      <c r="B236" s="294" t="e">
        <v>#N/A</v>
      </c>
      <c r="C236" s="65" t="e">
        <v>#N/A</v>
      </c>
      <c r="D236" s="65" t="e">
        <v>#N/A</v>
      </c>
      <c r="E236" s="65" t="e">
        <v>#N/A</v>
      </c>
      <c r="F236" s="65" t="e">
        <v>#N/A</v>
      </c>
      <c r="G236" s="65" t="e">
        <v>#N/A</v>
      </c>
      <c r="H236" s="65" t="e">
        <v>#N/A</v>
      </c>
      <c r="I236" s="65" t="e">
        <v>#N/A</v>
      </c>
      <c r="J236" s="65" t="e">
        <v>#N/A</v>
      </c>
      <c r="K236" s="65" t="e">
        <v>#N/A</v>
      </c>
      <c r="L236" s="65" t="e">
        <v>#N/A</v>
      </c>
      <c r="M236" s="65" t="e">
        <v>#N/A</v>
      </c>
      <c r="N236" s="65" t="e">
        <v>#N/A</v>
      </c>
      <c r="O236" s="65" t="e">
        <v>#N/A</v>
      </c>
      <c r="P236" s="65" t="e">
        <v>#N/A</v>
      </c>
    </row>
    <row r="237" spans="1:16" s="65" customFormat="1" x14ac:dyDescent="0.25">
      <c r="A237" s="289" t="e">
        <v>#N/A</v>
      </c>
      <c r="B237" s="294" t="e">
        <v>#N/A</v>
      </c>
      <c r="C237" s="65" t="e">
        <v>#N/A</v>
      </c>
      <c r="D237" s="65" t="e">
        <v>#N/A</v>
      </c>
      <c r="E237" s="65" t="e">
        <v>#N/A</v>
      </c>
      <c r="F237" s="65" t="e">
        <v>#N/A</v>
      </c>
      <c r="G237" s="65" t="e">
        <v>#N/A</v>
      </c>
      <c r="H237" s="65" t="e">
        <v>#N/A</v>
      </c>
      <c r="I237" s="65" t="e">
        <v>#N/A</v>
      </c>
      <c r="J237" s="65" t="e">
        <v>#N/A</v>
      </c>
      <c r="K237" s="65" t="e">
        <v>#N/A</v>
      </c>
      <c r="L237" s="65" t="e">
        <v>#N/A</v>
      </c>
      <c r="M237" s="65" t="e">
        <v>#N/A</v>
      </c>
      <c r="N237" s="65" t="e">
        <v>#N/A</v>
      </c>
      <c r="O237" s="65" t="e">
        <v>#N/A</v>
      </c>
      <c r="P237" s="65" t="e">
        <v>#N/A</v>
      </c>
    </row>
    <row r="238" spans="1:16" s="65" customFormat="1" x14ac:dyDescent="0.25">
      <c r="A238" s="289" t="e">
        <v>#N/A</v>
      </c>
      <c r="B238" s="294" t="e">
        <v>#N/A</v>
      </c>
      <c r="C238" s="65" t="e">
        <v>#N/A</v>
      </c>
      <c r="D238" s="65" t="e">
        <v>#N/A</v>
      </c>
      <c r="E238" s="65" t="e">
        <v>#N/A</v>
      </c>
      <c r="F238" s="65" t="e">
        <v>#N/A</v>
      </c>
      <c r="G238" s="65" t="e">
        <v>#N/A</v>
      </c>
      <c r="H238" s="65" t="e">
        <v>#N/A</v>
      </c>
      <c r="I238" s="65" t="e">
        <v>#N/A</v>
      </c>
      <c r="J238" s="65" t="e">
        <v>#N/A</v>
      </c>
      <c r="K238" s="65" t="e">
        <v>#N/A</v>
      </c>
      <c r="L238" s="65" t="e">
        <v>#N/A</v>
      </c>
      <c r="M238" s="65" t="e">
        <v>#N/A</v>
      </c>
      <c r="N238" s="65" t="e">
        <v>#N/A</v>
      </c>
      <c r="O238" s="65" t="e">
        <v>#N/A</v>
      </c>
      <c r="P238" s="65" t="e">
        <v>#N/A</v>
      </c>
    </row>
    <row r="239" spans="1:16" s="65" customFormat="1" x14ac:dyDescent="0.25">
      <c r="A239" s="289" t="e">
        <v>#N/A</v>
      </c>
      <c r="B239" s="294" t="e">
        <v>#N/A</v>
      </c>
      <c r="C239" s="65" t="e">
        <v>#N/A</v>
      </c>
      <c r="D239" s="65" t="e">
        <v>#N/A</v>
      </c>
      <c r="E239" s="65" t="e">
        <v>#N/A</v>
      </c>
      <c r="F239" s="65" t="e">
        <v>#N/A</v>
      </c>
      <c r="G239" s="65" t="e">
        <v>#N/A</v>
      </c>
      <c r="H239" s="65" t="e">
        <v>#N/A</v>
      </c>
      <c r="I239" s="65" t="e">
        <v>#N/A</v>
      </c>
      <c r="J239" s="65" t="e">
        <v>#N/A</v>
      </c>
      <c r="K239" s="65" t="e">
        <v>#N/A</v>
      </c>
      <c r="L239" s="65" t="e">
        <v>#N/A</v>
      </c>
      <c r="M239" s="65" t="e">
        <v>#N/A</v>
      </c>
      <c r="N239" s="65" t="e">
        <v>#N/A</v>
      </c>
      <c r="O239" s="65" t="e">
        <v>#N/A</v>
      </c>
      <c r="P239" s="65" t="e">
        <v>#N/A</v>
      </c>
    </row>
    <row r="240" spans="1:16" s="65" customFormat="1" x14ac:dyDescent="0.25">
      <c r="A240" s="289" t="e">
        <v>#N/A</v>
      </c>
      <c r="B240" s="294" t="e">
        <v>#N/A</v>
      </c>
      <c r="C240" s="65" t="e">
        <v>#N/A</v>
      </c>
      <c r="D240" s="65" t="e">
        <v>#N/A</v>
      </c>
      <c r="E240" s="65" t="e">
        <v>#N/A</v>
      </c>
      <c r="F240" s="65" t="e">
        <v>#N/A</v>
      </c>
      <c r="G240" s="65" t="e">
        <v>#N/A</v>
      </c>
      <c r="H240" s="65" t="e">
        <v>#N/A</v>
      </c>
      <c r="I240" s="65" t="e">
        <v>#N/A</v>
      </c>
      <c r="J240" s="65" t="e">
        <v>#N/A</v>
      </c>
      <c r="K240" s="65" t="e">
        <v>#N/A</v>
      </c>
      <c r="L240" s="65" t="e">
        <v>#N/A</v>
      </c>
      <c r="M240" s="65" t="e">
        <v>#N/A</v>
      </c>
      <c r="N240" s="65" t="e">
        <v>#N/A</v>
      </c>
      <c r="O240" s="65" t="e">
        <v>#N/A</v>
      </c>
      <c r="P240" s="65" t="e">
        <v>#N/A</v>
      </c>
    </row>
    <row r="241" spans="1:16" s="65" customFormat="1" x14ac:dyDescent="0.25">
      <c r="A241" s="289" t="e">
        <v>#N/A</v>
      </c>
      <c r="B241" s="294" t="e">
        <v>#N/A</v>
      </c>
      <c r="C241" s="65" t="e">
        <v>#N/A</v>
      </c>
      <c r="D241" s="65" t="e">
        <v>#N/A</v>
      </c>
      <c r="E241" s="65" t="e">
        <v>#N/A</v>
      </c>
      <c r="F241" s="65" t="e">
        <v>#N/A</v>
      </c>
      <c r="G241" s="65" t="e">
        <v>#N/A</v>
      </c>
      <c r="H241" s="65" t="e">
        <v>#N/A</v>
      </c>
      <c r="I241" s="65" t="e">
        <v>#N/A</v>
      </c>
      <c r="J241" s="65" t="e">
        <v>#N/A</v>
      </c>
      <c r="K241" s="65" t="e">
        <v>#N/A</v>
      </c>
      <c r="L241" s="65" t="e">
        <v>#N/A</v>
      </c>
      <c r="M241" s="65" t="e">
        <v>#N/A</v>
      </c>
      <c r="N241" s="65" t="e">
        <v>#N/A</v>
      </c>
      <c r="O241" s="65" t="e">
        <v>#N/A</v>
      </c>
      <c r="P241" s="65" t="e">
        <v>#N/A</v>
      </c>
    </row>
    <row r="242" spans="1:16" s="65" customFormat="1" x14ac:dyDescent="0.25">
      <c r="A242" s="289" t="e">
        <v>#N/A</v>
      </c>
      <c r="B242" s="294" t="e">
        <v>#N/A</v>
      </c>
      <c r="C242" s="65" t="e">
        <v>#N/A</v>
      </c>
      <c r="D242" s="65" t="e">
        <v>#N/A</v>
      </c>
      <c r="E242" s="65" t="e">
        <v>#N/A</v>
      </c>
      <c r="F242" s="65" t="e">
        <v>#N/A</v>
      </c>
      <c r="G242" s="65" t="e">
        <v>#N/A</v>
      </c>
      <c r="H242" s="65" t="e">
        <v>#N/A</v>
      </c>
      <c r="I242" s="65" t="e">
        <v>#N/A</v>
      </c>
      <c r="J242" s="65" t="e">
        <v>#N/A</v>
      </c>
      <c r="K242" s="65" t="e">
        <v>#N/A</v>
      </c>
      <c r="L242" s="65" t="e">
        <v>#N/A</v>
      </c>
      <c r="M242" s="65" t="e">
        <v>#N/A</v>
      </c>
      <c r="N242" s="65" t="e">
        <v>#N/A</v>
      </c>
      <c r="O242" s="65" t="e">
        <v>#N/A</v>
      </c>
      <c r="P242" s="65" t="e">
        <v>#N/A</v>
      </c>
    </row>
    <row r="243" spans="1:16" s="65" customFormat="1" x14ac:dyDescent="0.25">
      <c r="A243" s="289" t="e">
        <v>#N/A</v>
      </c>
      <c r="B243" s="294" t="e">
        <v>#N/A</v>
      </c>
      <c r="C243" s="65" t="e">
        <v>#N/A</v>
      </c>
      <c r="D243" s="65" t="e">
        <v>#N/A</v>
      </c>
      <c r="E243" s="65" t="e">
        <v>#N/A</v>
      </c>
      <c r="F243" s="65" t="e">
        <v>#N/A</v>
      </c>
      <c r="G243" s="65" t="e">
        <v>#N/A</v>
      </c>
      <c r="H243" s="65" t="e">
        <v>#N/A</v>
      </c>
      <c r="I243" s="65" t="e">
        <v>#N/A</v>
      </c>
      <c r="J243" s="65" t="e">
        <v>#N/A</v>
      </c>
      <c r="K243" s="65" t="e">
        <v>#N/A</v>
      </c>
      <c r="L243" s="65" t="e">
        <v>#N/A</v>
      </c>
      <c r="M243" s="65" t="e">
        <v>#N/A</v>
      </c>
      <c r="N243" s="65" t="e">
        <v>#N/A</v>
      </c>
      <c r="O243" s="65" t="e">
        <v>#N/A</v>
      </c>
      <c r="P243" s="65" t="e">
        <v>#N/A</v>
      </c>
    </row>
    <row r="244" spans="1:16" s="65" customFormat="1" x14ac:dyDescent="0.25">
      <c r="A244" s="289" t="e">
        <v>#N/A</v>
      </c>
      <c r="B244" s="294" t="e">
        <v>#N/A</v>
      </c>
      <c r="C244" s="65" t="e">
        <v>#N/A</v>
      </c>
      <c r="D244" s="65" t="e">
        <v>#N/A</v>
      </c>
      <c r="E244" s="65" t="e">
        <v>#N/A</v>
      </c>
      <c r="F244" s="65" t="e">
        <v>#N/A</v>
      </c>
      <c r="G244" s="65" t="e">
        <v>#N/A</v>
      </c>
      <c r="H244" s="65" t="e">
        <v>#N/A</v>
      </c>
      <c r="I244" s="65" t="e">
        <v>#N/A</v>
      </c>
      <c r="J244" s="65" t="e">
        <v>#N/A</v>
      </c>
      <c r="K244" s="65" t="e">
        <v>#N/A</v>
      </c>
      <c r="L244" s="65" t="e">
        <v>#N/A</v>
      </c>
      <c r="M244" s="65" t="e">
        <v>#N/A</v>
      </c>
      <c r="N244" s="65" t="e">
        <v>#N/A</v>
      </c>
      <c r="O244" s="65" t="e">
        <v>#N/A</v>
      </c>
      <c r="P244" s="65" t="e">
        <v>#N/A</v>
      </c>
    </row>
    <row r="245" spans="1:16" s="65" customFormat="1" x14ac:dyDescent="0.25">
      <c r="A245" s="289" t="e">
        <v>#N/A</v>
      </c>
      <c r="B245" s="294" t="e">
        <v>#N/A</v>
      </c>
      <c r="C245" s="65" t="e">
        <v>#N/A</v>
      </c>
      <c r="D245" s="65" t="e">
        <v>#N/A</v>
      </c>
      <c r="E245" s="65" t="e">
        <v>#N/A</v>
      </c>
      <c r="F245" s="65" t="e">
        <v>#N/A</v>
      </c>
      <c r="G245" s="65" t="e">
        <v>#N/A</v>
      </c>
      <c r="H245" s="65" t="e">
        <v>#N/A</v>
      </c>
      <c r="I245" s="65" t="e">
        <v>#N/A</v>
      </c>
      <c r="J245" s="65" t="e">
        <v>#N/A</v>
      </c>
      <c r="K245" s="65" t="e">
        <v>#N/A</v>
      </c>
      <c r="L245" s="65" t="e">
        <v>#N/A</v>
      </c>
      <c r="M245" s="65" t="e">
        <v>#N/A</v>
      </c>
      <c r="N245" s="65" t="e">
        <v>#N/A</v>
      </c>
      <c r="O245" s="65" t="e">
        <v>#N/A</v>
      </c>
      <c r="P245" s="65" t="e">
        <v>#N/A</v>
      </c>
    </row>
    <row r="246" spans="1:16" s="65" customFormat="1" x14ac:dyDescent="0.25">
      <c r="A246" s="289" t="e">
        <v>#N/A</v>
      </c>
      <c r="B246" s="294" t="e">
        <v>#N/A</v>
      </c>
      <c r="C246" s="65" t="e">
        <v>#N/A</v>
      </c>
      <c r="D246" s="65" t="e">
        <v>#N/A</v>
      </c>
      <c r="E246" s="65" t="e">
        <v>#N/A</v>
      </c>
      <c r="F246" s="65" t="e">
        <v>#N/A</v>
      </c>
      <c r="G246" s="65" t="e">
        <v>#N/A</v>
      </c>
      <c r="H246" s="65" t="e">
        <v>#N/A</v>
      </c>
      <c r="I246" s="65" t="e">
        <v>#N/A</v>
      </c>
      <c r="J246" s="65" t="e">
        <v>#N/A</v>
      </c>
      <c r="K246" s="65" t="e">
        <v>#N/A</v>
      </c>
      <c r="L246" s="65" t="e">
        <v>#N/A</v>
      </c>
      <c r="M246" s="65" t="e">
        <v>#N/A</v>
      </c>
      <c r="N246" s="65" t="e">
        <v>#N/A</v>
      </c>
      <c r="O246" s="65" t="e">
        <v>#N/A</v>
      </c>
      <c r="P246" s="65" t="e">
        <v>#N/A</v>
      </c>
    </row>
    <row r="247" spans="1:16" s="65" customFormat="1" x14ac:dyDescent="0.25">
      <c r="A247" s="289" t="e">
        <v>#N/A</v>
      </c>
      <c r="B247" s="294" t="e">
        <v>#N/A</v>
      </c>
      <c r="C247" s="65" t="e">
        <v>#N/A</v>
      </c>
      <c r="D247" s="65" t="e">
        <v>#N/A</v>
      </c>
      <c r="E247" s="65" t="e">
        <v>#N/A</v>
      </c>
      <c r="F247" s="65" t="e">
        <v>#N/A</v>
      </c>
      <c r="G247" s="65" t="e">
        <v>#N/A</v>
      </c>
      <c r="H247" s="65" t="e">
        <v>#N/A</v>
      </c>
      <c r="I247" s="65" t="e">
        <v>#N/A</v>
      </c>
      <c r="J247" s="65" t="e">
        <v>#N/A</v>
      </c>
      <c r="K247" s="65" t="e">
        <v>#N/A</v>
      </c>
      <c r="L247" s="65" t="e">
        <v>#N/A</v>
      </c>
      <c r="M247" s="65" t="e">
        <v>#N/A</v>
      </c>
      <c r="N247" s="65" t="e">
        <v>#N/A</v>
      </c>
      <c r="O247" s="65" t="e">
        <v>#N/A</v>
      </c>
      <c r="P247" s="65" t="e">
        <v>#N/A</v>
      </c>
    </row>
    <row r="248" spans="1:16" s="65" customFormat="1" x14ac:dyDescent="0.25">
      <c r="A248" s="289" t="e">
        <v>#N/A</v>
      </c>
      <c r="B248" s="294" t="e">
        <v>#N/A</v>
      </c>
      <c r="C248" s="65" t="e">
        <v>#N/A</v>
      </c>
      <c r="D248" s="65" t="e">
        <v>#N/A</v>
      </c>
      <c r="E248" s="65" t="e">
        <v>#N/A</v>
      </c>
      <c r="F248" s="65" t="e">
        <v>#N/A</v>
      </c>
      <c r="G248" s="65" t="e">
        <v>#N/A</v>
      </c>
      <c r="H248" s="65" t="e">
        <v>#N/A</v>
      </c>
      <c r="I248" s="65" t="e">
        <v>#N/A</v>
      </c>
      <c r="J248" s="65" t="e">
        <v>#N/A</v>
      </c>
      <c r="K248" s="65" t="e">
        <v>#N/A</v>
      </c>
      <c r="L248" s="65" t="e">
        <v>#N/A</v>
      </c>
      <c r="M248" s="65" t="e">
        <v>#N/A</v>
      </c>
      <c r="N248" s="65" t="e">
        <v>#N/A</v>
      </c>
      <c r="O248" s="65" t="e">
        <v>#N/A</v>
      </c>
      <c r="P248" s="65" t="e">
        <v>#N/A</v>
      </c>
    </row>
    <row r="249" spans="1:16" s="65" customFormat="1" x14ac:dyDescent="0.25">
      <c r="A249" s="289" t="e">
        <v>#N/A</v>
      </c>
      <c r="B249" s="294" t="e">
        <v>#N/A</v>
      </c>
      <c r="C249" s="65" t="e">
        <v>#N/A</v>
      </c>
      <c r="D249" s="65" t="e">
        <v>#N/A</v>
      </c>
      <c r="E249" s="65" t="e">
        <v>#N/A</v>
      </c>
      <c r="F249" s="65" t="e">
        <v>#N/A</v>
      </c>
      <c r="G249" s="65" t="e">
        <v>#N/A</v>
      </c>
      <c r="H249" s="65" t="e">
        <v>#N/A</v>
      </c>
      <c r="I249" s="65" t="e">
        <v>#N/A</v>
      </c>
      <c r="J249" s="65" t="e">
        <v>#N/A</v>
      </c>
      <c r="K249" s="65" t="e">
        <v>#N/A</v>
      </c>
      <c r="L249" s="65" t="e">
        <v>#N/A</v>
      </c>
      <c r="M249" s="65" t="e">
        <v>#N/A</v>
      </c>
      <c r="N249" s="65" t="e">
        <v>#N/A</v>
      </c>
      <c r="O249" s="65" t="e">
        <v>#N/A</v>
      </c>
      <c r="P249" s="65" t="e">
        <v>#N/A</v>
      </c>
    </row>
    <row r="250" spans="1:16" s="65" customFormat="1" x14ac:dyDescent="0.25">
      <c r="A250" s="289" t="e">
        <v>#N/A</v>
      </c>
      <c r="B250" s="294" t="e">
        <v>#N/A</v>
      </c>
      <c r="C250" s="65" t="e">
        <v>#N/A</v>
      </c>
      <c r="D250" s="65" t="e">
        <v>#N/A</v>
      </c>
      <c r="E250" s="65" t="e">
        <v>#N/A</v>
      </c>
      <c r="F250" s="65" t="e">
        <v>#N/A</v>
      </c>
      <c r="G250" s="65" t="e">
        <v>#N/A</v>
      </c>
      <c r="H250" s="65" t="e">
        <v>#N/A</v>
      </c>
      <c r="I250" s="65" t="e">
        <v>#N/A</v>
      </c>
      <c r="J250" s="65" t="e">
        <v>#N/A</v>
      </c>
      <c r="K250" s="65" t="e">
        <v>#N/A</v>
      </c>
      <c r="L250" s="65" t="e">
        <v>#N/A</v>
      </c>
      <c r="M250" s="65" t="e">
        <v>#N/A</v>
      </c>
      <c r="N250" s="65" t="e">
        <v>#N/A</v>
      </c>
      <c r="O250" s="65" t="e">
        <v>#N/A</v>
      </c>
      <c r="P250" s="65" t="e">
        <v>#N/A</v>
      </c>
    </row>
    <row r="251" spans="1:16" s="65" customFormat="1" x14ac:dyDescent="0.25">
      <c r="A251" s="289" t="e">
        <v>#N/A</v>
      </c>
      <c r="B251" s="294" t="e">
        <v>#N/A</v>
      </c>
      <c r="C251" s="65" t="e">
        <v>#N/A</v>
      </c>
      <c r="D251" s="65" t="e">
        <v>#N/A</v>
      </c>
      <c r="E251" s="65" t="e">
        <v>#N/A</v>
      </c>
      <c r="F251" s="65" t="e">
        <v>#N/A</v>
      </c>
      <c r="G251" s="65" t="e">
        <v>#N/A</v>
      </c>
      <c r="H251" s="65" t="e">
        <v>#N/A</v>
      </c>
      <c r="I251" s="65" t="e">
        <v>#N/A</v>
      </c>
      <c r="J251" s="65" t="e">
        <v>#N/A</v>
      </c>
      <c r="K251" s="65" t="e">
        <v>#N/A</v>
      </c>
      <c r="L251" s="65" t="e">
        <v>#N/A</v>
      </c>
      <c r="M251" s="65" t="e">
        <v>#N/A</v>
      </c>
      <c r="N251" s="65" t="e">
        <v>#N/A</v>
      </c>
      <c r="O251" s="65" t="e">
        <v>#N/A</v>
      </c>
      <c r="P251" s="65" t="e">
        <v>#N/A</v>
      </c>
    </row>
    <row r="252" spans="1:16" s="65" customFormat="1" x14ac:dyDescent="0.25">
      <c r="A252" s="289" t="e">
        <v>#N/A</v>
      </c>
      <c r="B252" s="294" t="e">
        <v>#N/A</v>
      </c>
      <c r="C252" s="65" t="e">
        <v>#N/A</v>
      </c>
      <c r="D252" s="65" t="e">
        <v>#N/A</v>
      </c>
      <c r="E252" s="65" t="e">
        <v>#N/A</v>
      </c>
      <c r="F252" s="65" t="e">
        <v>#N/A</v>
      </c>
      <c r="G252" s="65" t="e">
        <v>#N/A</v>
      </c>
      <c r="H252" s="65" t="e">
        <v>#N/A</v>
      </c>
      <c r="I252" s="65" t="e">
        <v>#N/A</v>
      </c>
      <c r="J252" s="65" t="e">
        <v>#N/A</v>
      </c>
      <c r="K252" s="65" t="e">
        <v>#N/A</v>
      </c>
      <c r="L252" s="65" t="e">
        <v>#N/A</v>
      </c>
      <c r="M252" s="65" t="e">
        <v>#N/A</v>
      </c>
      <c r="N252" s="65" t="e">
        <v>#N/A</v>
      </c>
      <c r="O252" s="65" t="e">
        <v>#N/A</v>
      </c>
      <c r="P252" s="65" t="e">
        <v>#N/A</v>
      </c>
    </row>
    <row r="253" spans="1:16" s="65" customFormat="1" x14ac:dyDescent="0.25">
      <c r="A253" s="289" t="e">
        <v>#N/A</v>
      </c>
      <c r="B253" s="294" t="e">
        <v>#N/A</v>
      </c>
      <c r="C253" s="65" t="e">
        <v>#N/A</v>
      </c>
      <c r="D253" s="65" t="e">
        <v>#N/A</v>
      </c>
      <c r="E253" s="65" t="e">
        <v>#N/A</v>
      </c>
      <c r="F253" s="65" t="e">
        <v>#N/A</v>
      </c>
      <c r="G253" s="65" t="e">
        <v>#N/A</v>
      </c>
      <c r="H253" s="65" t="e">
        <v>#N/A</v>
      </c>
      <c r="I253" s="65" t="e">
        <v>#N/A</v>
      </c>
      <c r="J253" s="65" t="e">
        <v>#N/A</v>
      </c>
      <c r="K253" s="65" t="e">
        <v>#N/A</v>
      </c>
      <c r="L253" s="65" t="e">
        <v>#N/A</v>
      </c>
      <c r="M253" s="65" t="e">
        <v>#N/A</v>
      </c>
      <c r="N253" s="65" t="e">
        <v>#N/A</v>
      </c>
      <c r="O253" s="65" t="e">
        <v>#N/A</v>
      </c>
      <c r="P253" s="65" t="e">
        <v>#N/A</v>
      </c>
    </row>
    <row r="254" spans="1:16" s="65" customFormat="1" x14ac:dyDescent="0.25">
      <c r="A254" s="289" t="e">
        <v>#N/A</v>
      </c>
      <c r="B254" s="294" t="e">
        <v>#N/A</v>
      </c>
      <c r="C254" s="65" t="e">
        <v>#N/A</v>
      </c>
      <c r="D254" s="65" t="e">
        <v>#N/A</v>
      </c>
      <c r="E254" s="65" t="e">
        <v>#N/A</v>
      </c>
      <c r="F254" s="65" t="e">
        <v>#N/A</v>
      </c>
      <c r="G254" s="65" t="e">
        <v>#N/A</v>
      </c>
      <c r="H254" s="65" t="e">
        <v>#N/A</v>
      </c>
      <c r="I254" s="65" t="e">
        <v>#N/A</v>
      </c>
      <c r="J254" s="65" t="e">
        <v>#N/A</v>
      </c>
      <c r="K254" s="65" t="e">
        <v>#N/A</v>
      </c>
      <c r="L254" s="65" t="e">
        <v>#N/A</v>
      </c>
      <c r="M254" s="65" t="e">
        <v>#N/A</v>
      </c>
      <c r="N254" s="65" t="e">
        <v>#N/A</v>
      </c>
      <c r="O254" s="65" t="e">
        <v>#N/A</v>
      </c>
      <c r="P254" s="65" t="e">
        <v>#N/A</v>
      </c>
    </row>
    <row r="255" spans="1:16" s="65" customFormat="1" x14ac:dyDescent="0.25">
      <c r="A255" s="289" t="e">
        <v>#N/A</v>
      </c>
      <c r="B255" s="294" t="e">
        <v>#N/A</v>
      </c>
      <c r="C255" s="65" t="e">
        <v>#N/A</v>
      </c>
      <c r="D255" s="65" t="e">
        <v>#N/A</v>
      </c>
      <c r="E255" s="65" t="e">
        <v>#N/A</v>
      </c>
      <c r="F255" s="65" t="e">
        <v>#N/A</v>
      </c>
      <c r="G255" s="65" t="e">
        <v>#N/A</v>
      </c>
      <c r="H255" s="65" t="e">
        <v>#N/A</v>
      </c>
      <c r="I255" s="65" t="e">
        <v>#N/A</v>
      </c>
      <c r="J255" s="65" t="e">
        <v>#N/A</v>
      </c>
      <c r="K255" s="65" t="e">
        <v>#N/A</v>
      </c>
      <c r="L255" s="65" t="e">
        <v>#N/A</v>
      </c>
      <c r="M255" s="65" t="e">
        <v>#N/A</v>
      </c>
      <c r="N255" s="65" t="e">
        <v>#N/A</v>
      </c>
      <c r="O255" s="65" t="e">
        <v>#N/A</v>
      </c>
      <c r="P255" s="65" t="e">
        <v>#N/A</v>
      </c>
    </row>
    <row r="256" spans="1:16" s="65" customFormat="1" x14ac:dyDescent="0.25">
      <c r="A256" s="289" t="e">
        <v>#N/A</v>
      </c>
      <c r="B256" s="294" t="e">
        <v>#N/A</v>
      </c>
      <c r="C256" s="65" t="e">
        <v>#N/A</v>
      </c>
      <c r="D256" s="65" t="e">
        <v>#N/A</v>
      </c>
      <c r="E256" s="65" t="e">
        <v>#N/A</v>
      </c>
      <c r="F256" s="65" t="e">
        <v>#N/A</v>
      </c>
      <c r="G256" s="65" t="e">
        <v>#N/A</v>
      </c>
      <c r="H256" s="65" t="e">
        <v>#N/A</v>
      </c>
      <c r="I256" s="65" t="e">
        <v>#N/A</v>
      </c>
      <c r="J256" s="65" t="e">
        <v>#N/A</v>
      </c>
      <c r="K256" s="65" t="e">
        <v>#N/A</v>
      </c>
      <c r="L256" s="65" t="e">
        <v>#N/A</v>
      </c>
      <c r="M256" s="65" t="e">
        <v>#N/A</v>
      </c>
      <c r="N256" s="65" t="e">
        <v>#N/A</v>
      </c>
      <c r="O256" s="65" t="e">
        <v>#N/A</v>
      </c>
      <c r="P256" s="65" t="e">
        <v>#N/A</v>
      </c>
    </row>
    <row r="257" spans="1:16" s="65" customFormat="1" x14ac:dyDescent="0.25">
      <c r="A257" s="295" t="e">
        <v>#N/A</v>
      </c>
      <c r="B257" s="294" t="e">
        <v>#N/A</v>
      </c>
      <c r="C257" s="65" t="e">
        <v>#N/A</v>
      </c>
      <c r="D257" s="65" t="e">
        <v>#N/A</v>
      </c>
      <c r="E257" s="65" t="e">
        <v>#N/A</v>
      </c>
      <c r="F257" s="65" t="e">
        <v>#N/A</v>
      </c>
      <c r="G257" s="65" t="e">
        <v>#N/A</v>
      </c>
      <c r="H257" s="65" t="e">
        <v>#N/A</v>
      </c>
      <c r="I257" s="65" t="e">
        <v>#N/A</v>
      </c>
      <c r="J257" s="65" t="e">
        <v>#N/A</v>
      </c>
      <c r="K257" s="65" t="e">
        <v>#N/A</v>
      </c>
      <c r="L257" s="65" t="e">
        <v>#N/A</v>
      </c>
      <c r="M257" s="65" t="e">
        <v>#N/A</v>
      </c>
      <c r="N257" s="65" t="e">
        <v>#N/A</v>
      </c>
      <c r="O257" s="65" t="e">
        <v>#N/A</v>
      </c>
      <c r="P257" s="65" t="e">
        <v>#N/A</v>
      </c>
    </row>
    <row r="258" spans="1:16" s="65" customFormat="1" ht="15" hidden="1" customHeight="1" x14ac:dyDescent="0.25">
      <c r="A258" s="65" t="s">
        <v>378</v>
      </c>
      <c r="B258" s="294"/>
      <c r="C258" s="65">
        <f>INDEX(Parameter!$9:$9,,MATCH(1,Parameter!$8:$8,0))</f>
        <v>1</v>
      </c>
      <c r="D258" s="65">
        <f>INDEX(Parameter!$B$10:$AB$10,MATCH(C258,Parameter!$B$9:$AB$9,0))</f>
        <v>3</v>
      </c>
      <c r="E258" s="65">
        <f>COUNTIF(Data!$DY$90:$IB$90,Specials!C258)</f>
        <v>2</v>
      </c>
      <c r="F258" s="65">
        <f ca="1">LARGE(OFFSET(Data!$BR$91:$BR$190,,MATCH(C258,Data!$BR$90:$CR$90,0)-1),1)</f>
        <v>2</v>
      </c>
      <c r="H258" s="65">
        <f t="array" aca="1" ref="H258" ca="1">IF(E258&gt;0,SUM(IF((OFFSET(Data!$BR$91:$BR$190,,MATCH(C258,Data!$BR$90:$CR$90,0)-1)&gt;=OFFSET(Data!$AQ$91:$AQ$190,,MATCH(C258,Data!$AQ$90:$BQ$90,0)-1))*(OFFSET(Data!$AQ$91:$AQ$190,,MATCH(C258,Data!$AQ$90:$BQ$90,0)-1)&gt;0)*(Data!$AM$91:$AM$190&gt;0),1)),0)</f>
        <v>2</v>
      </c>
      <c r="K258" s="65" t="str">
        <f t="array" aca="1" ref="K258" ca="1">IF(H258=1,INDEX(Data!$DT$91:$DT$190,MATCH(F258,IF(OFFSET(Data!$BR$91:$BR$190,,MATCH(C258,Data!$BR$90:$CR$90,0)-1)&gt;=OFFSET(Data!$AQ$91:$AQ$190,,MATCH(C258,Data!$AQ$90:$BQ$90,0)-1),OFFSET(Data!$BR$91:$BR$190,,MATCH(C258,Data!$BR$90:$CR$90,0)-1)),0)),H258&amp;" Players")</f>
        <v>2 Players</v>
      </c>
      <c r="L258" s="65" t="str">
        <f>""</f>
        <v/>
      </c>
      <c r="M258" s="65" t="s">
        <v>254</v>
      </c>
      <c r="N258" s="65" t="s">
        <v>255</v>
      </c>
      <c r="O258" s="65" t="e">
        <f t="shared" ca="1" si="19"/>
        <v>#N/A</v>
      </c>
      <c r="P258" s="65" t="str">
        <f ca="1">IF(H258=1,"On hole "&amp;C258&amp;" (par "&amp;D258&amp;") only "&amp;K258&amp;" played all rounds under par","")</f>
        <v/>
      </c>
    </row>
    <row r="259" spans="1:16" s="65" customFormat="1" x14ac:dyDescent="0.25">
      <c r="A259" s="65" t="s">
        <v>63</v>
      </c>
      <c r="B259" s="294" t="s">
        <v>240</v>
      </c>
      <c r="C259" s="65" t="s">
        <v>36</v>
      </c>
      <c r="D259" s="65" t="s">
        <v>241</v>
      </c>
      <c r="E259" s="65" t="s">
        <v>242</v>
      </c>
      <c r="F259" s="65" t="s">
        <v>243</v>
      </c>
      <c r="G259" s="65" t="s">
        <v>244</v>
      </c>
      <c r="H259" s="65" t="s">
        <v>245</v>
      </c>
      <c r="I259" s="65" t="s">
        <v>246</v>
      </c>
      <c r="J259" s="65" t="s">
        <v>247</v>
      </c>
      <c r="L259" s="65" t="s">
        <v>248</v>
      </c>
      <c r="M259" s="65" t="s">
        <v>249</v>
      </c>
      <c r="N259" s="65" t="s">
        <v>250</v>
      </c>
      <c r="O259" s="65" t="s">
        <v>251</v>
      </c>
      <c r="P259" s="65" t="s">
        <v>252</v>
      </c>
    </row>
    <row r="260" spans="1:16" s="65" customFormat="1" hidden="1" x14ac:dyDescent="0.25">
      <c r="A260" s="65" t="s">
        <v>378</v>
      </c>
      <c r="B260" s="294"/>
      <c r="C260" s="65">
        <f>INDEX(Parameter!$9:$9,,MATCH(3,Parameter!$8:$8,0))</f>
        <v>3</v>
      </c>
      <c r="D260" s="65">
        <f>INDEX(Parameter!$B$10:$AB$10,MATCH(C260,Parameter!$B$9:$AB$9,0))</f>
        <v>3</v>
      </c>
      <c r="E260" s="65">
        <f>COUNTIF(Data!$DY$90:$IB$90,Specials!C260)</f>
        <v>2</v>
      </c>
      <c r="F260" s="65">
        <f ca="1">LARGE(OFFSET(Data!$BR$91:$BR$190,,MATCH(C260,Data!$BR$90:$CR$90,0)-1),1)</f>
        <v>2</v>
      </c>
      <c r="H260" s="65">
        <f t="array" aca="1" ref="H260" ca="1">IF(E260&gt;0,SUM(IF((OFFSET(Data!$BR$91:$BR$190,,MATCH(C260,Data!$BR$90:$CR$90,0)-1)&gt;=OFFSET(Data!$AQ$91:$AQ$190,,MATCH(C260,Data!$AQ$90:$BQ$90,0)-1))*(OFFSET(Data!$AQ$91:$AQ$190,,MATCH(C260,Data!$AQ$90:$BQ$90,0)-1)&gt;0)*(Data!$AM$91:$AM$190&gt;0),1)),0)</f>
        <v>1</v>
      </c>
      <c r="K260" s="65" t="str">
        <f t="array" aca="1" ref="K260" ca="1">IF(H260=1,INDEX(Data!$DT$91:$DT$190,MATCH(F260,IF(OFFSET(Data!$BR$91:$BR$190,,MATCH(C260,Data!$BR$90:$CR$90,0)-1)&gt;=OFFSET(Data!$AQ$91:$AQ$190,,MATCH(C260,Data!$AQ$90:$BQ$90,0)-1),OFFSET(Data!$BR$91:$BR$190,,MATCH(C260,Data!$BR$90:$CR$90,0)-1)),0)),H260&amp;" Players")</f>
        <v>Dani Hatvani</v>
      </c>
      <c r="L260" s="65" t="str">
        <f>""</f>
        <v/>
      </c>
      <c r="M260" s="65" t="s">
        <v>254</v>
      </c>
      <c r="N260" s="65" t="s">
        <v>255</v>
      </c>
      <c r="O260" s="65" t="e">
        <f t="shared" ref="O260:O323" ca="1" si="20">IF(AND($P260&lt;&gt;"",$N260="yes"),O259+1,O259)</f>
        <v>#VALUE!</v>
      </c>
      <c r="P260" s="65" t="str">
        <f ca="1">IF(H260=1,"On hole "&amp;C260&amp;" (par "&amp;D260&amp;") only "&amp;K260&amp;" played all rounds under par","")</f>
        <v>On hole 3 (par 3) only Dani Hatvani played all rounds under par</v>
      </c>
    </row>
    <row r="261" spans="1:16" s="65" customFormat="1" hidden="1" x14ac:dyDescent="0.25">
      <c r="A261" s="65" t="s">
        <v>378</v>
      </c>
      <c r="B261" s="294"/>
      <c r="C261" s="65">
        <f>INDEX(Parameter!$9:$9,,MATCH(4,Parameter!$8:$8,0))</f>
        <v>4</v>
      </c>
      <c r="D261" s="65">
        <f>INDEX(Parameter!$B$10:$AB$10,MATCH(C261,Parameter!$B$9:$AB$9,0))</f>
        <v>3</v>
      </c>
      <c r="E261" s="65">
        <f>COUNTIF(Data!$DY$90:$IB$90,Specials!C261)</f>
        <v>2</v>
      </c>
      <c r="F261" s="65">
        <f ca="1">LARGE(OFFSET(Data!$BR$91:$BR$190,,MATCH(C261,Data!$BR$90:$CR$90,0)-1),1)</f>
        <v>2</v>
      </c>
      <c r="H261" s="65">
        <f t="array" aca="1" ref="H261" ca="1">IF(E261&gt;0,SUM(IF((OFFSET(Data!$BR$91:$BR$190,,MATCH(C261,Data!$BR$90:$CR$90,0)-1)&gt;=OFFSET(Data!$AQ$91:$AQ$190,,MATCH(C261,Data!$AQ$90:$BQ$90,0)-1))*(OFFSET(Data!$AQ$91:$AQ$190,,MATCH(C261,Data!$AQ$90:$BQ$90,0)-1)&gt;0)*(Data!$AM$91:$AM$190&gt;0),1)),0)</f>
        <v>1</v>
      </c>
      <c r="K261" s="65" t="str">
        <f t="array" aca="1" ref="K261" ca="1">IF(H261=1,INDEX(Data!$DT$91:$DT$190,MATCH(F261,IF(OFFSET(Data!$BR$91:$BR$190,,MATCH(C261,Data!$BR$90:$CR$90,0)-1)&gt;=OFFSET(Data!$AQ$91:$AQ$190,,MATCH(C261,Data!$AQ$90:$BQ$90,0)-1),OFFSET(Data!$BR$91:$BR$190,,MATCH(C261,Data!$BR$90:$CR$90,0)-1)),0)),H261&amp;" Players")</f>
        <v>Michal Kúdela</v>
      </c>
      <c r="L261" s="65" t="str">
        <f>""</f>
        <v/>
      </c>
      <c r="M261" s="65" t="s">
        <v>254</v>
      </c>
      <c r="N261" s="65" t="s">
        <v>255</v>
      </c>
      <c r="O261" s="65" t="e">
        <f t="shared" ca="1" si="20"/>
        <v>#VALUE!</v>
      </c>
      <c r="P261" s="65" t="str">
        <f ca="1">IF(H261=1,"On hole "&amp;C261&amp;" (par "&amp;D261&amp;") only "&amp;K261&amp;" played all rounds under par","")</f>
        <v>On hole 4 (par 3) only Michal Kúdela played all rounds under par</v>
      </c>
    </row>
    <row r="262" spans="1:16" s="65" customFormat="1" hidden="1" x14ac:dyDescent="0.25">
      <c r="A262" s="65" t="s">
        <v>378</v>
      </c>
      <c r="B262" s="294"/>
      <c r="C262" s="65">
        <f>INDEX(Parameter!$9:$9,,MATCH(5,Parameter!$8:$8,0))</f>
        <v>5</v>
      </c>
      <c r="D262" s="65">
        <f>INDEX(Parameter!$B$10:$AB$10,MATCH(C262,Parameter!$B$9:$AB$9,0))</f>
        <v>4</v>
      </c>
      <c r="E262" s="65">
        <f>COUNTIF(Data!$DY$90:$IB$90,Specials!C262)</f>
        <v>2</v>
      </c>
      <c r="F262" s="65">
        <f ca="1">LARGE(OFFSET(Data!$BR$91:$BR$190,,MATCH(C262,Data!$BR$90:$CR$90,0)-1),1)</f>
        <v>2</v>
      </c>
      <c r="H262" s="65">
        <f t="array" aca="1" ref="H262" ca="1">IF(E262&gt;0,SUM(IF((OFFSET(Data!$BR$91:$BR$190,,MATCH(C262,Data!$BR$90:$CR$90,0)-1)&gt;=OFFSET(Data!$AQ$91:$AQ$190,,MATCH(C262,Data!$AQ$90:$BQ$90,0)-1))*(OFFSET(Data!$AQ$91:$AQ$190,,MATCH(C262,Data!$AQ$90:$BQ$90,0)-1)&gt;0)*(Data!$AM$91:$AM$190&gt;0),1)),0)</f>
        <v>4</v>
      </c>
      <c r="K262" s="65" t="str">
        <f t="array" aca="1" ref="K262" ca="1">IF(H262=1,INDEX(Data!$DT$91:$DT$190,MATCH(F262,IF(OFFSET(Data!$BR$91:$BR$190,,MATCH(C262,Data!$BR$90:$CR$90,0)-1)&gt;=OFFSET(Data!$AQ$91:$AQ$190,,MATCH(C262,Data!$AQ$90:$BQ$90,0)-1),OFFSET(Data!$BR$91:$BR$190,,MATCH(C262,Data!$BR$90:$CR$90,0)-1)),0)),H262&amp;" Players")</f>
        <v>4 Players</v>
      </c>
      <c r="L262" s="65" t="str">
        <f>""</f>
        <v/>
      </c>
      <c r="M262" s="65" t="s">
        <v>254</v>
      </c>
      <c r="N262" s="65" t="s">
        <v>255</v>
      </c>
      <c r="O262" s="65" t="e">
        <f t="shared" ca="1" si="20"/>
        <v>#VALUE!</v>
      </c>
      <c r="P262" s="65" t="str">
        <f ca="1">IF(H262=1,"On hole "&amp;C262&amp;" (par "&amp;D262&amp;") only "&amp;K262&amp;" played all rounds under par","")</f>
        <v/>
      </c>
    </row>
    <row r="263" spans="1:16" s="65" customFormat="1" hidden="1" x14ac:dyDescent="0.25">
      <c r="A263" s="65" t="s">
        <v>378</v>
      </c>
      <c r="B263" s="294"/>
      <c r="C263" s="65">
        <f>INDEX(Parameter!$9:$9,,MATCH(6,Parameter!$8:$8,0))</f>
        <v>6</v>
      </c>
      <c r="D263" s="65">
        <f>INDEX(Parameter!$B$10:$AB$10,MATCH(C263,Parameter!$B$9:$AB$9,0))</f>
        <v>3</v>
      </c>
      <c r="E263" s="65">
        <f>COUNTIF(Data!$DY$90:$IB$90,Specials!C263)</f>
        <v>2</v>
      </c>
      <c r="F263" s="65">
        <f ca="1">LARGE(OFFSET(Data!$BR$91:$BR$190,,MATCH(C263,Data!$BR$90:$CR$90,0)-1),1)</f>
        <v>1</v>
      </c>
      <c r="H263" s="65">
        <f t="array" aca="1" ref="H263" ca="1">IF(E263&gt;0,SUM(IF((OFFSET(Data!$BR$91:$BR$190,,MATCH(C263,Data!$BR$90:$CR$90,0)-1)&gt;=OFFSET(Data!$AQ$91:$AQ$190,,MATCH(C263,Data!$AQ$90:$BQ$90,0)-1))*(OFFSET(Data!$AQ$91:$AQ$190,,MATCH(C263,Data!$AQ$90:$BQ$90,0)-1)&gt;0)*(Data!$AM$91:$AM$190&gt;0),1)),0)</f>
        <v>0</v>
      </c>
      <c r="K263" s="65" t="str">
        <f t="array" aca="1" ref="K263" ca="1">IF(H263=1,INDEX(Data!$DT$91:$DT$190,MATCH(F263,IF(OFFSET(Data!$BR$91:$BR$190,,MATCH(C263,Data!$BR$90:$CR$90,0)-1)&gt;=OFFSET(Data!$AQ$91:$AQ$190,,MATCH(C263,Data!$AQ$90:$BQ$90,0)-1),OFFSET(Data!$BR$91:$BR$190,,MATCH(C263,Data!$BR$90:$CR$90,0)-1)),0)),H263&amp;" Players")</f>
        <v>0 Players</v>
      </c>
      <c r="L263" s="65" t="str">
        <f>""</f>
        <v/>
      </c>
      <c r="M263" s="65" t="s">
        <v>254</v>
      </c>
      <c r="N263" s="65" t="s">
        <v>255</v>
      </c>
      <c r="O263" s="65" t="e">
        <f t="shared" ca="1" si="20"/>
        <v>#VALUE!</v>
      </c>
      <c r="P263" s="65" t="str">
        <f t="shared" ref="P263:P284" ca="1" si="21">IF(H263=1,"On hole "&amp;C263&amp;" (par "&amp;D263&amp;") only "&amp;K263&amp;" played all rounds under par","")</f>
        <v/>
      </c>
    </row>
    <row r="264" spans="1:16" s="65" customFormat="1" hidden="1" x14ac:dyDescent="0.25">
      <c r="A264" s="65" t="s">
        <v>378</v>
      </c>
      <c r="B264" s="294"/>
      <c r="C264" s="65">
        <f>INDEX(Parameter!$9:$9,,MATCH(7,Parameter!$8:$8,0))</f>
        <v>7</v>
      </c>
      <c r="D264" s="65">
        <f>INDEX(Parameter!$B$10:$AB$10,MATCH(C264,Parameter!$B$9:$AB$9,0))</f>
        <v>3</v>
      </c>
      <c r="E264" s="65">
        <f>COUNTIF(Data!$DY$90:$IB$90,Specials!C264)</f>
        <v>2</v>
      </c>
      <c r="F264" s="65">
        <f ca="1">LARGE(OFFSET(Data!$BR$91:$BR$190,,MATCH(C264,Data!$BR$90:$CR$90,0)-1),1)</f>
        <v>1</v>
      </c>
      <c r="H264" s="65">
        <f t="array" aca="1" ref="H264" ca="1">IF(E264&gt;0,SUM(IF((OFFSET(Data!$BR$91:$BR$190,,MATCH(C264,Data!$BR$90:$CR$90,0)-1)&gt;=OFFSET(Data!$AQ$91:$AQ$190,,MATCH(C264,Data!$AQ$90:$BQ$90,0)-1))*(OFFSET(Data!$AQ$91:$AQ$190,,MATCH(C264,Data!$AQ$90:$BQ$90,0)-1)&gt;0)*(Data!$AM$91:$AM$190&gt;0),1)),0)</f>
        <v>0</v>
      </c>
      <c r="K264" s="65" t="str">
        <f t="array" aca="1" ref="K264" ca="1">IF(H264=1,INDEX(Data!$DT$91:$DT$190,MATCH(F264,IF(OFFSET(Data!$BR$91:$BR$190,,MATCH(C264,Data!$BR$90:$CR$90,0)-1)&gt;=OFFSET(Data!$AQ$91:$AQ$190,,MATCH(C264,Data!$AQ$90:$BQ$90,0)-1),OFFSET(Data!$BR$91:$BR$190,,MATCH(C264,Data!$BR$90:$CR$90,0)-1)),0)),H264&amp;" Players")</f>
        <v>0 Players</v>
      </c>
      <c r="L264" s="65" t="str">
        <f>""</f>
        <v/>
      </c>
      <c r="M264" s="65" t="s">
        <v>254</v>
      </c>
      <c r="N264" s="65" t="s">
        <v>255</v>
      </c>
      <c r="O264" s="65" t="e">
        <f t="shared" ca="1" si="20"/>
        <v>#VALUE!</v>
      </c>
      <c r="P264" s="65" t="str">
        <f t="shared" ca="1" si="21"/>
        <v/>
      </c>
    </row>
    <row r="265" spans="1:16" s="65" customFormat="1" hidden="1" x14ac:dyDescent="0.25">
      <c r="A265" s="65" t="s">
        <v>378</v>
      </c>
      <c r="B265" s="294"/>
      <c r="C265" s="65">
        <f>INDEX(Parameter!$9:$9,,MATCH(8,Parameter!$8:$8,0))</f>
        <v>8</v>
      </c>
      <c r="D265" s="65">
        <f>INDEX(Parameter!$B$10:$AB$10,MATCH(C265,Parameter!$B$9:$AB$9,0))</f>
        <v>3</v>
      </c>
      <c r="E265" s="65">
        <f>COUNTIF(Data!$DY$90:$IB$90,Specials!C265)</f>
        <v>2</v>
      </c>
      <c r="F265" s="65">
        <f ca="1">LARGE(OFFSET(Data!$BR$91:$BR$190,,MATCH(C265,Data!$BR$90:$CR$90,0)-1),1)</f>
        <v>2</v>
      </c>
      <c r="H265" s="65">
        <f t="array" aca="1" ref="H265" ca="1">IF(E265&gt;0,SUM(IF((OFFSET(Data!$BR$91:$BR$190,,MATCH(C265,Data!$BR$90:$CR$90,0)-1)&gt;=OFFSET(Data!$AQ$91:$AQ$190,,MATCH(C265,Data!$AQ$90:$BQ$90,0)-1))*(OFFSET(Data!$AQ$91:$AQ$190,,MATCH(C265,Data!$AQ$90:$BQ$90,0)-1)&gt;0)*(Data!$AM$91:$AM$190&gt;0),1)),0)</f>
        <v>2</v>
      </c>
      <c r="K265" s="65" t="str">
        <f t="array" aca="1" ref="K265" ca="1">IF(H265=1,INDEX(Data!$DT$91:$DT$190,MATCH(F265,IF(OFFSET(Data!$BR$91:$BR$190,,MATCH(C265,Data!$BR$90:$CR$90,0)-1)&gt;=OFFSET(Data!$AQ$91:$AQ$190,,MATCH(C265,Data!$AQ$90:$BQ$90,0)-1),OFFSET(Data!$BR$91:$BR$190,,MATCH(C265,Data!$BR$90:$CR$90,0)-1)),0)),H265&amp;" Players")</f>
        <v>2 Players</v>
      </c>
      <c r="L265" s="65" t="str">
        <f>""</f>
        <v/>
      </c>
      <c r="M265" s="65" t="s">
        <v>254</v>
      </c>
      <c r="N265" s="65" t="s">
        <v>255</v>
      </c>
      <c r="O265" s="65" t="e">
        <f t="shared" ca="1" si="20"/>
        <v>#VALUE!</v>
      </c>
      <c r="P265" s="65" t="str">
        <f t="shared" ca="1" si="21"/>
        <v/>
      </c>
    </row>
    <row r="266" spans="1:16" s="65" customFormat="1" hidden="1" x14ac:dyDescent="0.25">
      <c r="A266" s="65" t="s">
        <v>378</v>
      </c>
      <c r="B266" s="294"/>
      <c r="C266" s="65">
        <f>INDEX(Parameter!$9:$9,,MATCH(9,Parameter!$8:$8,0))</f>
        <v>9</v>
      </c>
      <c r="D266" s="65">
        <f>INDEX(Parameter!$B$10:$AB$10,MATCH(C266,Parameter!$B$9:$AB$9,0))</f>
        <v>4</v>
      </c>
      <c r="E266" s="65">
        <f>COUNTIF(Data!$DY$90:$IB$90,Specials!C266)</f>
        <v>2</v>
      </c>
      <c r="F266" s="65">
        <f ca="1">LARGE(OFFSET(Data!$BR$91:$BR$190,,MATCH(C266,Data!$BR$90:$CR$90,0)-1),1)</f>
        <v>2</v>
      </c>
      <c r="H266" s="65">
        <f t="array" aca="1" ref="H266" ca="1">IF(E266&gt;0,SUM(IF((OFFSET(Data!$BR$91:$BR$190,,MATCH(C266,Data!$BR$90:$CR$90,0)-1)&gt;=OFFSET(Data!$AQ$91:$AQ$190,,MATCH(C266,Data!$AQ$90:$BQ$90,0)-1))*(OFFSET(Data!$AQ$91:$AQ$190,,MATCH(C266,Data!$AQ$90:$BQ$90,0)-1)&gt;0)*(Data!$AM$91:$AM$190&gt;0),1)),0)</f>
        <v>1</v>
      </c>
      <c r="K266" s="65" t="str">
        <f t="array" aca="1" ref="K266" ca="1">IF(H266=1,INDEX(Data!$DT$91:$DT$190,MATCH(F266,IF(OFFSET(Data!$BR$91:$BR$190,,MATCH(C266,Data!$BR$90:$CR$90,0)-1)&gt;=OFFSET(Data!$AQ$91:$AQ$190,,MATCH(C266,Data!$AQ$90:$BQ$90,0)-1),OFFSET(Data!$BR$91:$BR$190,,MATCH(C266,Data!$BR$90:$CR$90,0)-1)),0)),H266&amp;" Players")</f>
        <v>Dani Hatvani</v>
      </c>
      <c r="L266" s="65" t="str">
        <f>""</f>
        <v/>
      </c>
      <c r="M266" s="65" t="s">
        <v>254</v>
      </c>
      <c r="N266" s="65" t="s">
        <v>255</v>
      </c>
      <c r="O266" s="65" t="e">
        <f t="shared" ca="1" si="20"/>
        <v>#VALUE!</v>
      </c>
      <c r="P266" s="65" t="str">
        <f t="shared" ca="1" si="21"/>
        <v>On hole 9 (par 4) only Dani Hatvani played all rounds under par</v>
      </c>
    </row>
    <row r="267" spans="1:16" s="65" customFormat="1" hidden="1" x14ac:dyDescent="0.25">
      <c r="A267" s="65" t="s">
        <v>378</v>
      </c>
      <c r="B267" s="294"/>
      <c r="C267" s="65">
        <f>INDEX(Parameter!$9:$9,,MATCH(10,Parameter!$8:$8,0))</f>
        <v>10</v>
      </c>
      <c r="D267" s="65">
        <f>INDEX(Parameter!$B$10:$AB$10,MATCH(C267,Parameter!$B$9:$AB$9,0))</f>
        <v>4</v>
      </c>
      <c r="E267" s="65">
        <f>COUNTIF(Data!$DY$90:$IB$90,Specials!C267)</f>
        <v>2</v>
      </c>
      <c r="F267" s="65">
        <f ca="1">LARGE(OFFSET(Data!$BR$91:$BR$190,,MATCH(C267,Data!$BR$90:$CR$90,0)-1),1)</f>
        <v>1</v>
      </c>
      <c r="H267" s="65">
        <f t="array" aca="1" ref="H267" ca="1">IF(E267&gt;0,SUM(IF((OFFSET(Data!$BR$91:$BR$190,,MATCH(C267,Data!$BR$90:$CR$90,0)-1)&gt;=OFFSET(Data!$AQ$91:$AQ$190,,MATCH(C267,Data!$AQ$90:$BQ$90,0)-1))*(OFFSET(Data!$AQ$91:$AQ$190,,MATCH(C267,Data!$AQ$90:$BQ$90,0)-1)&gt;0)*(Data!$AM$91:$AM$190&gt;0),1)),0)</f>
        <v>0</v>
      </c>
      <c r="K267" s="65" t="str">
        <f t="array" aca="1" ref="K267" ca="1">IF(H267=1,INDEX(Data!$DT$91:$DT$190,MATCH(F267,IF(OFFSET(Data!$BR$91:$BR$190,,MATCH(C267,Data!$BR$90:$CR$90,0)-1)&gt;=OFFSET(Data!$AQ$91:$AQ$190,,MATCH(C267,Data!$AQ$90:$BQ$90,0)-1),OFFSET(Data!$BR$91:$BR$190,,MATCH(C267,Data!$BR$90:$CR$90,0)-1)),0)),H267&amp;" Players")</f>
        <v>0 Players</v>
      </c>
      <c r="L267" s="65" t="str">
        <f>""</f>
        <v/>
      </c>
      <c r="M267" s="65" t="s">
        <v>254</v>
      </c>
      <c r="N267" s="65" t="s">
        <v>255</v>
      </c>
      <c r="O267" s="65" t="e">
        <f t="shared" ca="1" si="20"/>
        <v>#VALUE!</v>
      </c>
      <c r="P267" s="65" t="str">
        <f t="shared" ca="1" si="21"/>
        <v/>
      </c>
    </row>
    <row r="268" spans="1:16" s="65" customFormat="1" hidden="1" x14ac:dyDescent="0.25">
      <c r="A268" s="65" t="s">
        <v>378</v>
      </c>
      <c r="B268" s="294"/>
      <c r="C268" s="65">
        <f>INDEX(Parameter!$9:$9,,MATCH(11,Parameter!$8:$8,0))</f>
        <v>11</v>
      </c>
      <c r="D268" s="65">
        <f>INDEX(Parameter!$B$10:$AB$10,MATCH(C268,Parameter!$B$9:$AB$9,0))</f>
        <v>4</v>
      </c>
      <c r="E268" s="65">
        <f>COUNTIF(Data!$DY$90:$IB$90,Specials!C268)</f>
        <v>2</v>
      </c>
      <c r="F268" s="65">
        <f ca="1">LARGE(OFFSET(Data!$BR$91:$BR$190,,MATCH(C268,Data!$BR$90:$CR$90,0)-1),1)</f>
        <v>1</v>
      </c>
      <c r="H268" s="65">
        <f t="array" aca="1" ref="H268" ca="1">IF(E268&gt;0,SUM(IF((OFFSET(Data!$BR$91:$BR$190,,MATCH(C268,Data!$BR$90:$CR$90,0)-1)&gt;=OFFSET(Data!$AQ$91:$AQ$190,,MATCH(C268,Data!$AQ$90:$BQ$90,0)-1))*(OFFSET(Data!$AQ$91:$AQ$190,,MATCH(C268,Data!$AQ$90:$BQ$90,0)-1)&gt;0)*(Data!$AM$91:$AM$190&gt;0),1)),0)</f>
        <v>0</v>
      </c>
      <c r="K268" s="65" t="str">
        <f t="array" aca="1" ref="K268" ca="1">IF(H268=1,INDEX(Data!$DT$91:$DT$190,MATCH(F268,IF(OFFSET(Data!$BR$91:$BR$190,,MATCH(C268,Data!$BR$90:$CR$90,0)-1)&gt;=OFFSET(Data!$AQ$91:$AQ$190,,MATCH(C268,Data!$AQ$90:$BQ$90,0)-1),OFFSET(Data!$BR$91:$BR$190,,MATCH(C268,Data!$BR$90:$CR$90,0)-1)),0)),H268&amp;" Players")</f>
        <v>0 Players</v>
      </c>
      <c r="L268" s="65" t="str">
        <f>""</f>
        <v/>
      </c>
      <c r="M268" s="65" t="s">
        <v>254</v>
      </c>
      <c r="N268" s="65" t="s">
        <v>255</v>
      </c>
      <c r="O268" s="65" t="e">
        <f t="shared" ca="1" si="20"/>
        <v>#VALUE!</v>
      </c>
      <c r="P268" s="65" t="str">
        <f t="shared" ca="1" si="21"/>
        <v/>
      </c>
    </row>
    <row r="269" spans="1:16" s="65" customFormat="1" hidden="1" x14ac:dyDescent="0.25">
      <c r="A269" s="65" t="s">
        <v>378</v>
      </c>
      <c r="B269" s="294"/>
      <c r="C269" s="65" t="str">
        <f>INDEX(Parameter!$9:$9,,MATCH(12,Parameter!$8:$8,0))</f>
        <v>11b</v>
      </c>
      <c r="D269" s="65">
        <f>INDEX(Parameter!$B$10:$AB$10,MATCH(C269,Parameter!$B$9:$AB$9,0))</f>
        <v>3</v>
      </c>
      <c r="E269" s="65">
        <f>COUNTIF(Data!$DY$90:$IB$90,Specials!C269)</f>
        <v>2</v>
      </c>
      <c r="F269" s="65">
        <f ca="1">LARGE(OFFSET(Data!$BR$91:$BR$190,,MATCH(C269,Data!$BR$90:$CR$90,0)-1),1)</f>
        <v>1</v>
      </c>
      <c r="H269" s="65">
        <f t="array" aca="1" ref="H269" ca="1">IF(E269&gt;0,SUM(IF((OFFSET(Data!$BR$91:$BR$190,,MATCH(C269,Data!$BR$90:$CR$90,0)-1)&gt;=OFFSET(Data!$AQ$91:$AQ$190,,MATCH(C269,Data!$AQ$90:$BQ$90,0)-1))*(OFFSET(Data!$AQ$91:$AQ$190,,MATCH(C269,Data!$AQ$90:$BQ$90,0)-1)&gt;0)*(Data!$AM$91:$AM$190&gt;0),1)),0)</f>
        <v>0</v>
      </c>
      <c r="K269" s="65" t="str">
        <f t="array" aca="1" ref="K269" ca="1">IF(H269=1,INDEX(Data!$DT$91:$DT$190,MATCH(F269,IF(OFFSET(Data!$BR$91:$BR$190,,MATCH(C269,Data!$BR$90:$CR$90,0)-1)&gt;=OFFSET(Data!$AQ$91:$AQ$190,,MATCH(C269,Data!$AQ$90:$BQ$90,0)-1),OFFSET(Data!$BR$91:$BR$190,,MATCH(C269,Data!$BR$90:$CR$90,0)-1)),0)),H269&amp;" Players")</f>
        <v>0 Players</v>
      </c>
      <c r="L269" s="65" t="str">
        <f>""</f>
        <v/>
      </c>
      <c r="M269" s="65" t="s">
        <v>254</v>
      </c>
      <c r="N269" s="65" t="s">
        <v>255</v>
      </c>
      <c r="O269" s="65" t="e">
        <f t="shared" ca="1" si="20"/>
        <v>#VALUE!</v>
      </c>
      <c r="P269" s="65" t="str">
        <f t="shared" ca="1" si="21"/>
        <v/>
      </c>
    </row>
    <row r="270" spans="1:16" s="65" customFormat="1" hidden="1" x14ac:dyDescent="0.25">
      <c r="A270" s="65" t="s">
        <v>378</v>
      </c>
      <c r="B270" s="294"/>
      <c r="C270" s="65">
        <f>INDEX(Parameter!$9:$9,,MATCH(13,Parameter!$8:$8,0))</f>
        <v>12</v>
      </c>
      <c r="D270" s="65">
        <f>INDEX(Parameter!$B$10:$AB$10,MATCH(C270,Parameter!$B$9:$AB$9,0))</f>
        <v>3</v>
      </c>
      <c r="E270" s="65">
        <f>COUNTIF(Data!$DY$90:$IB$90,Specials!C270)</f>
        <v>2</v>
      </c>
      <c r="F270" s="65">
        <f ca="1">LARGE(OFFSET(Data!$BR$91:$BR$190,,MATCH(C270,Data!$BR$90:$CR$90,0)-1),1)</f>
        <v>2</v>
      </c>
      <c r="H270" s="65">
        <f t="array" aca="1" ref="H270" ca="1">IF(E270&gt;0,SUM(IF((OFFSET(Data!$BR$91:$BR$190,,MATCH(C270,Data!$BR$90:$CR$90,0)-1)&gt;=OFFSET(Data!$AQ$91:$AQ$190,,MATCH(C270,Data!$AQ$90:$BQ$90,0)-1))*(OFFSET(Data!$AQ$91:$AQ$190,,MATCH(C270,Data!$AQ$90:$BQ$90,0)-1)&gt;0)*(Data!$AM$91:$AM$190&gt;0),1)),0)</f>
        <v>4</v>
      </c>
      <c r="K270" s="65" t="str">
        <f t="array" aca="1" ref="K270" ca="1">IF(H270=1,INDEX(Data!$DT$91:$DT$190,MATCH(F270,IF(OFFSET(Data!$BR$91:$BR$190,,MATCH(C270,Data!$BR$90:$CR$90,0)-1)&gt;=OFFSET(Data!$AQ$91:$AQ$190,,MATCH(C270,Data!$AQ$90:$BQ$90,0)-1),OFFSET(Data!$BR$91:$BR$190,,MATCH(C270,Data!$BR$90:$CR$90,0)-1)),0)),H270&amp;" Players")</f>
        <v>4 Players</v>
      </c>
      <c r="L270" s="65" t="str">
        <f>""</f>
        <v/>
      </c>
      <c r="M270" s="65" t="s">
        <v>254</v>
      </c>
      <c r="N270" s="65" t="s">
        <v>255</v>
      </c>
      <c r="O270" s="65" t="e">
        <f t="shared" ca="1" si="20"/>
        <v>#VALUE!</v>
      </c>
      <c r="P270" s="65" t="str">
        <f t="shared" ca="1" si="21"/>
        <v/>
      </c>
    </row>
    <row r="271" spans="1:16" s="65" customFormat="1" hidden="1" x14ac:dyDescent="0.25">
      <c r="A271" s="65" t="s">
        <v>378</v>
      </c>
      <c r="B271" s="294"/>
      <c r="C271" s="65">
        <f>INDEX(Parameter!$9:$9,,MATCH(14,Parameter!$8:$8,0))</f>
        <v>13</v>
      </c>
      <c r="D271" s="65">
        <f>INDEX(Parameter!$B$10:$AB$10,MATCH(C271,Parameter!$B$9:$AB$9,0))</f>
        <v>3</v>
      </c>
      <c r="E271" s="65">
        <f>COUNTIF(Data!$DY$90:$IB$90,Specials!C271)</f>
        <v>2</v>
      </c>
      <c r="F271" s="65">
        <f ca="1">LARGE(OFFSET(Data!$BR$91:$BR$190,,MATCH(C271,Data!$BR$90:$CR$90,0)-1),1)</f>
        <v>1</v>
      </c>
      <c r="H271" s="65">
        <f t="array" aca="1" ref="H271" ca="1">IF(E271&gt;0,SUM(IF((OFFSET(Data!$BR$91:$BR$190,,MATCH(C271,Data!$BR$90:$CR$90,0)-1)&gt;=OFFSET(Data!$AQ$91:$AQ$190,,MATCH(C271,Data!$AQ$90:$BQ$90,0)-1))*(OFFSET(Data!$AQ$91:$AQ$190,,MATCH(C271,Data!$AQ$90:$BQ$90,0)-1)&gt;0)*(Data!$AM$91:$AM$190&gt;0),1)),0)</f>
        <v>0</v>
      </c>
      <c r="K271" s="65" t="str">
        <f t="array" aca="1" ref="K271" ca="1">IF(H271=1,INDEX(Data!$DT$91:$DT$190,MATCH(F271,IF(OFFSET(Data!$BR$91:$BR$190,,MATCH(C271,Data!$BR$90:$CR$90,0)-1)&gt;=OFFSET(Data!$AQ$91:$AQ$190,,MATCH(C271,Data!$AQ$90:$BQ$90,0)-1),OFFSET(Data!$BR$91:$BR$190,,MATCH(C271,Data!$BR$90:$CR$90,0)-1)),0)),H271&amp;" Players")</f>
        <v>0 Players</v>
      </c>
      <c r="L271" s="65" t="str">
        <f>""</f>
        <v/>
      </c>
      <c r="M271" s="65" t="s">
        <v>254</v>
      </c>
      <c r="N271" s="65" t="s">
        <v>255</v>
      </c>
      <c r="O271" s="65" t="e">
        <f t="shared" ca="1" si="20"/>
        <v>#VALUE!</v>
      </c>
      <c r="P271" s="65" t="str">
        <f t="shared" ca="1" si="21"/>
        <v/>
      </c>
    </row>
    <row r="272" spans="1:16" s="65" customFormat="1" hidden="1" x14ac:dyDescent="0.25">
      <c r="A272" s="65" t="s">
        <v>378</v>
      </c>
      <c r="B272" s="294"/>
      <c r="C272" s="65">
        <f>INDEX(Parameter!$9:$9,,MATCH(15,Parameter!$8:$8,0))</f>
        <v>14</v>
      </c>
      <c r="D272" s="65">
        <f>INDEX(Parameter!$B$10:$AB$10,MATCH(C272,Parameter!$B$9:$AB$9,0))</f>
        <v>3</v>
      </c>
      <c r="E272" s="65">
        <f>COUNTIF(Data!$DY$90:$IB$90,Specials!C272)</f>
        <v>2</v>
      </c>
      <c r="F272" s="65">
        <f ca="1">LARGE(OFFSET(Data!$BR$91:$BR$190,,MATCH(C272,Data!$BR$90:$CR$90,0)-1),1)</f>
        <v>2</v>
      </c>
      <c r="H272" s="65">
        <f t="array" aca="1" ref="H272" ca="1">IF(E272&gt;0,SUM(IF((OFFSET(Data!$BR$91:$BR$190,,MATCH(C272,Data!$BR$90:$CR$90,0)-1)&gt;=OFFSET(Data!$AQ$91:$AQ$190,,MATCH(C272,Data!$AQ$90:$BQ$90,0)-1))*(OFFSET(Data!$AQ$91:$AQ$190,,MATCH(C272,Data!$AQ$90:$BQ$90,0)-1)&gt;0)*(Data!$AM$91:$AM$190&gt;0),1)),0)</f>
        <v>2</v>
      </c>
      <c r="K272" s="65" t="str">
        <f t="array" aca="1" ref="K272" ca="1">IF(H272=1,INDEX(Data!$DT$91:$DT$190,MATCH(F272,IF(OFFSET(Data!$BR$91:$BR$190,,MATCH(C272,Data!$BR$90:$CR$90,0)-1)&gt;=OFFSET(Data!$AQ$91:$AQ$190,,MATCH(C272,Data!$AQ$90:$BQ$90,0)-1),OFFSET(Data!$BR$91:$BR$190,,MATCH(C272,Data!$BR$90:$CR$90,0)-1)),0)),H272&amp;" Players")</f>
        <v>2 Players</v>
      </c>
      <c r="L272" s="65" t="str">
        <f>""</f>
        <v/>
      </c>
      <c r="M272" s="65" t="s">
        <v>254</v>
      </c>
      <c r="N272" s="65" t="s">
        <v>255</v>
      </c>
      <c r="O272" s="65" t="e">
        <f t="shared" ca="1" si="20"/>
        <v>#VALUE!</v>
      </c>
      <c r="P272" s="65" t="str">
        <f t="shared" ca="1" si="21"/>
        <v/>
      </c>
    </row>
    <row r="273" spans="1:16" s="65" customFormat="1" hidden="1" x14ac:dyDescent="0.25">
      <c r="A273" s="65" t="s">
        <v>378</v>
      </c>
      <c r="B273" s="294"/>
      <c r="C273" s="65">
        <f>INDEX(Parameter!$9:$9,,MATCH(16,Parameter!$8:$8,0))</f>
        <v>15</v>
      </c>
      <c r="D273" s="65">
        <f>INDEX(Parameter!$B$10:$AB$10,MATCH(C273,Parameter!$B$9:$AB$9,0))</f>
        <v>3</v>
      </c>
      <c r="E273" s="65">
        <f>COUNTIF(Data!$DY$90:$IB$90,Specials!C273)</f>
        <v>2</v>
      </c>
      <c r="F273" s="65">
        <f ca="1">LARGE(OFFSET(Data!$BR$91:$BR$190,,MATCH(C273,Data!$BR$90:$CR$90,0)-1),1)</f>
        <v>2</v>
      </c>
      <c r="H273" s="65">
        <f t="array" aca="1" ref="H273" ca="1">IF(E273&gt;0,SUM(IF((OFFSET(Data!$BR$91:$BR$190,,MATCH(C273,Data!$BR$90:$CR$90,0)-1)&gt;=OFFSET(Data!$AQ$91:$AQ$190,,MATCH(C273,Data!$AQ$90:$BQ$90,0)-1))*(OFFSET(Data!$AQ$91:$AQ$190,,MATCH(C273,Data!$AQ$90:$BQ$90,0)-1)&gt;0)*(Data!$AM$91:$AM$190&gt;0),1)),0)</f>
        <v>5</v>
      </c>
      <c r="K273" s="65" t="str">
        <f t="array" aca="1" ref="K273" ca="1">IF(H273=1,INDEX(Data!$DT$91:$DT$190,MATCH(F273,IF(OFFSET(Data!$BR$91:$BR$190,,MATCH(C273,Data!$BR$90:$CR$90,0)-1)&gt;=OFFSET(Data!$AQ$91:$AQ$190,,MATCH(C273,Data!$AQ$90:$BQ$90,0)-1),OFFSET(Data!$BR$91:$BR$190,,MATCH(C273,Data!$BR$90:$CR$90,0)-1)),0)),H273&amp;" Players")</f>
        <v>5 Players</v>
      </c>
      <c r="L273" s="65" t="str">
        <f>""</f>
        <v/>
      </c>
      <c r="M273" s="65" t="s">
        <v>254</v>
      </c>
      <c r="N273" s="65" t="s">
        <v>255</v>
      </c>
      <c r="O273" s="65" t="e">
        <f t="shared" ca="1" si="20"/>
        <v>#VALUE!</v>
      </c>
      <c r="P273" s="65" t="str">
        <f t="shared" ca="1" si="21"/>
        <v/>
      </c>
    </row>
    <row r="274" spans="1:16" s="65" customFormat="1" hidden="1" x14ac:dyDescent="0.25">
      <c r="A274" s="65" t="s">
        <v>378</v>
      </c>
      <c r="B274" s="294"/>
      <c r="C274" s="65">
        <f>INDEX(Parameter!$9:$9,,MATCH(17,Parameter!$8:$8,0))</f>
        <v>16</v>
      </c>
      <c r="D274" s="65">
        <f>INDEX(Parameter!$B$10:$AB$10,MATCH(C274,Parameter!$B$9:$AB$9,0))</f>
        <v>3</v>
      </c>
      <c r="E274" s="65">
        <f>COUNTIF(Data!$DY$90:$IB$90,Specials!C274)</f>
        <v>2</v>
      </c>
      <c r="F274" s="65">
        <f ca="1">LARGE(OFFSET(Data!$BR$91:$BR$190,,MATCH(C274,Data!$BR$90:$CR$90,0)-1),1)</f>
        <v>2</v>
      </c>
      <c r="H274" s="65">
        <f t="array" aca="1" ref="H274" ca="1">IF(E274&gt;0,SUM(IF((OFFSET(Data!$BR$91:$BR$190,,MATCH(C274,Data!$BR$90:$CR$90,0)-1)&gt;=OFFSET(Data!$AQ$91:$AQ$190,,MATCH(C274,Data!$AQ$90:$BQ$90,0)-1))*(OFFSET(Data!$AQ$91:$AQ$190,,MATCH(C274,Data!$AQ$90:$BQ$90,0)-1)&gt;0)*(Data!$AM$91:$AM$190&gt;0),1)),0)</f>
        <v>2</v>
      </c>
      <c r="K274" s="65" t="str">
        <f t="array" aca="1" ref="K274" ca="1">IF(H274=1,INDEX(Data!$DT$91:$DT$190,MATCH(F274,IF(OFFSET(Data!$BR$91:$BR$190,,MATCH(C274,Data!$BR$90:$CR$90,0)-1)&gt;=OFFSET(Data!$AQ$91:$AQ$190,,MATCH(C274,Data!$AQ$90:$BQ$90,0)-1),OFFSET(Data!$BR$91:$BR$190,,MATCH(C274,Data!$BR$90:$CR$90,0)-1)),0)),H274&amp;" Players")</f>
        <v>2 Players</v>
      </c>
      <c r="L274" s="65" t="str">
        <f>""</f>
        <v/>
      </c>
      <c r="M274" s="65" t="s">
        <v>254</v>
      </c>
      <c r="N274" s="65" t="s">
        <v>255</v>
      </c>
      <c r="O274" s="65" t="e">
        <f t="shared" ca="1" si="20"/>
        <v>#VALUE!</v>
      </c>
      <c r="P274" s="65" t="str">
        <f t="shared" ca="1" si="21"/>
        <v/>
      </c>
    </row>
    <row r="275" spans="1:16" s="65" customFormat="1" hidden="1" x14ac:dyDescent="0.25">
      <c r="A275" s="65" t="s">
        <v>378</v>
      </c>
      <c r="B275" s="294"/>
      <c r="C275" s="65">
        <f>INDEX(Parameter!$9:$9,,MATCH(18,Parameter!$8:$8,0))</f>
        <v>17</v>
      </c>
      <c r="D275" s="65">
        <f>INDEX(Parameter!$B$10:$AB$10,MATCH(C275,Parameter!$B$9:$AB$9,0))</f>
        <v>3</v>
      </c>
      <c r="E275" s="65">
        <f>COUNTIF(Data!$DY$90:$IB$90,Specials!C275)</f>
        <v>2</v>
      </c>
      <c r="F275" s="65">
        <f ca="1">LARGE(OFFSET(Data!$BR$91:$BR$190,,MATCH(C275,Data!$BR$90:$CR$90,0)-1),1)</f>
        <v>2</v>
      </c>
      <c r="H275" s="65">
        <f t="array" aca="1" ref="H275" ca="1">IF(E275&gt;0,SUM(IF((OFFSET(Data!$BR$91:$BR$190,,MATCH(C275,Data!$BR$90:$CR$90,0)-1)&gt;=OFFSET(Data!$AQ$91:$AQ$190,,MATCH(C275,Data!$AQ$90:$BQ$90,0)-1))*(OFFSET(Data!$AQ$91:$AQ$190,,MATCH(C275,Data!$AQ$90:$BQ$90,0)-1)&gt;0)*(Data!$AM$91:$AM$190&gt;0),1)),0)</f>
        <v>8</v>
      </c>
      <c r="K275" s="65" t="str">
        <f t="array" aca="1" ref="K275" ca="1">IF(H275=1,INDEX(Data!$DT$91:$DT$190,MATCH(F275,IF(OFFSET(Data!$BR$91:$BR$190,,MATCH(C275,Data!$BR$90:$CR$90,0)-1)&gt;=OFFSET(Data!$AQ$91:$AQ$190,,MATCH(C275,Data!$AQ$90:$BQ$90,0)-1),OFFSET(Data!$BR$91:$BR$190,,MATCH(C275,Data!$BR$90:$CR$90,0)-1)),0)),H275&amp;" Players")</f>
        <v>8 Players</v>
      </c>
      <c r="L275" s="65" t="str">
        <f>""</f>
        <v/>
      </c>
      <c r="M275" s="65" t="s">
        <v>254</v>
      </c>
      <c r="N275" s="65" t="s">
        <v>255</v>
      </c>
      <c r="O275" s="65" t="e">
        <f t="shared" ca="1" si="20"/>
        <v>#VALUE!</v>
      </c>
      <c r="P275" s="65" t="str">
        <f t="shared" ca="1" si="21"/>
        <v/>
      </c>
    </row>
    <row r="276" spans="1:16" s="65" customFormat="1" hidden="1" x14ac:dyDescent="0.25">
      <c r="A276" s="65" t="s">
        <v>378</v>
      </c>
      <c r="B276" s="294"/>
      <c r="C276" s="65">
        <f>INDEX(Parameter!$9:$9,,MATCH(19,Parameter!$8:$8,0))</f>
        <v>18</v>
      </c>
      <c r="D276" s="65">
        <f>INDEX(Parameter!$B$10:$AB$10,MATCH(C276,Parameter!$B$9:$AB$9,0))</f>
        <v>3</v>
      </c>
      <c r="E276" s="65">
        <f>COUNTIF(Data!$DY$90:$IB$90,Specials!C276)</f>
        <v>2</v>
      </c>
      <c r="F276" s="65">
        <f ca="1">LARGE(OFFSET(Data!$BR$91:$BR$190,,MATCH(C276,Data!$BR$90:$CR$90,0)-1),1)</f>
        <v>1</v>
      </c>
      <c r="H276" s="65">
        <f t="array" aca="1" ref="H276" ca="1">IF(E276&gt;0,SUM(IF((OFFSET(Data!$BR$91:$BR$190,,MATCH(C276,Data!$BR$90:$CR$90,0)-1)&gt;=OFFSET(Data!$AQ$91:$AQ$190,,MATCH(C276,Data!$AQ$90:$BQ$90,0)-1))*(OFFSET(Data!$AQ$91:$AQ$190,,MATCH(C276,Data!$AQ$90:$BQ$90,0)-1)&gt;0)*(Data!$AM$91:$AM$190&gt;0),1)),0)</f>
        <v>0</v>
      </c>
      <c r="K276" s="65" t="str">
        <f t="array" aca="1" ref="K276" ca="1">IF(H276=1,INDEX(Data!$DT$91:$DT$190,MATCH(F276,IF(OFFSET(Data!$BR$91:$BR$190,,MATCH(C276,Data!$BR$90:$CR$90,0)-1)&gt;=OFFSET(Data!$AQ$91:$AQ$190,,MATCH(C276,Data!$AQ$90:$BQ$90,0)-1),OFFSET(Data!$BR$91:$BR$190,,MATCH(C276,Data!$BR$90:$CR$90,0)-1)),0)),H276&amp;" Players")</f>
        <v>0 Players</v>
      </c>
      <c r="L276" s="65" t="str">
        <f>""</f>
        <v/>
      </c>
      <c r="M276" s="65" t="s">
        <v>254</v>
      </c>
      <c r="N276" s="65" t="s">
        <v>255</v>
      </c>
      <c r="O276" s="65" t="e">
        <f t="shared" ca="1" si="20"/>
        <v>#VALUE!</v>
      </c>
      <c r="P276" s="65" t="str">
        <f t="shared" ca="1" si="21"/>
        <v/>
      </c>
    </row>
    <row r="277" spans="1:16" s="65" customFormat="1" hidden="1" x14ac:dyDescent="0.25">
      <c r="A277" s="65" t="s">
        <v>378</v>
      </c>
      <c r="B277" s="294"/>
      <c r="C277" s="65">
        <f>INDEX(Parameter!$9:$9,,MATCH(20,Parameter!$8:$8,0))</f>
        <v>20</v>
      </c>
      <c r="D277" s="65" t="str">
        <f>INDEX(Parameter!$B$10:$AB$10,MATCH(C277,Parameter!$B$9:$AB$9,0))</f>
        <v>no</v>
      </c>
      <c r="E277" s="65">
        <f>COUNTIF(Data!$DY$90:$IB$90,Specials!C277)</f>
        <v>0</v>
      </c>
      <c r="F277" s="65">
        <f ca="1">LARGE(OFFSET(Data!$BR$91:$BR$190,,MATCH(C277,Data!$BR$90:$CR$90,0)-1),1)</f>
        <v>0</v>
      </c>
      <c r="H277" s="65">
        <f t="array" aca="1" ref="H277" ca="1">IF(E277&gt;0,SUM(IF((OFFSET(Data!$BR$91:$BR$190,,MATCH(C277,Data!$BR$90:$CR$90,0)-1)&gt;=OFFSET(Data!$AQ$91:$AQ$190,,MATCH(C277,Data!$AQ$90:$BQ$90,0)-1))*(OFFSET(Data!$AQ$91:$AQ$190,,MATCH(C277,Data!$AQ$90:$BQ$90,0)-1)&gt;0)*(Data!$AM$91:$AM$190&gt;0),1)),0)</f>
        <v>0</v>
      </c>
      <c r="K277" s="65" t="str">
        <f t="array" aca="1" ref="K277" ca="1">IF(H277=1,INDEX(Data!$DT$91:$DT$190,MATCH(F277,IF(OFFSET(Data!$BR$91:$BR$190,,MATCH(C277,Data!$BR$90:$CR$90,0)-1)&gt;=OFFSET(Data!$AQ$91:$AQ$190,,MATCH(C277,Data!$AQ$90:$BQ$90,0)-1),OFFSET(Data!$BR$91:$BR$190,,MATCH(C277,Data!$BR$90:$CR$90,0)-1)),0)),H277&amp;" Players")</f>
        <v>0 Players</v>
      </c>
      <c r="L277" s="65" t="str">
        <f>""</f>
        <v/>
      </c>
      <c r="M277" s="65" t="s">
        <v>254</v>
      </c>
      <c r="N277" s="65" t="s">
        <v>255</v>
      </c>
      <c r="O277" s="65" t="e">
        <f t="shared" ca="1" si="20"/>
        <v>#VALUE!</v>
      </c>
      <c r="P277" s="65" t="str">
        <f t="shared" ca="1" si="21"/>
        <v/>
      </c>
    </row>
    <row r="278" spans="1:16" s="65" customFormat="1" hidden="1" x14ac:dyDescent="0.25">
      <c r="A278" s="65" t="s">
        <v>378</v>
      </c>
      <c r="B278" s="294"/>
      <c r="C278" s="65">
        <f>INDEX(Parameter!$9:$9,,MATCH(21,Parameter!$8:$8,0))</f>
        <v>21</v>
      </c>
      <c r="D278" s="65" t="str">
        <f>INDEX(Parameter!$B$10:$AB$10,MATCH(C278,Parameter!$B$9:$AB$9,0))</f>
        <v>no</v>
      </c>
      <c r="E278" s="65">
        <f>COUNTIF(Data!$DY$90:$IB$90,Specials!C278)</f>
        <v>0</v>
      </c>
      <c r="F278" s="65">
        <f ca="1">LARGE(OFFSET(Data!$BR$91:$BR$190,,MATCH(C278,Data!$BR$90:$CR$90,0)-1),1)</f>
        <v>0</v>
      </c>
      <c r="H278" s="65">
        <f t="array" aca="1" ref="H278" ca="1">IF(E278&gt;0,SUM(IF((OFFSET(Data!$BR$91:$BR$190,,MATCH(C278,Data!$BR$90:$CR$90,0)-1)&gt;=OFFSET(Data!$AQ$91:$AQ$190,,MATCH(C278,Data!$AQ$90:$BQ$90,0)-1))*(OFFSET(Data!$AQ$91:$AQ$190,,MATCH(C278,Data!$AQ$90:$BQ$90,0)-1)&gt;0)*(Data!$AM$91:$AM$190&gt;0),1)),0)</f>
        <v>0</v>
      </c>
      <c r="K278" s="65" t="str">
        <f t="array" aca="1" ref="K278" ca="1">IF(H278=1,INDEX(Data!$DT$91:$DT$190,MATCH(F278,IF(OFFSET(Data!$BR$91:$BR$190,,MATCH(C278,Data!$BR$90:$CR$90,0)-1)&gt;=OFFSET(Data!$AQ$91:$AQ$190,,MATCH(C278,Data!$AQ$90:$BQ$90,0)-1),OFFSET(Data!$BR$91:$BR$190,,MATCH(C278,Data!$BR$90:$CR$90,0)-1)),0)),H278&amp;" Players")</f>
        <v>0 Players</v>
      </c>
      <c r="L278" s="65" t="str">
        <f>""</f>
        <v/>
      </c>
      <c r="M278" s="65" t="s">
        <v>254</v>
      </c>
      <c r="N278" s="65" t="s">
        <v>255</v>
      </c>
      <c r="O278" s="65" t="e">
        <f t="shared" ca="1" si="20"/>
        <v>#VALUE!</v>
      </c>
      <c r="P278" s="65" t="str">
        <f t="shared" ca="1" si="21"/>
        <v/>
      </c>
    </row>
    <row r="279" spans="1:16" s="65" customFormat="1" hidden="1" x14ac:dyDescent="0.25">
      <c r="A279" s="65" t="s">
        <v>378</v>
      </c>
      <c r="B279" s="294"/>
      <c r="C279" s="65">
        <f>INDEX(Parameter!$9:$9,,MATCH(22,Parameter!$8:$8,0))</f>
        <v>22</v>
      </c>
      <c r="D279" s="65" t="str">
        <f>INDEX(Parameter!$B$10:$AB$10,MATCH(C279,Parameter!$B$9:$AB$9,0))</f>
        <v>no</v>
      </c>
      <c r="E279" s="65">
        <f>COUNTIF(Data!$DY$90:$IB$90,Specials!C279)</f>
        <v>0</v>
      </c>
      <c r="F279" s="65">
        <f ca="1">LARGE(OFFSET(Data!$BR$91:$BR$190,,MATCH(C279,Data!$BR$90:$CR$90,0)-1),1)</f>
        <v>0</v>
      </c>
      <c r="H279" s="65">
        <f t="array" aca="1" ref="H279" ca="1">IF(E279&gt;0,SUM(IF((OFFSET(Data!$BR$91:$BR$190,,MATCH(C279,Data!$BR$90:$CR$90,0)-1)&gt;=OFFSET(Data!$AQ$91:$AQ$190,,MATCH(C279,Data!$AQ$90:$BQ$90,0)-1))*(OFFSET(Data!$AQ$91:$AQ$190,,MATCH(C279,Data!$AQ$90:$BQ$90,0)-1)&gt;0)*(Data!$AM$91:$AM$190&gt;0),1)),0)</f>
        <v>0</v>
      </c>
      <c r="K279" s="65" t="str">
        <f t="array" aca="1" ref="K279" ca="1">IF(H279=1,INDEX(Data!$DT$91:$DT$190,MATCH(F279,IF(OFFSET(Data!$BR$91:$BR$190,,MATCH(C279,Data!$BR$90:$CR$90,0)-1)&gt;=OFFSET(Data!$AQ$91:$AQ$190,,MATCH(C279,Data!$AQ$90:$BQ$90,0)-1),OFFSET(Data!$BR$91:$BR$190,,MATCH(C279,Data!$BR$90:$CR$90,0)-1)),0)),H279&amp;" Players")</f>
        <v>0 Players</v>
      </c>
      <c r="L279" s="65" t="str">
        <f>""</f>
        <v/>
      </c>
      <c r="M279" s="65" t="s">
        <v>254</v>
      </c>
      <c r="N279" s="65" t="s">
        <v>255</v>
      </c>
      <c r="O279" s="65" t="e">
        <f t="shared" ca="1" si="20"/>
        <v>#VALUE!</v>
      </c>
      <c r="P279" s="65" t="str">
        <f t="shared" ca="1" si="21"/>
        <v/>
      </c>
    </row>
    <row r="280" spans="1:16" s="65" customFormat="1" hidden="1" x14ac:dyDescent="0.25">
      <c r="A280" s="65" t="s">
        <v>378</v>
      </c>
      <c r="B280" s="294"/>
      <c r="C280" s="65">
        <f>INDEX(Parameter!$9:$9,,MATCH(23,Parameter!$8:$8,0))</f>
        <v>23</v>
      </c>
      <c r="D280" s="65" t="str">
        <f>INDEX(Parameter!$B$10:$AB$10,MATCH(C280,Parameter!$B$9:$AB$9,0))</f>
        <v>no</v>
      </c>
      <c r="E280" s="65">
        <f>COUNTIF(Data!$DY$90:$IB$90,Specials!C280)</f>
        <v>0</v>
      </c>
      <c r="F280" s="65">
        <f ca="1">LARGE(OFFSET(Data!$BR$91:$BR$190,,MATCH(C280,Data!$BR$90:$CR$90,0)-1),1)</f>
        <v>0</v>
      </c>
      <c r="H280" s="65">
        <f t="array" aca="1" ref="H280" ca="1">IF(E280&gt;0,SUM(IF((OFFSET(Data!$BR$91:$BR$190,,MATCH(C280,Data!$BR$90:$CR$90,0)-1)&gt;=OFFSET(Data!$AQ$91:$AQ$190,,MATCH(C280,Data!$AQ$90:$BQ$90,0)-1))*(OFFSET(Data!$AQ$91:$AQ$190,,MATCH(C280,Data!$AQ$90:$BQ$90,0)-1)&gt;0)*(Data!$AM$91:$AM$190&gt;0),1)),0)</f>
        <v>0</v>
      </c>
      <c r="K280" s="65" t="str">
        <f t="array" aca="1" ref="K280" ca="1">IF(H280=1,INDEX(Data!$DT$91:$DT$190,MATCH(F280,IF(OFFSET(Data!$BR$91:$BR$190,,MATCH(C280,Data!$BR$90:$CR$90,0)-1)&gt;=OFFSET(Data!$AQ$91:$AQ$190,,MATCH(C280,Data!$AQ$90:$BQ$90,0)-1),OFFSET(Data!$BR$91:$BR$190,,MATCH(C280,Data!$BR$90:$CR$90,0)-1)),0)),H280&amp;" Players")</f>
        <v>0 Players</v>
      </c>
      <c r="L280" s="65" t="str">
        <f>""</f>
        <v/>
      </c>
      <c r="M280" s="65" t="s">
        <v>254</v>
      </c>
      <c r="N280" s="65" t="s">
        <v>255</v>
      </c>
      <c r="O280" s="65" t="e">
        <f t="shared" ca="1" si="20"/>
        <v>#VALUE!</v>
      </c>
      <c r="P280" s="65" t="str">
        <f t="shared" ca="1" si="21"/>
        <v/>
      </c>
    </row>
    <row r="281" spans="1:16" s="65" customFormat="1" hidden="1" x14ac:dyDescent="0.25">
      <c r="A281" s="65" t="s">
        <v>378</v>
      </c>
      <c r="B281" s="294"/>
      <c r="C281" s="65">
        <f>INDEX(Parameter!$9:$9,,MATCH(24,Parameter!$8:$8,0))</f>
        <v>24</v>
      </c>
      <c r="D281" s="65" t="str">
        <f>INDEX(Parameter!$B$10:$AB$10,MATCH(C281,Parameter!$B$9:$AB$9,0))</f>
        <v>no</v>
      </c>
      <c r="E281" s="65">
        <f>COUNTIF(Data!$DY$90:$IB$90,Specials!C281)</f>
        <v>0</v>
      </c>
      <c r="F281" s="65">
        <f ca="1">LARGE(OFFSET(Data!$BR$91:$BR$190,,MATCH(C281,Data!$BR$90:$CR$90,0)-1),1)</f>
        <v>0</v>
      </c>
      <c r="H281" s="65">
        <f t="array" aca="1" ref="H281" ca="1">IF(E281&gt;0,SUM(IF((OFFSET(Data!$BR$91:$BR$190,,MATCH(C281,Data!$BR$90:$CR$90,0)-1)&gt;=OFFSET(Data!$AQ$91:$AQ$190,,MATCH(C281,Data!$AQ$90:$BQ$90,0)-1))*(OFFSET(Data!$AQ$91:$AQ$190,,MATCH(C281,Data!$AQ$90:$BQ$90,0)-1)&gt;0)*(Data!$AM$91:$AM$190&gt;0),1)),0)</f>
        <v>0</v>
      </c>
      <c r="K281" s="65" t="str">
        <f t="array" aca="1" ref="K281" ca="1">IF(H281=1,INDEX(Data!$DT$91:$DT$190,MATCH(F281,IF(OFFSET(Data!$BR$91:$BR$190,,MATCH(C281,Data!$BR$90:$CR$90,0)-1)&gt;=OFFSET(Data!$AQ$91:$AQ$190,,MATCH(C281,Data!$AQ$90:$BQ$90,0)-1),OFFSET(Data!$BR$91:$BR$190,,MATCH(C281,Data!$BR$90:$CR$90,0)-1)),0)),H281&amp;" Players")</f>
        <v>0 Players</v>
      </c>
      <c r="L281" s="65" t="str">
        <f>""</f>
        <v/>
      </c>
      <c r="M281" s="65" t="s">
        <v>254</v>
      </c>
      <c r="N281" s="65" t="s">
        <v>255</v>
      </c>
      <c r="O281" s="65" t="e">
        <f t="shared" ca="1" si="20"/>
        <v>#VALUE!</v>
      </c>
      <c r="P281" s="65" t="str">
        <f t="shared" ca="1" si="21"/>
        <v/>
      </c>
    </row>
    <row r="282" spans="1:16" s="65" customFormat="1" hidden="1" x14ac:dyDescent="0.25">
      <c r="A282" s="65" t="s">
        <v>378</v>
      </c>
      <c r="B282" s="294"/>
      <c r="C282" s="65">
        <f>INDEX(Parameter!$9:$9,,MATCH(25,Parameter!$8:$8,0))</f>
        <v>25</v>
      </c>
      <c r="D282" s="65" t="str">
        <f>INDEX(Parameter!$B$10:$AB$10,MATCH(C282,Parameter!$B$9:$AB$9,0))</f>
        <v>no</v>
      </c>
      <c r="E282" s="65">
        <f>COUNTIF(Data!$DY$90:$IB$90,Specials!C282)</f>
        <v>0</v>
      </c>
      <c r="F282" s="65">
        <f ca="1">LARGE(OFFSET(Data!$BR$91:$BR$190,,MATCH(C282,Data!$BR$90:$CR$90,0)-1),1)</f>
        <v>0</v>
      </c>
      <c r="H282" s="65">
        <f t="array" aca="1" ref="H282" ca="1">IF(E282&gt;0,SUM(IF((OFFSET(Data!$BR$91:$BR$190,,MATCH(C282,Data!$BR$90:$CR$90,0)-1)&gt;=OFFSET(Data!$AQ$91:$AQ$190,,MATCH(C282,Data!$AQ$90:$BQ$90,0)-1))*(OFFSET(Data!$AQ$91:$AQ$190,,MATCH(C282,Data!$AQ$90:$BQ$90,0)-1)&gt;0)*(Data!$AM$91:$AM$190&gt;0),1)),0)</f>
        <v>0</v>
      </c>
      <c r="K282" s="65" t="str">
        <f t="array" aca="1" ref="K282" ca="1">IF(H282=1,INDEX(Data!$DT$91:$DT$190,MATCH(F282,IF(OFFSET(Data!$BR$91:$BR$190,,MATCH(C282,Data!$BR$90:$CR$90,0)-1)&gt;=OFFSET(Data!$AQ$91:$AQ$190,,MATCH(C282,Data!$AQ$90:$BQ$90,0)-1),OFFSET(Data!$BR$91:$BR$190,,MATCH(C282,Data!$BR$90:$CR$90,0)-1)),0)),H282&amp;" Players")</f>
        <v>0 Players</v>
      </c>
      <c r="L282" s="65" t="str">
        <f>""</f>
        <v/>
      </c>
      <c r="M282" s="65" t="s">
        <v>254</v>
      </c>
      <c r="N282" s="65" t="s">
        <v>255</v>
      </c>
      <c r="O282" s="65" t="e">
        <f t="shared" ca="1" si="20"/>
        <v>#VALUE!</v>
      </c>
      <c r="P282" s="65" t="str">
        <f t="shared" ca="1" si="21"/>
        <v/>
      </c>
    </row>
    <row r="283" spans="1:16" s="65" customFormat="1" hidden="1" x14ac:dyDescent="0.25">
      <c r="A283" s="65" t="s">
        <v>378</v>
      </c>
      <c r="B283" s="294"/>
      <c r="C283" s="65">
        <f>INDEX(Parameter!$9:$9,,MATCH(26,Parameter!$8:$8,0))</f>
        <v>26</v>
      </c>
      <c r="D283" s="65" t="str">
        <f>INDEX(Parameter!$B$10:$AB$10,MATCH(C283,Parameter!$B$9:$AB$9,0))</f>
        <v>no</v>
      </c>
      <c r="E283" s="65">
        <f>COUNTIF(Data!$DY$90:$IB$90,Specials!C283)</f>
        <v>0</v>
      </c>
      <c r="F283" s="65">
        <f ca="1">LARGE(OFFSET(Data!$BR$91:$BR$190,,MATCH(C283,Data!$BR$90:$CR$90,0)-1),1)</f>
        <v>0</v>
      </c>
      <c r="H283" s="65">
        <f t="array" aca="1" ref="H283" ca="1">IF(E283&gt;0,SUM(IF((OFFSET(Data!$BR$91:$BR$190,,MATCH(C283,Data!$BR$90:$CR$90,0)-1)&gt;=OFFSET(Data!$AQ$91:$AQ$190,,MATCH(C283,Data!$AQ$90:$BQ$90,0)-1))*(OFFSET(Data!$AQ$91:$AQ$190,,MATCH(C283,Data!$AQ$90:$BQ$90,0)-1)&gt;0)*(Data!$AM$91:$AM$190&gt;0),1)),0)</f>
        <v>0</v>
      </c>
      <c r="K283" s="65" t="str">
        <f t="array" aca="1" ref="K283" ca="1">IF(H283=1,INDEX(Data!$DT$91:$DT$190,MATCH(F283,IF(OFFSET(Data!$BR$91:$BR$190,,MATCH(C283,Data!$BR$90:$CR$90,0)-1)&gt;=OFFSET(Data!$AQ$91:$AQ$190,,MATCH(C283,Data!$AQ$90:$BQ$90,0)-1),OFFSET(Data!$BR$91:$BR$190,,MATCH(C283,Data!$BR$90:$CR$90,0)-1)),0)),H283&amp;" Players")</f>
        <v>0 Players</v>
      </c>
      <c r="L283" s="65" t="str">
        <f>""</f>
        <v/>
      </c>
      <c r="M283" s="65" t="s">
        <v>254</v>
      </c>
      <c r="N283" s="65" t="s">
        <v>255</v>
      </c>
      <c r="O283" s="65" t="e">
        <f t="shared" ca="1" si="20"/>
        <v>#VALUE!</v>
      </c>
      <c r="P283" s="65" t="str">
        <f t="shared" ca="1" si="21"/>
        <v/>
      </c>
    </row>
    <row r="284" spans="1:16" s="65" customFormat="1" hidden="1" x14ac:dyDescent="0.25">
      <c r="A284" s="65" t="s">
        <v>378</v>
      </c>
      <c r="B284" s="294"/>
      <c r="C284" s="65">
        <f>INDEX(Parameter!$9:$9,,MATCH(27,Parameter!$8:$8,0))</f>
        <v>27</v>
      </c>
      <c r="D284" s="65" t="str">
        <f>INDEX(Parameter!$B$10:$AB$10,MATCH(C284,Parameter!$B$9:$AB$9,0))</f>
        <v>no</v>
      </c>
      <c r="E284" s="65">
        <f>COUNTIF(Data!$DY$90:$IB$90,Specials!C284)</f>
        <v>0</v>
      </c>
      <c r="F284" s="65">
        <f ca="1">LARGE(OFFSET(Data!$BR$91:$BR$190,,MATCH(C284,Data!$BR$90:$CR$90,0)-1),1)</f>
        <v>0</v>
      </c>
      <c r="H284" s="65">
        <f t="array" aca="1" ref="H284" ca="1">IF(E284&gt;0,SUM(IF((OFFSET(Data!$BR$91:$BR$190,,MATCH(C284,Data!$BR$90:$CR$90,0)-1)&gt;=OFFSET(Data!$AQ$91:$AQ$190,,MATCH(C284,Data!$AQ$90:$BQ$90,0)-1))*(OFFSET(Data!$AQ$91:$AQ$190,,MATCH(C284,Data!$AQ$90:$BQ$90,0)-1)&gt;0)*(Data!$AM$91:$AM$190&gt;0),1)),0)</f>
        <v>0</v>
      </c>
      <c r="K284" s="65" t="str">
        <f t="array" aca="1" ref="K284" ca="1">IF(H284=1,INDEX(Data!$DT$91:$DT$190,MATCH(F284,IF(OFFSET(Data!$BR$91:$BR$190,,MATCH(C284,Data!$BR$90:$CR$90,0)-1)&gt;=OFFSET(Data!$AQ$91:$AQ$190,,MATCH(C284,Data!$AQ$90:$BQ$90,0)-1),OFFSET(Data!$BR$91:$BR$190,,MATCH(C284,Data!$BR$90:$CR$90,0)-1)),0)),H284&amp;" Players")</f>
        <v>0 Players</v>
      </c>
      <c r="L284" s="65" t="str">
        <f>""</f>
        <v/>
      </c>
      <c r="M284" s="65" t="s">
        <v>254</v>
      </c>
      <c r="N284" s="65" t="s">
        <v>255</v>
      </c>
      <c r="O284" s="65" t="e">
        <f t="shared" ca="1" si="20"/>
        <v>#VALUE!</v>
      </c>
      <c r="P284" s="65" t="str">
        <f t="shared" ca="1" si="21"/>
        <v/>
      </c>
    </row>
    <row r="285" spans="1:16" s="78" customFormat="1" x14ac:dyDescent="0.25">
      <c r="A285" s="291" t="s">
        <v>63</v>
      </c>
      <c r="B285" s="291" t="s">
        <v>258</v>
      </c>
      <c r="C285" s="78" t="s">
        <v>258</v>
      </c>
      <c r="D285" s="78" t="s">
        <v>224</v>
      </c>
      <c r="E285" s="78" t="s">
        <v>225</v>
      </c>
      <c r="F285" s="78" t="s">
        <v>225</v>
      </c>
      <c r="G285" s="78" t="s">
        <v>226</v>
      </c>
      <c r="H285" s="78" t="s">
        <v>226</v>
      </c>
      <c r="I285" s="78" t="s">
        <v>58</v>
      </c>
      <c r="J285" s="78" t="s">
        <v>374</v>
      </c>
      <c r="K285" s="78" t="s">
        <v>60</v>
      </c>
      <c r="L285" s="78" t="s">
        <v>102</v>
      </c>
      <c r="M285" s="78" t="s">
        <v>102</v>
      </c>
      <c r="N285" s="78" t="s">
        <v>103</v>
      </c>
      <c r="O285" s="78" t="s">
        <v>103</v>
      </c>
      <c r="P285" s="78" t="s">
        <v>104</v>
      </c>
    </row>
    <row r="286" spans="1:16" s="65" customFormat="1" hidden="1" x14ac:dyDescent="0.25">
      <c r="A286" s="287" t="s">
        <v>282</v>
      </c>
      <c r="B286" s="288"/>
      <c r="D286" s="65">
        <f t="array" ref="D286">IF(Parameter!$B$1&gt;0,SMALL(IF((Data!$J$91:$J$190&lt;999)*(Data!$DW$91:$DW$190="M"),Data!$J$91:$J$190),1),"")</f>
        <v>54</v>
      </c>
      <c r="F286" s="65">
        <f>IF(Parameter!$B$1&gt;0,Specials!D286,999)</f>
        <v>54</v>
      </c>
      <c r="H286" s="65">
        <f t="array" ref="H286">SUM(IF((Data!$J$91:$J$190=D286)*(Data!$DW$91:$DW$190="M"),1))</f>
        <v>1</v>
      </c>
      <c r="K286" s="65" t="str">
        <f t="array" ref="K286">IF($H286=1,INDEX(Data!$DT$91:$DT$190,MATCH($D286,Data!$J$91:$J$190*(Data!$DW$91:$DW$190="M"),0)),$H286&amp;" Players")</f>
        <v>Dani Hatvani</v>
      </c>
      <c r="L286" s="65" t="str">
        <f>K286&amp;" ("&amp;D286&amp;")"</f>
        <v>Dani Hatvani (54)</v>
      </c>
      <c r="M286" s="65" t="s">
        <v>260</v>
      </c>
      <c r="N286" s="65" t="s">
        <v>255</v>
      </c>
      <c r="O286" s="65" t="str">
        <f t="shared" si="20"/>
        <v># Triple-Bogeys</v>
      </c>
    </row>
    <row r="287" spans="1:16" s="65" customFormat="1" hidden="1" x14ac:dyDescent="0.25">
      <c r="A287" s="287" t="s">
        <v>283</v>
      </c>
      <c r="B287" s="288"/>
      <c r="D287" s="65">
        <f t="array" ref="D287">IF(Parameter!$B$2&gt;0,SMALL(IF((Data!$K$91:$K$190&lt;999)*(Data!$DW$91:$DW$190="M"),Data!$K$91:$K$190),1),"")</f>
        <v>56</v>
      </c>
      <c r="F287" s="65">
        <f>IF(AND(Parameter!$B$2&gt;0,Parameter!$B$2=Parameter!$B$1),Specials!D287,999)</f>
        <v>56</v>
      </c>
      <c r="H287" s="65">
        <f t="array" ref="H287">SUM(IF((Data!$K$91:$K$190=D287)*(Data!$DW$91:$DW$190="M"),1))</f>
        <v>1</v>
      </c>
      <c r="K287" s="65" t="str">
        <f t="array" ref="K287">IF($H287=1,INDEX(Data!$DT$91:$DT$190,MATCH($D287,Data!$K$91:$K$190*(Data!$DW$91:$DW$190="M"),0)),$H287&amp;" Players")</f>
        <v>Dinko Šimenc</v>
      </c>
      <c r="L287" s="65" t="str">
        <f>K287&amp;" ("&amp;D287&amp;")"</f>
        <v>Dinko Šimenc (56)</v>
      </c>
      <c r="M287" s="65" t="s">
        <v>260</v>
      </c>
      <c r="N287" s="65" t="s">
        <v>255</v>
      </c>
      <c r="O287" s="65" t="str">
        <f t="shared" si="20"/>
        <v># Triple-Bogeys</v>
      </c>
    </row>
    <row r="288" spans="1:16" s="65" customFormat="1" hidden="1" x14ac:dyDescent="0.25">
      <c r="A288" s="287" t="s">
        <v>284</v>
      </c>
      <c r="B288" s="288"/>
      <c r="D288" s="65" t="str">
        <f t="array" ref="D288">IF(Parameter!$B$3&gt;0,SMALL(IF((Data!$L$91:$L$190&lt;999)*(Data!$DW$91:$DW$190="M"),Data!$L$91:$L$190),1),"")</f>
        <v/>
      </c>
      <c r="F288" s="65">
        <f>IF(AND(Parameter!$B$3&gt;0,Parameter!$B$3=Parameter!$B$2),Specials!D288,999)</f>
        <v>999</v>
      </c>
      <c r="H288" s="65">
        <f t="array" ref="H288">SUM(IF((Data!$L$91:$L$190=D288)*(Data!$DW$91:$DW$190="M"),1))</f>
        <v>0</v>
      </c>
      <c r="K288" s="65" t="str">
        <f t="array" ref="K288">IF($H288=1,INDEX(Data!$DT$91:$DT$190,MATCH($D288,Data!$L$91:$L$190*(Data!$DW$91:$DW$190="M"),0)),$H288&amp;" Players")</f>
        <v>0 Players</v>
      </c>
      <c r="L288" s="65" t="str">
        <f>K288&amp;" ("&amp;D288&amp;")"</f>
        <v>0 Players ()</v>
      </c>
      <c r="M288" s="65" t="s">
        <v>260</v>
      </c>
      <c r="N288" s="65" t="s">
        <v>255</v>
      </c>
      <c r="O288" s="65" t="str">
        <f t="shared" si="20"/>
        <v># Triple-Bogeys</v>
      </c>
    </row>
    <row r="289" spans="1:16" s="65" customFormat="1" hidden="1" x14ac:dyDescent="0.25">
      <c r="A289" s="287" t="s">
        <v>285</v>
      </c>
      <c r="B289" s="288"/>
      <c r="D289" s="65" t="str">
        <f t="array" ref="D289">IF(Parameter!$B$4&gt;0,SMALL(IF((Data!$M$91:$M$190&lt;999)*(Data!$DW$91:$DW$190="M"),Data!$M$91:$M$190),1),"")</f>
        <v/>
      </c>
      <c r="F289" s="65">
        <f>IF(AND(Parameter!$B$4&gt;0,Parameter!$B$4=Parameter!$B$3),Specials!D289,999)</f>
        <v>999</v>
      </c>
      <c r="H289" s="65">
        <f t="array" ref="H289">SUM(IF((Data!$M$91:$M$190=D289)*(Data!$DW$91:$DW$190="M"),1))</f>
        <v>0</v>
      </c>
      <c r="K289" s="65" t="str">
        <f t="array" ref="K289">IF($H289=1,INDEX(Data!$DT$91:$DT$190,MATCH($D289,Data!$M$91:$M$190*(Data!$DW$91:$DW$190="M"),0)),$H289&amp;" Players")</f>
        <v>0 Players</v>
      </c>
      <c r="L289" s="65" t="str">
        <f>K289&amp;" ("&amp;D289&amp;")"</f>
        <v>0 Players ()</v>
      </c>
      <c r="M289" s="65" t="s">
        <v>260</v>
      </c>
      <c r="N289" s="65" t="s">
        <v>255</v>
      </c>
      <c r="O289" s="65" t="str">
        <f t="shared" si="20"/>
        <v># Triple-Bogeys</v>
      </c>
    </row>
    <row r="290" spans="1:16" s="65" customFormat="1" hidden="1" x14ac:dyDescent="0.25">
      <c r="A290" s="288" t="s">
        <v>310</v>
      </c>
      <c r="B290" s="288"/>
      <c r="D290" s="65">
        <f>MIN($F286:$F288)</f>
        <v>54</v>
      </c>
      <c r="H290" s="65">
        <f>COUNTIF($F286:$F288,D290)</f>
        <v>1</v>
      </c>
      <c r="L290" s="65" t="str">
        <f>IF(H290=1,INDEX($K286:$K288,MATCH(D290,$F286:$F288,0))&amp;" / "&amp;SUBSTITUTE(SUBSTITUTE(INDEX($A286:$A288,MATCH(D290,$F286:$F288,0)),"Best ","")," Men",""),"Several rounds or players")</f>
        <v>Dani Hatvani / Round 1</v>
      </c>
      <c r="M290" s="65" t="s">
        <v>1</v>
      </c>
      <c r="N290" s="65" t="s">
        <v>255</v>
      </c>
      <c r="O290" s="65" t="e">
        <f t="shared" si="20"/>
        <v>#VALUE!</v>
      </c>
      <c r="P290" s="65" t="str">
        <f>"Best score in tournament: "&amp;D290</f>
        <v>Best score in tournament: 54</v>
      </c>
    </row>
    <row r="291" spans="1:16" s="78" customFormat="1" hidden="1" x14ac:dyDescent="0.25">
      <c r="A291" s="291" t="str">
        <f>"Biggest Skill-O-Meter-Improvement Men Rating &gt; "&amp;Parameter!$B$32</f>
        <v>Biggest Skill-O-Meter-Improvement Men Rating &gt; 850</v>
      </c>
      <c r="B291" s="291"/>
      <c r="F291" s="78">
        <f t="array" ref="F291">LARGE(IF((Data!$DW$91:$DW$190="M")*(Data!$AN$91:$AN$190&gt;Parameter!$B$32),Data!$AO$91:$AO$190,0),1)</f>
        <v>42.634999999999991</v>
      </c>
      <c r="G291" s="78">
        <f>IF(F291&lt;&gt;0,INDEX(Data!AN$91:$AN$190,MATCH(F291,Data!AO$91:$AO$190,0)),0)</f>
        <v>916.29499999999996</v>
      </c>
      <c r="H291" s="78">
        <f>COUNTIF(Data!AO$91:$AO$190,F291)</f>
        <v>1</v>
      </c>
      <c r="K291" s="78" t="str">
        <f>IF(H291=1,INDEX(Data!DT$91:$DT$190,MATCH(F291,Data!AO$91:$AO$190,0)),"")</f>
        <v>Daniel Maier</v>
      </c>
      <c r="L291" s="78" t="str">
        <f>IF(H291=1,"Rating in this tournament: "&amp;ROUND(INDEX(Data!AM$91:$AM$190,MATCH(F291,Data!AO$91:$AO$190,0)), 0),"")</f>
        <v>Rating in this tournament: 959</v>
      </c>
      <c r="M291" s="78" t="s">
        <v>1</v>
      </c>
      <c r="N291" s="78" t="s">
        <v>255</v>
      </c>
      <c r="O291" s="78" t="e">
        <f t="shared" si="20"/>
        <v>#VALUE!</v>
      </c>
      <c r="P291" s="78" t="str">
        <f>IF(AND(H291=1,ABS(F291)&gt;G291/20),K291&amp;" played "&amp;ROUND(ABS(F291*100/G291), 0)&amp;" % better than his last rating ("&amp;ROUND(G291,0)&amp;")","")</f>
        <v/>
      </c>
    </row>
    <row r="292" spans="1:16" s="78" customFormat="1" hidden="1" x14ac:dyDescent="0.25">
      <c r="A292" s="291" t="str">
        <f>"Biggest Skill-O-Meter-Worsening Men Rating &gt; "&amp;Parameter!$B$32</f>
        <v>Biggest Skill-O-Meter-Worsening Men Rating &gt; 850</v>
      </c>
      <c r="B292" s="291"/>
      <c r="F292" s="78">
        <f t="array" ref="F292">SMALL(IF((Data!$DW$91:$DW$190="M")*(Data!$AN$91:$AN$190&gt;Parameter!$B$32),Data!$AO$91:$AO$190,0),1)</f>
        <v>-135.12800000000004</v>
      </c>
      <c r="G292" s="78">
        <f>IF(F292&lt;&gt;0,INDEX(Data!AN$91:$AN$190,MATCH(F292,Data!AO$91:$AO$190,0)),0)</f>
        <v>879.24400000000003</v>
      </c>
      <c r="H292" s="78">
        <f>COUNTIF(Data!AO$91:$AO$190,F292)</f>
        <v>1</v>
      </c>
      <c r="K292" s="78" t="str">
        <f>IF(H292=1,INDEX(Data!DT$91:$DT$190,MATCH(F292,Data!AO$91:$AO$190,0)),"")</f>
        <v>Wolfgang Pratl</v>
      </c>
      <c r="L292" s="78" t="str">
        <f>IF(H292=1,"Rating in this tournament: "&amp;ROUND(INDEX(Data!AM$91:$AM$190,MATCH(F292,Data!AO$91:$AO$190,0)), 0),"")</f>
        <v>Rating in this tournament: 744</v>
      </c>
      <c r="M292" s="78" t="s">
        <v>1</v>
      </c>
      <c r="N292" s="78" t="s">
        <v>255</v>
      </c>
      <c r="O292" s="78" t="e">
        <f t="shared" si="20"/>
        <v>#VALUE!</v>
      </c>
      <c r="P292" s="78" t="str">
        <f>IF(AND(H292=1,ABS(F292)&gt;G292/20),K292&amp;" played "&amp;ROUND(ABS(F292*100/G292), 0)&amp;" % worst than his last rating ("&amp;ROUND(G292,0)&amp;")","")</f>
        <v>Wolfgang Pratl played 15 % worst than his last rating (879)</v>
      </c>
    </row>
    <row r="293" spans="1:16" s="65" customFormat="1" ht="15" hidden="1" customHeight="1" x14ac:dyDescent="0.25">
      <c r="A293" s="65" t="s">
        <v>383</v>
      </c>
      <c r="B293" s="295" t="str">
        <f>IF(OR(AND(Parameter!$B$4=0,Parameter!$C$5="n"),INDEX(Data!$M$91:$M$190,MATCH("M2",Data!$A$91:$A$190,0))&gt;0,INDEX(Data!$N$91:$N$190,MATCH("M2",Data!$A$91:$A$190,0))&gt;0),"M2","M1")</f>
        <v>M2</v>
      </c>
      <c r="C293" s="65">
        <f>INDEX(Parameter!$9:$9,,MATCH(1,Parameter!$8:$8,0))</f>
        <v>1</v>
      </c>
      <c r="D293" s="65">
        <f>INDEX(Parameter!$B$10:$AB$10,MATCH(C293,Parameter!$B$9:$AB$9,0))</f>
        <v>3</v>
      </c>
      <c r="E293" s="65">
        <f>COUNTIF(Data!$DY$90:$IB$90,Specials!C293)</f>
        <v>2</v>
      </c>
      <c r="F293" s="65">
        <f ca="1">OFFSET(Data!$CS$91,MATCH("M1",Data!$A$91:$A$190,0)-1,MATCH(C293,Data!$CS$90:$DS$90,0)-1)</f>
        <v>5</v>
      </c>
      <c r="G293" s="65">
        <f ca="1">OFFSET(Data!$CS$91,MATCH($B293,Data!$A$91:$A$190,0)-1,MATCH(C293,Data!$CS$90:$DS$90,0)-1)</f>
        <v>6</v>
      </c>
      <c r="H293" s="65">
        <f ca="1">IF(AND(G293-F293&gt;=E293*1,G293-F293&lt;E293*2,G293-F293&gt;=3,G293-F293&gt;=I293-1),1,0)</f>
        <v>0</v>
      </c>
      <c r="I293" s="65">
        <f t="array" ref="I293">SUM(IF(Data!$A$91:$A$190=$B293,Data!$J$91:$M$190))-SUM(IF(Data!$A$91:$A$190="M1",Data!$J$91:$M$190))</f>
        <v>2</v>
      </c>
      <c r="K293" s="65" t="str">
        <f>INDEX(Data!$DT$91:$DT$190,MATCH($B293,Data!$A$91:$A$190,0))</f>
        <v>Dani Hatvani</v>
      </c>
      <c r="L293" s="65" t="str">
        <f ca="1">"Best men took only "&amp;F293&amp;" throws"</f>
        <v>Best men took only 5 throws</v>
      </c>
      <c r="M293" s="65" t="s">
        <v>1</v>
      </c>
      <c r="N293" s="65" t="s">
        <v>255</v>
      </c>
      <c r="O293" s="65" t="e">
        <f t="shared" ca="1" si="20"/>
        <v>#VALUE!</v>
      </c>
      <c r="P293" s="65" t="str">
        <f t="shared" ref="P293:P324" ca="1" si="22">IF(H293&gt;0,"On hole "&amp;C293&amp;" (par "&amp;D293&amp;") "&amp;K293&amp;" took "&amp;G293&amp;" throws in total ("&amp;$E293&amp;" rounds)","")</f>
        <v/>
      </c>
    </row>
    <row r="294" spans="1:16" s="65" customFormat="1" hidden="1" x14ac:dyDescent="0.25">
      <c r="A294" s="65" t="s">
        <v>383</v>
      </c>
      <c r="B294" s="295" t="str">
        <f>IF(OR(AND(Parameter!$B$4=0,Parameter!$C$5="n"),INDEX(Data!$M$91:$M$190,MATCH("M2",Data!$A$91:$A$190,0))&gt;0,INDEX(Data!$N$91:$N$190,MATCH("M2",Data!$A$91:$A$190,0))&gt;0),"M2","M1")</f>
        <v>M2</v>
      </c>
      <c r="C294" s="65">
        <f>INDEX(Parameter!$9:$9,,MATCH(2,Parameter!$8:$8,0))</f>
        <v>2</v>
      </c>
      <c r="D294" s="65">
        <f>INDEX(Parameter!$B$10:$AB$10,MATCH(C294,Parameter!$B$9:$AB$9,0))</f>
        <v>3</v>
      </c>
      <c r="E294" s="65">
        <f>COUNTIF(Data!$DY$90:$IB$90,Specials!C294)</f>
        <v>2</v>
      </c>
      <c r="F294" s="65">
        <f ca="1">OFFSET(Data!$CS$91,MATCH("M1",Data!$A$91:$A$190,0)-1,MATCH(C294,Data!$CS$90:$DS$90,0)-1)</f>
        <v>6</v>
      </c>
      <c r="G294" s="65">
        <f ca="1">OFFSET(Data!$CS$91,MATCH($B294,Data!$A$91:$A$190,0)-1,MATCH(C294,Data!$CS$90:$DS$90,0)-1)</f>
        <v>6</v>
      </c>
      <c r="H294" s="65">
        <f t="shared" ref="H294:H357" ca="1" si="23">IF(AND(G294-F294&gt;=E294*1,G294-F294&lt;E294*2,G294-F294&gt;=3,G294-F294&gt;=I294-1),1,0)</f>
        <v>0</v>
      </c>
      <c r="I294" s="65">
        <f t="array" ref="I294">SUM(IF(Data!$A$91:$A$190=$B294,Data!$J$91:$M$190))-SUM(IF(Data!$A$91:$A$190="M1",Data!$J$91:$M$190))</f>
        <v>2</v>
      </c>
      <c r="K294" s="65" t="str">
        <f>INDEX(Data!$DT$91:$DT$190,MATCH($B294,Data!$A$91:$A$190,0))</f>
        <v>Dani Hatvani</v>
      </c>
      <c r="L294" s="65" t="str">
        <f t="shared" ref="L294:L357" ca="1" si="24">"Best men took only "&amp;F294&amp;" throws"</f>
        <v>Best men took only 6 throws</v>
      </c>
      <c r="M294" s="65" t="s">
        <v>1</v>
      </c>
      <c r="N294" s="65" t="s">
        <v>255</v>
      </c>
      <c r="O294" s="65" t="e">
        <f t="shared" ca="1" si="20"/>
        <v>#VALUE!</v>
      </c>
      <c r="P294" s="65" t="str">
        <f t="shared" ca="1" si="22"/>
        <v/>
      </c>
    </row>
    <row r="295" spans="1:16" s="65" customFormat="1" hidden="1" x14ac:dyDescent="0.25">
      <c r="A295" s="65" t="s">
        <v>383</v>
      </c>
      <c r="B295" s="295" t="str">
        <f>IF(OR(AND(Parameter!$B$4=0,Parameter!$C$5="n"),INDEX(Data!$M$91:$M$190,MATCH("M2",Data!$A$91:$A$190,0))&gt;0,INDEX(Data!$N$91:$N$190,MATCH("M2",Data!$A$91:$A$190,0))&gt;0),"M2","M1")</f>
        <v>M2</v>
      </c>
      <c r="C295" s="65">
        <f>INDEX(Parameter!$9:$9,,MATCH(3,Parameter!$8:$8,0))</f>
        <v>3</v>
      </c>
      <c r="D295" s="65">
        <f>INDEX(Parameter!$B$10:$AB$10,MATCH(C295,Parameter!$B$9:$AB$9,0))</f>
        <v>3</v>
      </c>
      <c r="E295" s="65">
        <f>COUNTIF(Data!$DY$90:$IB$90,Specials!C295)</f>
        <v>2</v>
      </c>
      <c r="F295" s="65">
        <f ca="1">OFFSET(Data!$CS$91,MATCH("M1",Data!$A$91:$A$190,0)-1,MATCH(C295,Data!$CS$90:$DS$90,0)-1)</f>
        <v>5</v>
      </c>
      <c r="G295" s="65">
        <f ca="1">OFFSET(Data!$CS$91,MATCH($B295,Data!$A$91:$A$190,0)-1,MATCH(C295,Data!$CS$90:$DS$90,0)-1)</f>
        <v>4</v>
      </c>
      <c r="H295" s="65">
        <f t="shared" ca="1" si="23"/>
        <v>0</v>
      </c>
      <c r="I295" s="65">
        <f t="array" ref="I295">SUM(IF(Data!$A$91:$A$190=$B295,Data!$J$91:$M$190))-SUM(IF(Data!$A$91:$A$190="M1",Data!$J$91:$M$190))</f>
        <v>2</v>
      </c>
      <c r="K295" s="65" t="str">
        <f>INDEX(Data!$DT$91:$DT$190,MATCH($B295,Data!$A$91:$A$190,0))</f>
        <v>Dani Hatvani</v>
      </c>
      <c r="L295" s="65" t="str">
        <f t="shared" ca="1" si="24"/>
        <v>Best men took only 5 throws</v>
      </c>
      <c r="M295" s="65" t="s">
        <v>1</v>
      </c>
      <c r="N295" s="65" t="s">
        <v>255</v>
      </c>
      <c r="O295" s="65" t="e">
        <f t="shared" ca="1" si="20"/>
        <v>#VALUE!</v>
      </c>
      <c r="P295" s="65" t="str">
        <f t="shared" ca="1" si="22"/>
        <v/>
      </c>
    </row>
    <row r="296" spans="1:16" s="65" customFormat="1" hidden="1" x14ac:dyDescent="0.25">
      <c r="A296" s="65" t="s">
        <v>383</v>
      </c>
      <c r="B296" s="295" t="str">
        <f>IF(OR(AND(Parameter!$B$4=0,Parameter!$C$5="n"),INDEX(Data!$M$91:$M$190,MATCH("M2",Data!$A$91:$A$190,0))&gt;0,INDEX(Data!$N$91:$N$190,MATCH("M2",Data!$A$91:$A$190,0))&gt;0),"M2","M1")</f>
        <v>M2</v>
      </c>
      <c r="C296" s="65">
        <f>INDEX(Parameter!$9:$9,,MATCH(4,Parameter!$8:$8,0))</f>
        <v>4</v>
      </c>
      <c r="D296" s="65">
        <f>INDEX(Parameter!$B$10:$AB$10,MATCH(C296,Parameter!$B$9:$AB$9,0))</f>
        <v>3</v>
      </c>
      <c r="E296" s="65">
        <f>COUNTIF(Data!$DY$90:$IB$90,Specials!C296)</f>
        <v>2</v>
      </c>
      <c r="F296" s="65">
        <f ca="1">OFFSET(Data!$CS$91,MATCH("M1",Data!$A$91:$A$190,0)-1,MATCH(C296,Data!$CS$90:$DS$90,0)-1)</f>
        <v>6</v>
      </c>
      <c r="G296" s="65">
        <f ca="1">OFFSET(Data!$CS$91,MATCH($B296,Data!$A$91:$A$190,0)-1,MATCH(C296,Data!$CS$90:$DS$90,0)-1)</f>
        <v>7</v>
      </c>
      <c r="H296" s="65">
        <f t="shared" ca="1" si="23"/>
        <v>0</v>
      </c>
      <c r="I296" s="65">
        <f t="array" ref="I296">SUM(IF(Data!$A$91:$A$190=$B296,Data!$J$91:$M$190))-SUM(IF(Data!$A$91:$A$190="M1",Data!$J$91:$M$190))</f>
        <v>2</v>
      </c>
      <c r="K296" s="65" t="str">
        <f>INDEX(Data!$DT$91:$DT$190,MATCH($B296,Data!$A$91:$A$190,0))</f>
        <v>Dani Hatvani</v>
      </c>
      <c r="L296" s="65" t="str">
        <f t="shared" ca="1" si="24"/>
        <v>Best men took only 6 throws</v>
      </c>
      <c r="M296" s="65" t="s">
        <v>1</v>
      </c>
      <c r="N296" s="65" t="s">
        <v>255</v>
      </c>
      <c r="O296" s="65" t="e">
        <f t="shared" ca="1" si="20"/>
        <v>#VALUE!</v>
      </c>
      <c r="P296" s="65" t="str">
        <f t="shared" ca="1" si="22"/>
        <v/>
      </c>
    </row>
    <row r="297" spans="1:16" s="65" customFormat="1" hidden="1" x14ac:dyDescent="0.25">
      <c r="A297" s="65" t="s">
        <v>383</v>
      </c>
      <c r="B297" s="295" t="str">
        <f>IF(OR(AND(Parameter!$B$4=0,Parameter!$C$5="n"),INDEX(Data!$M$91:$M$190,MATCH("M2",Data!$A$91:$A$190,0))&gt;0,INDEX(Data!$N$91:$N$190,MATCH("M2",Data!$A$91:$A$190,0))&gt;0),"M2","M1")</f>
        <v>M2</v>
      </c>
      <c r="C297" s="65">
        <f>INDEX(Parameter!$9:$9,,MATCH(5,Parameter!$8:$8,0))</f>
        <v>5</v>
      </c>
      <c r="D297" s="65">
        <f>INDEX(Parameter!$B$10:$AB$10,MATCH(C297,Parameter!$B$9:$AB$9,0))</f>
        <v>4</v>
      </c>
      <c r="E297" s="65">
        <f>COUNTIF(Data!$DY$90:$IB$90,Specials!C297)</f>
        <v>2</v>
      </c>
      <c r="F297" s="65">
        <f ca="1">OFFSET(Data!$CS$91,MATCH("M1",Data!$A$91:$A$190,0)-1,MATCH(C297,Data!$CS$90:$DS$90,0)-1)</f>
        <v>6</v>
      </c>
      <c r="G297" s="65">
        <f ca="1">OFFSET(Data!$CS$91,MATCH($B297,Data!$A$91:$A$190,0)-1,MATCH(C297,Data!$CS$90:$DS$90,0)-1)</f>
        <v>7</v>
      </c>
      <c r="H297" s="65">
        <f t="shared" ca="1" si="23"/>
        <v>0</v>
      </c>
      <c r="I297" s="65">
        <f t="array" ref="I297">SUM(IF(Data!$A$91:$A$190=$B297,Data!$J$91:$M$190))-SUM(IF(Data!$A$91:$A$190="M1",Data!$J$91:$M$190))</f>
        <v>2</v>
      </c>
      <c r="K297" s="65" t="str">
        <f>INDEX(Data!$DT$91:$DT$190,MATCH($B297,Data!$A$91:$A$190,0))</f>
        <v>Dani Hatvani</v>
      </c>
      <c r="L297" s="65" t="str">
        <f t="shared" ca="1" si="24"/>
        <v>Best men took only 6 throws</v>
      </c>
      <c r="M297" s="65" t="s">
        <v>1</v>
      </c>
      <c r="N297" s="65" t="s">
        <v>255</v>
      </c>
      <c r="O297" s="65" t="e">
        <f t="shared" ca="1" si="20"/>
        <v>#VALUE!</v>
      </c>
      <c r="P297" s="65" t="str">
        <f t="shared" ca="1" si="22"/>
        <v/>
      </c>
    </row>
    <row r="298" spans="1:16" s="65" customFormat="1" hidden="1" x14ac:dyDescent="0.25">
      <c r="A298" s="65" t="s">
        <v>383</v>
      </c>
      <c r="B298" s="295" t="str">
        <f>IF(OR(AND(Parameter!$B$4=0,Parameter!$C$5="n"),INDEX(Data!$M$91:$M$190,MATCH("M2",Data!$A$91:$A$190,0))&gt;0,INDEX(Data!$N$91:$N$190,MATCH("M2",Data!$A$91:$A$190,0))&gt;0),"M2","M1")</f>
        <v>M2</v>
      </c>
      <c r="C298" s="65">
        <f>INDEX(Parameter!$9:$9,,MATCH(6,Parameter!$8:$8,0))</f>
        <v>6</v>
      </c>
      <c r="D298" s="65">
        <f>INDEX(Parameter!$B$10:$AB$10,MATCH(C298,Parameter!$B$9:$AB$9,0))</f>
        <v>3</v>
      </c>
      <c r="E298" s="65">
        <f>COUNTIF(Data!$DY$90:$IB$90,Specials!C298)</f>
        <v>2</v>
      </c>
      <c r="F298" s="65">
        <f ca="1">OFFSET(Data!$CS$91,MATCH("M1",Data!$A$91:$A$190,0)-1,MATCH(C298,Data!$CS$90:$DS$90,0)-1)</f>
        <v>5</v>
      </c>
      <c r="G298" s="65">
        <f ca="1">OFFSET(Data!$CS$91,MATCH($B298,Data!$A$91:$A$190,0)-1,MATCH(C298,Data!$CS$90:$DS$90,0)-1)</f>
        <v>6</v>
      </c>
      <c r="H298" s="65">
        <f t="shared" ca="1" si="23"/>
        <v>0</v>
      </c>
      <c r="I298" s="65">
        <f t="array" ref="I298">SUM(IF(Data!$A$91:$A$190=$B298,Data!$J$91:$M$190))-SUM(IF(Data!$A$91:$A$190="M1",Data!$J$91:$M$190))</f>
        <v>2</v>
      </c>
      <c r="K298" s="65" t="str">
        <f>INDEX(Data!$DT$91:$DT$190,MATCH($B298,Data!$A$91:$A$190,0))</f>
        <v>Dani Hatvani</v>
      </c>
      <c r="L298" s="65" t="str">
        <f t="shared" ca="1" si="24"/>
        <v>Best men took only 5 throws</v>
      </c>
      <c r="M298" s="65" t="s">
        <v>1</v>
      </c>
      <c r="N298" s="65" t="s">
        <v>255</v>
      </c>
      <c r="O298" s="65" t="e">
        <f t="shared" ca="1" si="20"/>
        <v>#VALUE!</v>
      </c>
      <c r="P298" s="65" t="str">
        <f t="shared" ca="1" si="22"/>
        <v/>
      </c>
    </row>
    <row r="299" spans="1:16" s="65" customFormat="1" hidden="1" x14ac:dyDescent="0.25">
      <c r="A299" s="65" t="s">
        <v>383</v>
      </c>
      <c r="B299" s="295" t="str">
        <f>IF(OR(AND(Parameter!$B$4=0,Parameter!$C$5="n"),INDEX(Data!$M$91:$M$190,MATCH("M2",Data!$A$91:$A$190,0))&gt;0,INDEX(Data!$N$91:$N$190,MATCH("M2",Data!$A$91:$A$190,0))&gt;0),"M2","M1")</f>
        <v>M2</v>
      </c>
      <c r="C299" s="65">
        <f>INDEX(Parameter!$9:$9,,MATCH(7,Parameter!$8:$8,0))</f>
        <v>7</v>
      </c>
      <c r="D299" s="65">
        <f>INDEX(Parameter!$B$10:$AB$10,MATCH(C299,Parameter!$B$9:$AB$9,0))</f>
        <v>3</v>
      </c>
      <c r="E299" s="65">
        <f>COUNTIF(Data!$DY$90:$IB$90,Specials!C299)</f>
        <v>2</v>
      </c>
      <c r="F299" s="65">
        <f ca="1">OFFSET(Data!$CS$91,MATCH("M1",Data!$A$91:$A$190,0)-1,MATCH(C299,Data!$CS$90:$DS$90,0)-1)</f>
        <v>6</v>
      </c>
      <c r="G299" s="65">
        <f ca="1">OFFSET(Data!$CS$91,MATCH($B299,Data!$A$91:$A$190,0)-1,MATCH(C299,Data!$CS$90:$DS$90,0)-1)</f>
        <v>5</v>
      </c>
      <c r="H299" s="65">
        <f t="shared" ca="1" si="23"/>
        <v>0</v>
      </c>
      <c r="I299" s="65">
        <f t="array" ref="I299">SUM(IF(Data!$A$91:$A$190=$B299,Data!$J$91:$M$190))-SUM(IF(Data!$A$91:$A$190="M1",Data!$J$91:$M$190))</f>
        <v>2</v>
      </c>
      <c r="K299" s="65" t="str">
        <f>INDEX(Data!$DT$91:$DT$190,MATCH($B299,Data!$A$91:$A$190,0))</f>
        <v>Dani Hatvani</v>
      </c>
      <c r="L299" s="65" t="str">
        <f t="shared" ca="1" si="24"/>
        <v>Best men took only 6 throws</v>
      </c>
      <c r="M299" s="65" t="s">
        <v>1</v>
      </c>
      <c r="N299" s="65" t="s">
        <v>255</v>
      </c>
      <c r="O299" s="65" t="e">
        <f t="shared" ca="1" si="20"/>
        <v>#VALUE!</v>
      </c>
      <c r="P299" s="65" t="str">
        <f t="shared" ca="1" si="22"/>
        <v/>
      </c>
    </row>
    <row r="300" spans="1:16" s="65" customFormat="1" hidden="1" x14ac:dyDescent="0.25">
      <c r="A300" s="65" t="s">
        <v>383</v>
      </c>
      <c r="B300" s="295" t="str">
        <f>IF(OR(AND(Parameter!$B$4=0,Parameter!$C$5="n"),INDEX(Data!$M$91:$M$190,MATCH("M2",Data!$A$91:$A$190,0))&gt;0,INDEX(Data!$N$91:$N$190,MATCH("M2",Data!$A$91:$A$190,0))&gt;0),"M2","M1")</f>
        <v>M2</v>
      </c>
      <c r="C300" s="65">
        <f>INDEX(Parameter!$9:$9,,MATCH(8,Parameter!$8:$8,0))</f>
        <v>8</v>
      </c>
      <c r="D300" s="65">
        <f>INDEX(Parameter!$B$10:$AB$10,MATCH(C300,Parameter!$B$9:$AB$9,0))</f>
        <v>3</v>
      </c>
      <c r="E300" s="65">
        <f>COUNTIF(Data!$DY$90:$IB$90,Specials!C300)</f>
        <v>2</v>
      </c>
      <c r="F300" s="65">
        <f ca="1">OFFSET(Data!$CS$91,MATCH("M1",Data!$A$91:$A$190,0)-1,MATCH(C300,Data!$CS$90:$DS$90,0)-1)</f>
        <v>5</v>
      </c>
      <c r="G300" s="65">
        <f ca="1">OFFSET(Data!$CS$91,MATCH($B300,Data!$A$91:$A$190,0)-1,MATCH(C300,Data!$CS$90:$DS$90,0)-1)</f>
        <v>6</v>
      </c>
      <c r="H300" s="65">
        <f t="shared" ca="1" si="23"/>
        <v>0</v>
      </c>
      <c r="I300" s="65">
        <f t="array" ref="I300">SUM(IF(Data!$A$91:$A$190=$B300,Data!$J$91:$M$190))-SUM(IF(Data!$A$91:$A$190="M1",Data!$J$91:$M$190))</f>
        <v>2</v>
      </c>
      <c r="K300" s="65" t="str">
        <f>INDEX(Data!$DT$91:$DT$190,MATCH($B300,Data!$A$91:$A$190,0))</f>
        <v>Dani Hatvani</v>
      </c>
      <c r="L300" s="65" t="str">
        <f t="shared" ca="1" si="24"/>
        <v>Best men took only 5 throws</v>
      </c>
      <c r="M300" s="65" t="s">
        <v>1</v>
      </c>
      <c r="N300" s="65" t="s">
        <v>255</v>
      </c>
      <c r="O300" s="65" t="e">
        <f t="shared" ca="1" si="20"/>
        <v>#VALUE!</v>
      </c>
      <c r="P300" s="65" t="str">
        <f t="shared" ca="1" si="22"/>
        <v/>
      </c>
    </row>
    <row r="301" spans="1:16" s="65" customFormat="1" hidden="1" x14ac:dyDescent="0.25">
      <c r="A301" s="65" t="s">
        <v>383</v>
      </c>
      <c r="B301" s="295" t="str">
        <f>IF(OR(AND(Parameter!$B$4=0,Parameter!$C$5="n"),INDEX(Data!$M$91:$M$190,MATCH("M2",Data!$A$91:$A$190,0))&gt;0,INDEX(Data!$N$91:$N$190,MATCH("M2",Data!$A$91:$A$190,0))&gt;0),"M2","M1")</f>
        <v>M2</v>
      </c>
      <c r="C301" s="65">
        <f>INDEX(Parameter!$9:$9,,MATCH(9,Parameter!$8:$8,0))</f>
        <v>9</v>
      </c>
      <c r="D301" s="65">
        <f>INDEX(Parameter!$B$10:$AB$10,MATCH(C301,Parameter!$B$9:$AB$9,0))</f>
        <v>4</v>
      </c>
      <c r="E301" s="65">
        <f>COUNTIF(Data!$DY$90:$IB$90,Specials!C301)</f>
        <v>2</v>
      </c>
      <c r="F301" s="65">
        <f ca="1">OFFSET(Data!$CS$91,MATCH("M1",Data!$A$91:$A$190,0)-1,MATCH(C301,Data!$CS$90:$DS$90,0)-1)</f>
        <v>8</v>
      </c>
      <c r="G301" s="65">
        <f ca="1">OFFSET(Data!$CS$91,MATCH($B301,Data!$A$91:$A$190,0)-1,MATCH(C301,Data!$CS$90:$DS$90,0)-1)</f>
        <v>6</v>
      </c>
      <c r="H301" s="65">
        <f t="shared" ca="1" si="23"/>
        <v>0</v>
      </c>
      <c r="I301" s="65">
        <f t="array" ref="I301">SUM(IF(Data!$A$91:$A$190=$B301,Data!$J$91:$M$190))-SUM(IF(Data!$A$91:$A$190="M1",Data!$J$91:$M$190))</f>
        <v>2</v>
      </c>
      <c r="K301" s="65" t="str">
        <f>INDEX(Data!$DT$91:$DT$190,MATCH($B301,Data!$A$91:$A$190,0))</f>
        <v>Dani Hatvani</v>
      </c>
      <c r="L301" s="65" t="str">
        <f t="shared" ca="1" si="24"/>
        <v>Best men took only 8 throws</v>
      </c>
      <c r="M301" s="65" t="s">
        <v>1</v>
      </c>
      <c r="N301" s="65" t="s">
        <v>255</v>
      </c>
      <c r="O301" s="65" t="e">
        <f t="shared" ca="1" si="20"/>
        <v>#VALUE!</v>
      </c>
      <c r="P301" s="65" t="str">
        <f t="shared" ca="1" si="22"/>
        <v/>
      </c>
    </row>
    <row r="302" spans="1:16" s="65" customFormat="1" hidden="1" x14ac:dyDescent="0.25">
      <c r="A302" s="65" t="s">
        <v>383</v>
      </c>
      <c r="B302" s="295" t="str">
        <f>IF(OR(AND(Parameter!$B$4=0,Parameter!$C$5="n"),INDEX(Data!$M$91:$M$190,MATCH("M2",Data!$A$91:$A$190,0))&gt;0,INDEX(Data!$N$91:$N$190,MATCH("M2",Data!$A$91:$A$190,0))&gt;0),"M2","M1")</f>
        <v>M2</v>
      </c>
      <c r="C302" s="65">
        <f>INDEX(Parameter!$9:$9,,MATCH(10,Parameter!$8:$8,0))</f>
        <v>10</v>
      </c>
      <c r="D302" s="65">
        <f>INDEX(Parameter!$B$10:$AB$10,MATCH(C302,Parameter!$B$9:$AB$9,0))</f>
        <v>4</v>
      </c>
      <c r="E302" s="65">
        <f>COUNTIF(Data!$DY$90:$IB$90,Specials!C302)</f>
        <v>2</v>
      </c>
      <c r="F302" s="65">
        <f ca="1">OFFSET(Data!$CS$91,MATCH("M1",Data!$A$91:$A$190,0)-1,MATCH(C302,Data!$CS$90:$DS$90,0)-1)</f>
        <v>7</v>
      </c>
      <c r="G302" s="65">
        <f ca="1">OFFSET(Data!$CS$91,MATCH($B302,Data!$A$91:$A$190,0)-1,MATCH(C302,Data!$CS$90:$DS$90,0)-1)</f>
        <v>11</v>
      </c>
      <c r="H302" s="65">
        <f t="shared" ca="1" si="23"/>
        <v>0</v>
      </c>
      <c r="I302" s="65">
        <f t="array" ref="I302">SUM(IF(Data!$A$91:$A$190=$B302,Data!$J$91:$M$190))-SUM(IF(Data!$A$91:$A$190="M1",Data!$J$91:$M$190))</f>
        <v>2</v>
      </c>
      <c r="K302" s="65" t="str">
        <f>INDEX(Data!$DT$91:$DT$190,MATCH($B302,Data!$A$91:$A$190,0))</f>
        <v>Dani Hatvani</v>
      </c>
      <c r="L302" s="65" t="str">
        <f t="shared" ca="1" si="24"/>
        <v>Best men took only 7 throws</v>
      </c>
      <c r="M302" s="65" t="s">
        <v>1</v>
      </c>
      <c r="N302" s="65" t="s">
        <v>255</v>
      </c>
      <c r="O302" s="65" t="e">
        <f t="shared" ca="1" si="20"/>
        <v>#VALUE!</v>
      </c>
      <c r="P302" s="65" t="str">
        <f t="shared" ca="1" si="22"/>
        <v/>
      </c>
    </row>
    <row r="303" spans="1:16" s="65" customFormat="1" hidden="1" x14ac:dyDescent="0.25">
      <c r="A303" s="65" t="s">
        <v>383</v>
      </c>
      <c r="B303" s="295" t="str">
        <f>IF(OR(AND(Parameter!$B$4=0,Parameter!$C$5="n"),INDEX(Data!$M$91:$M$190,MATCH("M2",Data!$A$91:$A$190,0))&gt;0,INDEX(Data!$N$91:$N$190,MATCH("M2",Data!$A$91:$A$190,0))&gt;0),"M2","M1")</f>
        <v>M2</v>
      </c>
      <c r="C303" s="65">
        <f>INDEX(Parameter!$9:$9,,MATCH(11,Parameter!$8:$8,0))</f>
        <v>11</v>
      </c>
      <c r="D303" s="65">
        <f>INDEX(Parameter!$B$10:$AB$10,MATCH(C303,Parameter!$B$9:$AB$9,0))</f>
        <v>4</v>
      </c>
      <c r="E303" s="65">
        <f>COUNTIF(Data!$DY$90:$IB$90,Specials!C303)</f>
        <v>2</v>
      </c>
      <c r="F303" s="65">
        <f ca="1">OFFSET(Data!$CS$91,MATCH("M1",Data!$A$91:$A$190,0)-1,MATCH(C303,Data!$CS$90:$DS$90,0)-1)</f>
        <v>9</v>
      </c>
      <c r="G303" s="65">
        <f ca="1">OFFSET(Data!$CS$91,MATCH($B303,Data!$A$91:$A$190,0)-1,MATCH(C303,Data!$CS$90:$DS$90,0)-1)</f>
        <v>7</v>
      </c>
      <c r="H303" s="65">
        <f t="shared" ca="1" si="23"/>
        <v>0</v>
      </c>
      <c r="I303" s="65">
        <f t="array" ref="I303">SUM(IF(Data!$A$91:$A$190=$B303,Data!$J$91:$M$190))-SUM(IF(Data!$A$91:$A$190="M1",Data!$J$91:$M$190))</f>
        <v>2</v>
      </c>
      <c r="K303" s="65" t="str">
        <f>INDEX(Data!$DT$91:$DT$190,MATCH($B303,Data!$A$91:$A$190,0))</f>
        <v>Dani Hatvani</v>
      </c>
      <c r="L303" s="65" t="str">
        <f t="shared" ca="1" si="24"/>
        <v>Best men took only 9 throws</v>
      </c>
      <c r="M303" s="65" t="s">
        <v>1</v>
      </c>
      <c r="N303" s="65" t="s">
        <v>255</v>
      </c>
      <c r="O303" s="65" t="e">
        <f t="shared" ca="1" si="20"/>
        <v>#VALUE!</v>
      </c>
      <c r="P303" s="65" t="str">
        <f t="shared" ca="1" si="22"/>
        <v/>
      </c>
    </row>
    <row r="304" spans="1:16" s="65" customFormat="1" hidden="1" x14ac:dyDescent="0.25">
      <c r="A304" s="65" t="s">
        <v>383</v>
      </c>
      <c r="B304" s="295" t="str">
        <f>IF(OR(AND(Parameter!$B$4=0,Parameter!$C$5="n"),INDEX(Data!$M$91:$M$190,MATCH("M2",Data!$A$91:$A$190,0))&gt;0,INDEX(Data!$N$91:$N$190,MATCH("M2",Data!$A$91:$A$190,0))&gt;0),"M2","M1")</f>
        <v>M2</v>
      </c>
      <c r="C304" s="65" t="str">
        <f>INDEX(Parameter!$9:$9,,MATCH(12,Parameter!$8:$8,0))</f>
        <v>11b</v>
      </c>
      <c r="D304" s="65">
        <f>INDEX(Parameter!$B$10:$AB$10,MATCH(C304,Parameter!$B$9:$AB$9,0))</f>
        <v>3</v>
      </c>
      <c r="E304" s="65">
        <f>COUNTIF(Data!$DY$90:$IB$90,Specials!C304)</f>
        <v>2</v>
      </c>
      <c r="F304" s="65">
        <f ca="1">OFFSET(Data!$CS$91,MATCH("M1",Data!$A$91:$A$190,0)-1,MATCH(C304,Data!$CS$90:$DS$90,0)-1)</f>
        <v>5</v>
      </c>
      <c r="G304" s="65">
        <f ca="1">OFFSET(Data!$CS$91,MATCH($B304,Data!$A$91:$A$190,0)-1,MATCH(C304,Data!$CS$90:$DS$90,0)-1)</f>
        <v>6</v>
      </c>
      <c r="H304" s="65">
        <f t="shared" ca="1" si="23"/>
        <v>0</v>
      </c>
      <c r="I304" s="65">
        <f t="array" ref="I304">SUM(IF(Data!$A$91:$A$190=$B304,Data!$J$91:$M$190))-SUM(IF(Data!$A$91:$A$190="M1",Data!$J$91:$M$190))</f>
        <v>2</v>
      </c>
      <c r="K304" s="65" t="str">
        <f>INDEX(Data!$DT$91:$DT$190,MATCH($B304,Data!$A$91:$A$190,0))</f>
        <v>Dani Hatvani</v>
      </c>
      <c r="L304" s="65" t="str">
        <f t="shared" ca="1" si="24"/>
        <v>Best men took only 5 throws</v>
      </c>
      <c r="M304" s="65" t="s">
        <v>1</v>
      </c>
      <c r="N304" s="65" t="s">
        <v>255</v>
      </c>
      <c r="O304" s="65" t="e">
        <f t="shared" ca="1" si="20"/>
        <v>#VALUE!</v>
      </c>
      <c r="P304" s="65" t="str">
        <f t="shared" ca="1" si="22"/>
        <v/>
      </c>
    </row>
    <row r="305" spans="1:16" s="65" customFormat="1" hidden="1" x14ac:dyDescent="0.25">
      <c r="A305" s="65" t="s">
        <v>383</v>
      </c>
      <c r="B305" s="295" t="str">
        <f>IF(OR(AND(Parameter!$B$4=0,Parameter!$C$5="n"),INDEX(Data!$M$91:$M$190,MATCH("M2",Data!$A$91:$A$190,0))&gt;0,INDEX(Data!$N$91:$N$190,MATCH("M2",Data!$A$91:$A$190,0))&gt;0),"M2","M1")</f>
        <v>M2</v>
      </c>
      <c r="C305" s="65">
        <f>INDEX(Parameter!$9:$9,,MATCH(13,Parameter!$8:$8,0))</f>
        <v>12</v>
      </c>
      <c r="D305" s="65">
        <f>INDEX(Parameter!$B$10:$AB$10,MATCH(C305,Parameter!$B$9:$AB$9,0))</f>
        <v>3</v>
      </c>
      <c r="E305" s="65">
        <f>COUNTIF(Data!$DY$90:$IB$90,Specials!C305)</f>
        <v>2</v>
      </c>
      <c r="F305" s="65">
        <f ca="1">OFFSET(Data!$CS$91,MATCH("M1",Data!$A$91:$A$190,0)-1,MATCH(C305,Data!$CS$90:$DS$90,0)-1)</f>
        <v>5</v>
      </c>
      <c r="G305" s="65">
        <f ca="1">OFFSET(Data!$CS$91,MATCH($B305,Data!$A$91:$A$190,0)-1,MATCH(C305,Data!$CS$90:$DS$90,0)-1)</f>
        <v>5</v>
      </c>
      <c r="H305" s="65">
        <f t="shared" ca="1" si="23"/>
        <v>0</v>
      </c>
      <c r="I305" s="65">
        <f t="array" ref="I305">SUM(IF(Data!$A$91:$A$190=$B305,Data!$J$91:$M$190))-SUM(IF(Data!$A$91:$A$190="M1",Data!$J$91:$M$190))</f>
        <v>2</v>
      </c>
      <c r="K305" s="65" t="str">
        <f>INDEX(Data!$DT$91:$DT$190,MATCH($B305,Data!$A$91:$A$190,0))</f>
        <v>Dani Hatvani</v>
      </c>
      <c r="L305" s="65" t="str">
        <f t="shared" ca="1" si="24"/>
        <v>Best men took only 5 throws</v>
      </c>
      <c r="M305" s="65" t="s">
        <v>1</v>
      </c>
      <c r="N305" s="65" t="s">
        <v>255</v>
      </c>
      <c r="O305" s="65" t="e">
        <f t="shared" ca="1" si="20"/>
        <v>#VALUE!</v>
      </c>
      <c r="P305" s="65" t="str">
        <f t="shared" ca="1" si="22"/>
        <v/>
      </c>
    </row>
    <row r="306" spans="1:16" s="65" customFormat="1" hidden="1" x14ac:dyDescent="0.25">
      <c r="A306" s="65" t="s">
        <v>383</v>
      </c>
      <c r="B306" s="295" t="str">
        <f>IF(OR(AND(Parameter!$B$4=0,Parameter!$C$5="n"),INDEX(Data!$M$91:$M$190,MATCH("M2",Data!$A$91:$A$190,0))&gt;0,INDEX(Data!$N$91:$N$190,MATCH("M2",Data!$A$91:$A$190,0))&gt;0),"M2","M1")</f>
        <v>M2</v>
      </c>
      <c r="C306" s="65">
        <f>INDEX(Parameter!$9:$9,,MATCH(14,Parameter!$8:$8,0))</f>
        <v>13</v>
      </c>
      <c r="D306" s="65">
        <f>INDEX(Parameter!$B$10:$AB$10,MATCH(C306,Parameter!$B$9:$AB$9,0))</f>
        <v>3</v>
      </c>
      <c r="E306" s="65">
        <f>COUNTIF(Data!$DY$90:$IB$90,Specials!C306)</f>
        <v>2</v>
      </c>
      <c r="F306" s="65">
        <f ca="1">OFFSET(Data!$CS$91,MATCH("M1",Data!$A$91:$A$190,0)-1,MATCH(C306,Data!$CS$90:$DS$90,0)-1)</f>
        <v>6</v>
      </c>
      <c r="G306" s="65">
        <f ca="1">OFFSET(Data!$CS$91,MATCH($B306,Data!$A$91:$A$190,0)-1,MATCH(C306,Data!$CS$90:$DS$90,0)-1)</f>
        <v>6</v>
      </c>
      <c r="H306" s="65">
        <f t="shared" ca="1" si="23"/>
        <v>0</v>
      </c>
      <c r="I306" s="65">
        <f t="array" ref="I306">SUM(IF(Data!$A$91:$A$190=$B306,Data!$J$91:$M$190))-SUM(IF(Data!$A$91:$A$190="M1",Data!$J$91:$M$190))</f>
        <v>2</v>
      </c>
      <c r="K306" s="65" t="str">
        <f>INDEX(Data!$DT$91:$DT$190,MATCH($B306,Data!$A$91:$A$190,0))</f>
        <v>Dani Hatvani</v>
      </c>
      <c r="L306" s="65" t="str">
        <f t="shared" ca="1" si="24"/>
        <v>Best men took only 6 throws</v>
      </c>
      <c r="M306" s="65" t="s">
        <v>1</v>
      </c>
      <c r="N306" s="65" t="s">
        <v>255</v>
      </c>
      <c r="O306" s="65" t="e">
        <f t="shared" ca="1" si="20"/>
        <v>#VALUE!</v>
      </c>
      <c r="P306" s="65" t="str">
        <f t="shared" ca="1" si="22"/>
        <v/>
      </c>
    </row>
    <row r="307" spans="1:16" s="65" customFormat="1" hidden="1" x14ac:dyDescent="0.25">
      <c r="A307" s="65" t="s">
        <v>383</v>
      </c>
      <c r="B307" s="295" t="str">
        <f>IF(OR(AND(Parameter!$B$4=0,Parameter!$C$5="n"),INDEX(Data!$M$91:$M$190,MATCH("M2",Data!$A$91:$A$190,0))&gt;0,INDEX(Data!$N$91:$N$190,MATCH("M2",Data!$A$91:$A$190,0))&gt;0),"M2","M1")</f>
        <v>M2</v>
      </c>
      <c r="C307" s="65">
        <f>INDEX(Parameter!$9:$9,,MATCH(15,Parameter!$8:$8,0))</f>
        <v>14</v>
      </c>
      <c r="D307" s="65">
        <f>INDEX(Parameter!$B$10:$AB$10,MATCH(C307,Parameter!$B$9:$AB$9,0))</f>
        <v>3</v>
      </c>
      <c r="E307" s="65">
        <f>COUNTIF(Data!$DY$90:$IB$90,Specials!C307)</f>
        <v>2</v>
      </c>
      <c r="F307" s="65">
        <f ca="1">OFFSET(Data!$CS$91,MATCH("M1",Data!$A$91:$A$190,0)-1,MATCH(C307,Data!$CS$90:$DS$90,0)-1)</f>
        <v>7</v>
      </c>
      <c r="G307" s="65">
        <f ca="1">OFFSET(Data!$CS$91,MATCH($B307,Data!$A$91:$A$190,0)-1,MATCH(C307,Data!$CS$90:$DS$90,0)-1)</f>
        <v>4</v>
      </c>
      <c r="H307" s="65">
        <f t="shared" ca="1" si="23"/>
        <v>0</v>
      </c>
      <c r="I307" s="65">
        <f t="array" ref="I307">SUM(IF(Data!$A$91:$A$190=$B307,Data!$J$91:$M$190))-SUM(IF(Data!$A$91:$A$190="M1",Data!$J$91:$M$190))</f>
        <v>2</v>
      </c>
      <c r="K307" s="65" t="str">
        <f>INDEX(Data!$DT$91:$DT$190,MATCH($B307,Data!$A$91:$A$190,0))</f>
        <v>Dani Hatvani</v>
      </c>
      <c r="L307" s="65" t="str">
        <f t="shared" ca="1" si="24"/>
        <v>Best men took only 7 throws</v>
      </c>
      <c r="M307" s="65" t="s">
        <v>1</v>
      </c>
      <c r="N307" s="65" t="s">
        <v>255</v>
      </c>
      <c r="O307" s="65" t="e">
        <f t="shared" ca="1" si="20"/>
        <v>#VALUE!</v>
      </c>
      <c r="P307" s="65" t="str">
        <f t="shared" ca="1" si="22"/>
        <v/>
      </c>
    </row>
    <row r="308" spans="1:16" s="65" customFormat="1" hidden="1" x14ac:dyDescent="0.25">
      <c r="A308" s="65" t="s">
        <v>383</v>
      </c>
      <c r="B308" s="295" t="str">
        <f>IF(OR(AND(Parameter!$B$4=0,Parameter!$C$5="n"),INDEX(Data!$M$91:$M$190,MATCH("M2",Data!$A$91:$A$190,0))&gt;0,INDEX(Data!$N$91:$N$190,MATCH("M2",Data!$A$91:$A$190,0))&gt;0),"M2","M1")</f>
        <v>M2</v>
      </c>
      <c r="C308" s="65">
        <f>INDEX(Parameter!$9:$9,,MATCH(16,Parameter!$8:$8,0))</f>
        <v>15</v>
      </c>
      <c r="D308" s="65">
        <f>INDEX(Parameter!$B$10:$AB$10,MATCH(C308,Parameter!$B$9:$AB$9,0))</f>
        <v>3</v>
      </c>
      <c r="E308" s="65">
        <f>COUNTIF(Data!$DY$90:$IB$90,Specials!C308)</f>
        <v>2</v>
      </c>
      <c r="F308" s="65">
        <f ca="1">OFFSET(Data!$CS$91,MATCH("M1",Data!$A$91:$A$190,0)-1,MATCH(C308,Data!$CS$90:$DS$90,0)-1)</f>
        <v>6</v>
      </c>
      <c r="G308" s="65">
        <f ca="1">OFFSET(Data!$CS$91,MATCH($B308,Data!$A$91:$A$190,0)-1,MATCH(C308,Data!$CS$90:$DS$90,0)-1)</f>
        <v>5</v>
      </c>
      <c r="H308" s="65">
        <f t="shared" ca="1" si="23"/>
        <v>0</v>
      </c>
      <c r="I308" s="65">
        <f t="array" ref="I308">SUM(IF(Data!$A$91:$A$190=$B308,Data!$J$91:$M$190))-SUM(IF(Data!$A$91:$A$190="M1",Data!$J$91:$M$190))</f>
        <v>2</v>
      </c>
      <c r="K308" s="65" t="str">
        <f>INDEX(Data!$DT$91:$DT$190,MATCH($B308,Data!$A$91:$A$190,0))</f>
        <v>Dani Hatvani</v>
      </c>
      <c r="L308" s="65" t="str">
        <f t="shared" ca="1" si="24"/>
        <v>Best men took only 6 throws</v>
      </c>
      <c r="M308" s="65" t="s">
        <v>1</v>
      </c>
      <c r="N308" s="65" t="s">
        <v>255</v>
      </c>
      <c r="O308" s="65" t="e">
        <f t="shared" ca="1" si="20"/>
        <v>#VALUE!</v>
      </c>
      <c r="P308" s="65" t="str">
        <f t="shared" ca="1" si="22"/>
        <v/>
      </c>
    </row>
    <row r="309" spans="1:16" s="65" customFormat="1" hidden="1" x14ac:dyDescent="0.25">
      <c r="A309" s="65" t="s">
        <v>383</v>
      </c>
      <c r="B309" s="295" t="str">
        <f>IF(OR(AND(Parameter!$B$4=0,Parameter!$C$5="n"),INDEX(Data!$M$91:$M$190,MATCH("M2",Data!$A$91:$A$190,0))&gt;0,INDEX(Data!$N$91:$N$190,MATCH("M2",Data!$A$91:$A$190,0))&gt;0),"M2","M1")</f>
        <v>M2</v>
      </c>
      <c r="C309" s="65">
        <f>INDEX(Parameter!$9:$9,,MATCH(17,Parameter!$8:$8,0))</f>
        <v>16</v>
      </c>
      <c r="D309" s="65">
        <f>INDEX(Parameter!$B$10:$AB$10,MATCH(C309,Parameter!$B$9:$AB$9,0))</f>
        <v>3</v>
      </c>
      <c r="E309" s="65">
        <f>COUNTIF(Data!$DY$90:$IB$90,Specials!C309)</f>
        <v>2</v>
      </c>
      <c r="F309" s="65">
        <f ca="1">OFFSET(Data!$CS$91,MATCH("M1",Data!$A$91:$A$190,0)-1,MATCH(C309,Data!$CS$90:$DS$90,0)-1)</f>
        <v>4</v>
      </c>
      <c r="G309" s="65">
        <f ca="1">OFFSET(Data!$CS$91,MATCH($B309,Data!$A$91:$A$190,0)-1,MATCH(C309,Data!$CS$90:$DS$90,0)-1)</f>
        <v>7</v>
      </c>
      <c r="H309" s="65">
        <f t="shared" ca="1" si="23"/>
        <v>1</v>
      </c>
      <c r="I309" s="65">
        <f t="array" ref="I309">SUM(IF(Data!$A$91:$A$190=$B309,Data!$J$91:$M$190))-SUM(IF(Data!$A$91:$A$190="M1",Data!$J$91:$M$190))</f>
        <v>2</v>
      </c>
      <c r="K309" s="65" t="str">
        <f>INDEX(Data!$DT$91:$DT$190,MATCH($B309,Data!$A$91:$A$190,0))</f>
        <v>Dani Hatvani</v>
      </c>
      <c r="L309" s="65" t="str">
        <f t="shared" ca="1" si="24"/>
        <v>Best men took only 4 throws</v>
      </c>
      <c r="M309" s="65" t="s">
        <v>1</v>
      </c>
      <c r="N309" s="65" t="s">
        <v>255</v>
      </c>
      <c r="O309" s="65" t="e">
        <f t="shared" ca="1" si="20"/>
        <v>#VALUE!</v>
      </c>
      <c r="P309" s="65" t="str">
        <f t="shared" ca="1" si="22"/>
        <v>On hole 16 (par 3) Dani Hatvani took 7 throws in total (2 rounds)</v>
      </c>
    </row>
    <row r="310" spans="1:16" s="65" customFormat="1" hidden="1" x14ac:dyDescent="0.25">
      <c r="A310" s="65" t="s">
        <v>383</v>
      </c>
      <c r="B310" s="295" t="str">
        <f>IF(OR(AND(Parameter!$B$4=0,Parameter!$C$5="n"),INDEX(Data!$M$91:$M$190,MATCH("M2",Data!$A$91:$A$190,0))&gt;0,INDEX(Data!$N$91:$N$190,MATCH("M2",Data!$A$91:$A$190,0))&gt;0),"M2","M1")</f>
        <v>M2</v>
      </c>
      <c r="C310" s="65">
        <f>INDEX(Parameter!$9:$9,,MATCH(18,Parameter!$8:$8,0))</f>
        <v>17</v>
      </c>
      <c r="D310" s="65">
        <f>INDEX(Parameter!$B$10:$AB$10,MATCH(C310,Parameter!$B$9:$AB$9,0))</f>
        <v>3</v>
      </c>
      <c r="E310" s="65">
        <f>COUNTIF(Data!$DY$90:$IB$90,Specials!C310)</f>
        <v>2</v>
      </c>
      <c r="F310" s="65">
        <f ca="1">OFFSET(Data!$CS$91,MATCH("M1",Data!$A$91:$A$190,0)-1,MATCH(C310,Data!$CS$90:$DS$90,0)-1)</f>
        <v>5</v>
      </c>
      <c r="G310" s="65">
        <f ca="1">OFFSET(Data!$CS$91,MATCH($B310,Data!$A$91:$A$190,0)-1,MATCH(C310,Data!$CS$90:$DS$90,0)-1)</f>
        <v>4</v>
      </c>
      <c r="H310" s="65">
        <f t="shared" ca="1" si="23"/>
        <v>0</v>
      </c>
      <c r="I310" s="65">
        <f t="array" ref="I310">SUM(IF(Data!$A$91:$A$190=$B310,Data!$J$91:$M$190))-SUM(IF(Data!$A$91:$A$190="M1",Data!$J$91:$M$190))</f>
        <v>2</v>
      </c>
      <c r="K310" s="65" t="str">
        <f>INDEX(Data!$DT$91:$DT$190,MATCH($B310,Data!$A$91:$A$190,0))</f>
        <v>Dani Hatvani</v>
      </c>
      <c r="L310" s="65" t="str">
        <f t="shared" ca="1" si="24"/>
        <v>Best men took only 5 throws</v>
      </c>
      <c r="M310" s="65" t="s">
        <v>1</v>
      </c>
      <c r="N310" s="65" t="s">
        <v>255</v>
      </c>
      <c r="O310" s="65" t="e">
        <f t="shared" ca="1" si="20"/>
        <v>#VALUE!</v>
      </c>
      <c r="P310" s="65" t="str">
        <f t="shared" ca="1" si="22"/>
        <v/>
      </c>
    </row>
    <row r="311" spans="1:16" s="65" customFormat="1" hidden="1" x14ac:dyDescent="0.25">
      <c r="A311" s="65" t="s">
        <v>383</v>
      </c>
      <c r="B311" s="295" t="str">
        <f>IF(OR(AND(Parameter!$B$4=0,Parameter!$C$5="n"),INDEX(Data!$M$91:$M$190,MATCH("M2",Data!$A$91:$A$190,0))&gt;0,INDEX(Data!$N$91:$N$190,MATCH("M2",Data!$A$91:$A$190,0))&gt;0),"M2","M1")</f>
        <v>M2</v>
      </c>
      <c r="C311" s="65">
        <f>INDEX(Parameter!$9:$9,,MATCH(19,Parameter!$8:$8,0))</f>
        <v>18</v>
      </c>
      <c r="D311" s="65">
        <f>INDEX(Parameter!$B$10:$AB$10,MATCH(C311,Parameter!$B$9:$AB$9,0))</f>
        <v>3</v>
      </c>
      <c r="E311" s="65">
        <f>COUNTIF(Data!$DY$90:$IB$90,Specials!C311)</f>
        <v>2</v>
      </c>
      <c r="F311" s="65">
        <f ca="1">OFFSET(Data!$CS$91,MATCH("M1",Data!$A$91:$A$190,0)-1,MATCH(C311,Data!$CS$90:$DS$90,0)-1)</f>
        <v>6</v>
      </c>
      <c r="G311" s="65">
        <f ca="1">OFFSET(Data!$CS$91,MATCH($B311,Data!$A$91:$A$190,0)-1,MATCH(C311,Data!$CS$90:$DS$90,0)-1)</f>
        <v>6</v>
      </c>
      <c r="H311" s="65">
        <f t="shared" ca="1" si="23"/>
        <v>0</v>
      </c>
      <c r="I311" s="65">
        <f t="array" ref="I311">SUM(IF(Data!$A$91:$A$190=$B311,Data!$J$91:$M$190))-SUM(IF(Data!$A$91:$A$190="M1",Data!$J$91:$M$190))</f>
        <v>2</v>
      </c>
      <c r="K311" s="65" t="str">
        <f>INDEX(Data!$DT$91:$DT$190,MATCH($B311,Data!$A$91:$A$190,0))</f>
        <v>Dani Hatvani</v>
      </c>
      <c r="L311" s="65" t="str">
        <f t="shared" ca="1" si="24"/>
        <v>Best men took only 6 throws</v>
      </c>
      <c r="M311" s="65" t="s">
        <v>1</v>
      </c>
      <c r="N311" s="65" t="s">
        <v>255</v>
      </c>
      <c r="O311" s="65" t="e">
        <f t="shared" ca="1" si="20"/>
        <v>#VALUE!</v>
      </c>
      <c r="P311" s="65" t="str">
        <f t="shared" ca="1" si="22"/>
        <v/>
      </c>
    </row>
    <row r="312" spans="1:16" s="65" customFormat="1" hidden="1" x14ac:dyDescent="0.25">
      <c r="A312" s="65" t="s">
        <v>383</v>
      </c>
      <c r="B312" s="295" t="str">
        <f>IF(OR(AND(Parameter!$B$4=0,Parameter!$C$5="n"),INDEX(Data!$M$91:$M$190,MATCH("M2",Data!$A$91:$A$190,0))&gt;0,INDEX(Data!$N$91:$N$190,MATCH("M2",Data!$A$91:$A$190,0))&gt;0),"M2","M1")</f>
        <v>M2</v>
      </c>
      <c r="C312" s="65">
        <f>INDEX(Parameter!$9:$9,,MATCH(20,Parameter!$8:$8,0))</f>
        <v>20</v>
      </c>
      <c r="D312" s="65" t="str">
        <f>INDEX(Parameter!$B$10:$AB$10,MATCH(C312,Parameter!$B$9:$AB$9,0))</f>
        <v>no</v>
      </c>
      <c r="E312" s="65">
        <f>COUNTIF(Data!$DY$90:$IB$90,Specials!C312)</f>
        <v>0</v>
      </c>
      <c r="F312" s="65">
        <f ca="1">OFFSET(Data!$CS$91,MATCH("M1",Data!$A$91:$A$190,0)-1,MATCH(C312,Data!$CS$90:$DS$90,0)-1)</f>
        <v>0</v>
      </c>
      <c r="G312" s="65">
        <f ca="1">OFFSET(Data!$CS$91,MATCH($B312,Data!$A$91:$A$190,0)-1,MATCH(C312,Data!$CS$90:$DS$90,0)-1)</f>
        <v>0</v>
      </c>
      <c r="H312" s="65">
        <f t="shared" ca="1" si="23"/>
        <v>0</v>
      </c>
      <c r="I312" s="65">
        <f t="array" ref="I312">SUM(IF(Data!$A$91:$A$190=$B312,Data!$J$91:$M$190))-SUM(IF(Data!$A$91:$A$190="M1",Data!$J$91:$M$190))</f>
        <v>2</v>
      </c>
      <c r="K312" s="65" t="str">
        <f>INDEX(Data!$DT$91:$DT$190,MATCH($B312,Data!$A$91:$A$190,0))</f>
        <v>Dani Hatvani</v>
      </c>
      <c r="L312" s="65" t="str">
        <f t="shared" ca="1" si="24"/>
        <v>Best men took only 0 throws</v>
      </c>
      <c r="M312" s="65" t="s">
        <v>1</v>
      </c>
      <c r="N312" s="65" t="s">
        <v>255</v>
      </c>
      <c r="O312" s="65" t="e">
        <f t="shared" ca="1" si="20"/>
        <v>#VALUE!</v>
      </c>
      <c r="P312" s="65" t="str">
        <f t="shared" ca="1" si="22"/>
        <v/>
      </c>
    </row>
    <row r="313" spans="1:16" s="65" customFormat="1" hidden="1" x14ac:dyDescent="0.25">
      <c r="A313" s="65" t="s">
        <v>383</v>
      </c>
      <c r="B313" s="295" t="str">
        <f>IF(OR(AND(Parameter!$B$4=0,Parameter!$C$5="n"),INDEX(Data!$M$91:$M$190,MATCH("M2",Data!$A$91:$A$190,0))&gt;0,INDEX(Data!$N$91:$N$190,MATCH("M2",Data!$A$91:$A$190,0))&gt;0),"M2","M1")</f>
        <v>M2</v>
      </c>
      <c r="C313" s="65">
        <f>INDEX(Parameter!$9:$9,,MATCH(21,Parameter!$8:$8,0))</f>
        <v>21</v>
      </c>
      <c r="D313" s="65" t="str">
        <f>INDEX(Parameter!$B$10:$AB$10,MATCH(C313,Parameter!$B$9:$AB$9,0))</f>
        <v>no</v>
      </c>
      <c r="E313" s="65">
        <f>COUNTIF(Data!$DY$90:$IB$90,Specials!C313)</f>
        <v>0</v>
      </c>
      <c r="F313" s="65">
        <f ca="1">OFFSET(Data!$CS$91,MATCH("M1",Data!$A$91:$A$190,0)-1,MATCH(C313,Data!$CS$90:$DS$90,0)-1)</f>
        <v>0</v>
      </c>
      <c r="G313" s="65">
        <f ca="1">OFFSET(Data!$CS$91,MATCH($B313,Data!$A$91:$A$190,0)-1,MATCH(C313,Data!$CS$90:$DS$90,0)-1)</f>
        <v>0</v>
      </c>
      <c r="H313" s="65">
        <f t="shared" ca="1" si="23"/>
        <v>0</v>
      </c>
      <c r="I313" s="65">
        <f t="array" ref="I313">SUM(IF(Data!$A$91:$A$190=$B313,Data!$J$91:$M$190))-SUM(IF(Data!$A$91:$A$190="M1",Data!$J$91:$M$190))</f>
        <v>2</v>
      </c>
      <c r="K313" s="65" t="str">
        <f>INDEX(Data!$DT$91:$DT$190,MATCH($B313,Data!$A$91:$A$190,0))</f>
        <v>Dani Hatvani</v>
      </c>
      <c r="L313" s="65" t="str">
        <f t="shared" ca="1" si="24"/>
        <v>Best men took only 0 throws</v>
      </c>
      <c r="M313" s="65" t="s">
        <v>1</v>
      </c>
      <c r="N313" s="65" t="s">
        <v>255</v>
      </c>
      <c r="O313" s="65" t="e">
        <f t="shared" ca="1" si="20"/>
        <v>#VALUE!</v>
      </c>
      <c r="P313" s="65" t="str">
        <f t="shared" ca="1" si="22"/>
        <v/>
      </c>
    </row>
    <row r="314" spans="1:16" s="65" customFormat="1" hidden="1" x14ac:dyDescent="0.25">
      <c r="A314" s="65" t="s">
        <v>383</v>
      </c>
      <c r="B314" s="295" t="str">
        <f>IF(OR(AND(Parameter!$B$4=0,Parameter!$C$5="n"),INDEX(Data!$M$91:$M$190,MATCH("M2",Data!$A$91:$A$190,0))&gt;0,INDEX(Data!$N$91:$N$190,MATCH("M2",Data!$A$91:$A$190,0))&gt;0),"M2","M1")</f>
        <v>M2</v>
      </c>
      <c r="C314" s="65">
        <f>INDEX(Parameter!$9:$9,,MATCH(22,Parameter!$8:$8,0))</f>
        <v>22</v>
      </c>
      <c r="D314" s="65" t="str">
        <f>INDEX(Parameter!$B$10:$AB$10,MATCH(C314,Parameter!$B$9:$AB$9,0))</f>
        <v>no</v>
      </c>
      <c r="E314" s="65">
        <f>COUNTIF(Data!$DY$90:$IB$90,Specials!C314)</f>
        <v>0</v>
      </c>
      <c r="F314" s="65">
        <f ca="1">OFFSET(Data!$CS$91,MATCH("M1",Data!$A$91:$A$190,0)-1,MATCH(C314,Data!$CS$90:$DS$90,0)-1)</f>
        <v>0</v>
      </c>
      <c r="G314" s="65">
        <f ca="1">OFFSET(Data!$CS$91,MATCH($B314,Data!$A$91:$A$190,0)-1,MATCH(C314,Data!$CS$90:$DS$90,0)-1)</f>
        <v>0</v>
      </c>
      <c r="H314" s="65">
        <f t="shared" ca="1" si="23"/>
        <v>0</v>
      </c>
      <c r="I314" s="65">
        <f t="array" ref="I314">SUM(IF(Data!$A$91:$A$190=$B314,Data!$J$91:$M$190))-SUM(IF(Data!$A$91:$A$190="M1",Data!$J$91:$M$190))</f>
        <v>2</v>
      </c>
      <c r="K314" s="65" t="str">
        <f>INDEX(Data!$DT$91:$DT$190,MATCH($B314,Data!$A$91:$A$190,0))</f>
        <v>Dani Hatvani</v>
      </c>
      <c r="L314" s="65" t="str">
        <f t="shared" ca="1" si="24"/>
        <v>Best men took only 0 throws</v>
      </c>
      <c r="M314" s="65" t="s">
        <v>1</v>
      </c>
      <c r="N314" s="65" t="s">
        <v>255</v>
      </c>
      <c r="O314" s="65" t="e">
        <f t="shared" ca="1" si="20"/>
        <v>#VALUE!</v>
      </c>
      <c r="P314" s="65" t="str">
        <f t="shared" ca="1" si="22"/>
        <v/>
      </c>
    </row>
    <row r="315" spans="1:16" s="65" customFormat="1" hidden="1" x14ac:dyDescent="0.25">
      <c r="A315" s="65" t="s">
        <v>383</v>
      </c>
      <c r="B315" s="295" t="str">
        <f>IF(OR(AND(Parameter!$B$4=0,Parameter!$C$5="n"),INDEX(Data!$M$91:$M$190,MATCH("M2",Data!$A$91:$A$190,0))&gt;0,INDEX(Data!$N$91:$N$190,MATCH("M2",Data!$A$91:$A$190,0))&gt;0),"M2","M1")</f>
        <v>M2</v>
      </c>
      <c r="C315" s="65">
        <f>INDEX(Parameter!$9:$9,,MATCH(23,Parameter!$8:$8,0))</f>
        <v>23</v>
      </c>
      <c r="D315" s="65" t="str">
        <f>INDEX(Parameter!$B$10:$AB$10,MATCH(C315,Parameter!$B$9:$AB$9,0))</f>
        <v>no</v>
      </c>
      <c r="E315" s="65">
        <f>COUNTIF(Data!$DY$90:$IB$90,Specials!C315)</f>
        <v>0</v>
      </c>
      <c r="F315" s="65">
        <f ca="1">OFFSET(Data!$CS$91,MATCH("M1",Data!$A$91:$A$190,0)-1,MATCH(C315,Data!$CS$90:$DS$90,0)-1)</f>
        <v>0</v>
      </c>
      <c r="G315" s="65">
        <f ca="1">OFFSET(Data!$CS$91,MATCH($B315,Data!$A$91:$A$190,0)-1,MATCH(C315,Data!$CS$90:$DS$90,0)-1)</f>
        <v>0</v>
      </c>
      <c r="H315" s="65">
        <f t="shared" ca="1" si="23"/>
        <v>0</v>
      </c>
      <c r="I315" s="65">
        <f t="array" ref="I315">SUM(IF(Data!$A$91:$A$190=$B315,Data!$J$91:$M$190))-SUM(IF(Data!$A$91:$A$190="M1",Data!$J$91:$M$190))</f>
        <v>2</v>
      </c>
      <c r="K315" s="65" t="str">
        <f>INDEX(Data!$DT$91:$DT$190,MATCH($B315,Data!$A$91:$A$190,0))</f>
        <v>Dani Hatvani</v>
      </c>
      <c r="L315" s="65" t="str">
        <f t="shared" ca="1" si="24"/>
        <v>Best men took only 0 throws</v>
      </c>
      <c r="M315" s="65" t="s">
        <v>1</v>
      </c>
      <c r="N315" s="65" t="s">
        <v>255</v>
      </c>
      <c r="O315" s="65" t="e">
        <f t="shared" ca="1" si="20"/>
        <v>#VALUE!</v>
      </c>
      <c r="P315" s="65" t="str">
        <f t="shared" ca="1" si="22"/>
        <v/>
      </c>
    </row>
    <row r="316" spans="1:16" s="65" customFormat="1" hidden="1" x14ac:dyDescent="0.25">
      <c r="A316" s="65" t="s">
        <v>383</v>
      </c>
      <c r="B316" s="295" t="str">
        <f>IF(OR(AND(Parameter!$B$4=0,Parameter!$C$5="n"),INDEX(Data!$M$91:$M$190,MATCH("M2",Data!$A$91:$A$190,0))&gt;0,INDEX(Data!$N$91:$N$190,MATCH("M2",Data!$A$91:$A$190,0))&gt;0),"M2","M1")</f>
        <v>M2</v>
      </c>
      <c r="C316" s="65">
        <f>INDEX(Parameter!$9:$9,,MATCH(24,Parameter!$8:$8,0))</f>
        <v>24</v>
      </c>
      <c r="D316" s="65" t="str">
        <f>INDEX(Parameter!$B$10:$AB$10,MATCH(C316,Parameter!$B$9:$AB$9,0))</f>
        <v>no</v>
      </c>
      <c r="E316" s="65">
        <f>COUNTIF(Data!$DY$90:$IB$90,Specials!C316)</f>
        <v>0</v>
      </c>
      <c r="F316" s="65">
        <f ca="1">OFFSET(Data!$CS$91,MATCH("M1",Data!$A$91:$A$190,0)-1,MATCH(C316,Data!$CS$90:$DS$90,0)-1)</f>
        <v>0</v>
      </c>
      <c r="G316" s="65">
        <f ca="1">OFFSET(Data!$CS$91,MATCH($B316,Data!$A$91:$A$190,0)-1,MATCH(C316,Data!$CS$90:$DS$90,0)-1)</f>
        <v>0</v>
      </c>
      <c r="H316" s="65">
        <f t="shared" ca="1" si="23"/>
        <v>0</v>
      </c>
      <c r="I316" s="65">
        <f t="array" ref="I316">SUM(IF(Data!$A$91:$A$190=$B316,Data!$J$91:$M$190))-SUM(IF(Data!$A$91:$A$190="M1",Data!$J$91:$M$190))</f>
        <v>2</v>
      </c>
      <c r="K316" s="65" t="str">
        <f>INDEX(Data!$DT$91:$DT$190,MATCH($B316,Data!$A$91:$A$190,0))</f>
        <v>Dani Hatvani</v>
      </c>
      <c r="L316" s="65" t="str">
        <f t="shared" ca="1" si="24"/>
        <v>Best men took only 0 throws</v>
      </c>
      <c r="M316" s="65" t="s">
        <v>1</v>
      </c>
      <c r="N316" s="65" t="s">
        <v>255</v>
      </c>
      <c r="O316" s="65" t="e">
        <f t="shared" ca="1" si="20"/>
        <v>#VALUE!</v>
      </c>
      <c r="P316" s="65" t="str">
        <f t="shared" ca="1" si="22"/>
        <v/>
      </c>
    </row>
    <row r="317" spans="1:16" s="65" customFormat="1" hidden="1" x14ac:dyDescent="0.25">
      <c r="A317" s="65" t="s">
        <v>383</v>
      </c>
      <c r="B317" s="295" t="str">
        <f>IF(OR(AND(Parameter!$B$4=0,Parameter!$C$5="n"),INDEX(Data!$M$91:$M$190,MATCH("M2",Data!$A$91:$A$190,0))&gt;0,INDEX(Data!$N$91:$N$190,MATCH("M2",Data!$A$91:$A$190,0))&gt;0),"M2","M1")</f>
        <v>M2</v>
      </c>
      <c r="C317" s="65">
        <f>INDEX(Parameter!$9:$9,,MATCH(25,Parameter!$8:$8,0))</f>
        <v>25</v>
      </c>
      <c r="D317" s="65" t="str">
        <f>INDEX(Parameter!$B$10:$AB$10,MATCH(C317,Parameter!$B$9:$AB$9,0))</f>
        <v>no</v>
      </c>
      <c r="E317" s="65">
        <f>COUNTIF(Data!$DY$90:$IB$90,Specials!C317)</f>
        <v>0</v>
      </c>
      <c r="F317" s="65">
        <f ca="1">OFFSET(Data!$CS$91,MATCH("M1",Data!$A$91:$A$190,0)-1,MATCH(C317,Data!$CS$90:$DS$90,0)-1)</f>
        <v>0</v>
      </c>
      <c r="G317" s="65">
        <f ca="1">OFFSET(Data!$CS$91,MATCH($B317,Data!$A$91:$A$190,0)-1,MATCH(C317,Data!$CS$90:$DS$90,0)-1)</f>
        <v>0</v>
      </c>
      <c r="H317" s="65">
        <f t="shared" ca="1" si="23"/>
        <v>0</v>
      </c>
      <c r="I317" s="65">
        <f t="array" ref="I317">SUM(IF(Data!$A$91:$A$190=$B317,Data!$J$91:$M$190))-SUM(IF(Data!$A$91:$A$190="M1",Data!$J$91:$M$190))</f>
        <v>2</v>
      </c>
      <c r="K317" s="65" t="str">
        <f>INDEX(Data!$DT$91:$DT$190,MATCH($B317,Data!$A$91:$A$190,0))</f>
        <v>Dani Hatvani</v>
      </c>
      <c r="L317" s="65" t="str">
        <f t="shared" ca="1" si="24"/>
        <v>Best men took only 0 throws</v>
      </c>
      <c r="M317" s="65" t="s">
        <v>1</v>
      </c>
      <c r="N317" s="65" t="s">
        <v>255</v>
      </c>
      <c r="O317" s="65" t="e">
        <f t="shared" ca="1" si="20"/>
        <v>#VALUE!</v>
      </c>
      <c r="P317" s="65" t="str">
        <f t="shared" ca="1" si="22"/>
        <v/>
      </c>
    </row>
    <row r="318" spans="1:16" s="65" customFormat="1" hidden="1" x14ac:dyDescent="0.25">
      <c r="A318" s="65" t="s">
        <v>383</v>
      </c>
      <c r="B318" s="295" t="str">
        <f>IF(OR(AND(Parameter!$B$4=0,Parameter!$C$5="n"),INDEX(Data!$M$91:$M$190,MATCH("M2",Data!$A$91:$A$190,0))&gt;0,INDEX(Data!$N$91:$N$190,MATCH("M2",Data!$A$91:$A$190,0))&gt;0),"M2","M1")</f>
        <v>M2</v>
      </c>
      <c r="C318" s="65">
        <f>INDEX(Parameter!$9:$9,,MATCH(26,Parameter!$8:$8,0))</f>
        <v>26</v>
      </c>
      <c r="D318" s="65" t="str">
        <f>INDEX(Parameter!$B$10:$AB$10,MATCH(C318,Parameter!$B$9:$AB$9,0))</f>
        <v>no</v>
      </c>
      <c r="E318" s="65">
        <f>COUNTIF(Data!$DY$90:$IB$90,Specials!C318)</f>
        <v>0</v>
      </c>
      <c r="F318" s="65">
        <f ca="1">OFFSET(Data!$CS$91,MATCH("M1",Data!$A$91:$A$190,0)-1,MATCH(C318,Data!$CS$90:$DS$90,0)-1)</f>
        <v>0</v>
      </c>
      <c r="G318" s="65">
        <f ca="1">OFFSET(Data!$CS$91,MATCH($B318,Data!$A$91:$A$190,0)-1,MATCH(C318,Data!$CS$90:$DS$90,0)-1)</f>
        <v>0</v>
      </c>
      <c r="H318" s="65">
        <f t="shared" ca="1" si="23"/>
        <v>0</v>
      </c>
      <c r="I318" s="65">
        <f t="array" ref="I318">SUM(IF(Data!$A$91:$A$190=$B318,Data!$J$91:$M$190))-SUM(IF(Data!$A$91:$A$190="M1",Data!$J$91:$M$190))</f>
        <v>2</v>
      </c>
      <c r="K318" s="65" t="str">
        <f>INDEX(Data!$DT$91:$DT$190,MATCH($B318,Data!$A$91:$A$190,0))</f>
        <v>Dani Hatvani</v>
      </c>
      <c r="L318" s="65" t="str">
        <f t="shared" ca="1" si="24"/>
        <v>Best men took only 0 throws</v>
      </c>
      <c r="M318" s="65" t="s">
        <v>1</v>
      </c>
      <c r="N318" s="65" t="s">
        <v>255</v>
      </c>
      <c r="O318" s="65" t="e">
        <f t="shared" ca="1" si="20"/>
        <v>#VALUE!</v>
      </c>
      <c r="P318" s="65" t="str">
        <f t="shared" ca="1" si="22"/>
        <v/>
      </c>
    </row>
    <row r="319" spans="1:16" s="65" customFormat="1" hidden="1" x14ac:dyDescent="0.25">
      <c r="A319" s="65" t="s">
        <v>383</v>
      </c>
      <c r="B319" s="295" t="str">
        <f>IF(OR(AND(Parameter!$B$4=0,Parameter!$C$5="n"),INDEX(Data!$M$91:$M$190,MATCH("M2",Data!$A$91:$A$190,0))&gt;0,INDEX(Data!$N$91:$N$190,MATCH("M2",Data!$A$91:$A$190,0))&gt;0),"M2","M1")</f>
        <v>M2</v>
      </c>
      <c r="C319" s="65">
        <f>INDEX(Parameter!$9:$9,,MATCH(27,Parameter!$8:$8,0))</f>
        <v>27</v>
      </c>
      <c r="D319" s="65" t="str">
        <f>INDEX(Parameter!$B$10:$AB$10,MATCH(C319,Parameter!$B$9:$AB$9,0))</f>
        <v>no</v>
      </c>
      <c r="E319" s="65">
        <f>COUNTIF(Data!$DY$90:$IB$90,Specials!C319)</f>
        <v>0</v>
      </c>
      <c r="F319" s="65">
        <f ca="1">OFFSET(Data!$CS$91,MATCH("M1",Data!$A$91:$A$190,0)-1,MATCH(C319,Data!$CS$90:$DS$90,0)-1)</f>
        <v>0</v>
      </c>
      <c r="G319" s="65">
        <f ca="1">OFFSET(Data!$CS$91,MATCH($B319,Data!$A$91:$A$190,0)-1,MATCH(C319,Data!$CS$90:$DS$90,0)-1)</f>
        <v>0</v>
      </c>
      <c r="H319" s="65">
        <f t="shared" ca="1" si="23"/>
        <v>0</v>
      </c>
      <c r="I319" s="65">
        <f t="array" ref="I319">SUM(IF(Data!$A$91:$A$190=$B319,Data!$J$91:$M$190))-SUM(IF(Data!$A$91:$A$190="M1",Data!$J$91:$M$190))</f>
        <v>2</v>
      </c>
      <c r="K319" s="65" t="str">
        <f>INDEX(Data!$DT$91:$DT$190,MATCH($B319,Data!$A$91:$A$190,0))</f>
        <v>Dani Hatvani</v>
      </c>
      <c r="L319" s="65" t="str">
        <f t="shared" ca="1" si="24"/>
        <v>Best men took only 0 throws</v>
      </c>
      <c r="M319" s="65" t="s">
        <v>1</v>
      </c>
      <c r="N319" s="65" t="s">
        <v>255</v>
      </c>
      <c r="O319" s="65" t="e">
        <f t="shared" ca="1" si="20"/>
        <v>#VALUE!</v>
      </c>
      <c r="P319" s="65" t="str">
        <f t="shared" ca="1" si="22"/>
        <v/>
      </c>
    </row>
    <row r="320" spans="1:16" s="65" customFormat="1" ht="15" hidden="1" customHeight="1" x14ac:dyDescent="0.25">
      <c r="A320" s="65" t="s">
        <v>383</v>
      </c>
      <c r="B320" s="295" t="str">
        <f>IF(OR(AND(Parameter!$B$4=0,Parameter!$C$5="n"),INDEX(Data!$M$91:$M$190,MATCH("M3",Data!$A$91:$A$190,0))&gt;0,INDEX(Data!$N$91:$N$190,MATCH("M3",Data!$A$91:$A$190,0))&gt;0),"M3","M1")</f>
        <v>M3</v>
      </c>
      <c r="C320" s="65">
        <f>INDEX(Parameter!$9:$9,,MATCH(1,Parameter!$8:$8,0))</f>
        <v>1</v>
      </c>
      <c r="D320" s="65">
        <f>INDEX(Parameter!$B$10:$AB$10,MATCH(C320,Parameter!$B$9:$AB$9,0))</f>
        <v>3</v>
      </c>
      <c r="E320" s="65">
        <f>COUNTIF(Data!$DY$90:$IB$90,Specials!C320)</f>
        <v>2</v>
      </c>
      <c r="F320" s="65">
        <f ca="1">OFFSET(Data!$CS$91,MATCH("M1",Data!$A$91:$A$190,0)-1,MATCH(C320,Data!$CS$90:$DS$90,0)-1)</f>
        <v>5</v>
      </c>
      <c r="G320" s="65">
        <f ca="1">OFFSET(Data!$CS$91,MATCH($B320,Data!$A$91:$A$190,0)-1,MATCH(C320,Data!$CS$90:$DS$90,0)-1)</f>
        <v>5</v>
      </c>
      <c r="H320" s="65">
        <f t="shared" ca="1" si="23"/>
        <v>0</v>
      </c>
      <c r="I320" s="65">
        <f t="array" ref="I320">SUM(IF(Data!$A$91:$A$190=$B320,Data!$J$91:$M$190))-SUM(IF(Data!$A$91:$A$190="M1",Data!$J$91:$M$190))</f>
        <v>7</v>
      </c>
      <c r="K320" s="65" t="str">
        <f>INDEX(Data!$DT$91:$DT$190,MATCH($B320,Data!$A$91:$A$190,0))</f>
        <v>Peter Pichler</v>
      </c>
      <c r="L320" s="65" t="str">
        <f t="shared" ca="1" si="24"/>
        <v>Best men took only 5 throws</v>
      </c>
      <c r="M320" s="65" t="s">
        <v>1</v>
      </c>
      <c r="N320" s="65" t="s">
        <v>255</v>
      </c>
      <c r="O320" s="65" t="e">
        <f t="shared" ca="1" si="20"/>
        <v>#VALUE!</v>
      </c>
      <c r="P320" s="65" t="str">
        <f t="shared" ca="1" si="22"/>
        <v/>
      </c>
    </row>
    <row r="321" spans="1:16" s="65" customFormat="1" hidden="1" x14ac:dyDescent="0.25">
      <c r="A321" s="65" t="s">
        <v>383</v>
      </c>
      <c r="B321" s="295" t="str">
        <f>IF(OR(AND(Parameter!$B$4=0,Parameter!$C$5="n"),INDEX(Data!$M$91:$M$190,MATCH("M3",Data!$A$91:$A$190,0))&gt;0,INDEX(Data!$N$91:$N$190,MATCH("M3",Data!$A$91:$A$190,0))&gt;0),"M3","M1")</f>
        <v>M3</v>
      </c>
      <c r="C321" s="65">
        <f>INDEX(Parameter!$9:$9,,MATCH(2,Parameter!$8:$8,0))</f>
        <v>2</v>
      </c>
      <c r="D321" s="65">
        <f>INDEX(Parameter!$B$10:$AB$10,MATCH(C321,Parameter!$B$9:$AB$9,0))</f>
        <v>3</v>
      </c>
      <c r="E321" s="65">
        <f>COUNTIF(Data!$DY$90:$IB$90,Specials!C321)</f>
        <v>2</v>
      </c>
      <c r="F321" s="65">
        <f ca="1">OFFSET(Data!$CS$91,MATCH("M1",Data!$A$91:$A$190,0)-1,MATCH(C321,Data!$CS$90:$DS$90,0)-1)</f>
        <v>6</v>
      </c>
      <c r="G321" s="65">
        <f ca="1">OFFSET(Data!$CS$91,MATCH($B321,Data!$A$91:$A$190,0)-1,MATCH(C321,Data!$CS$90:$DS$90,0)-1)</f>
        <v>6</v>
      </c>
      <c r="H321" s="65">
        <f t="shared" ca="1" si="23"/>
        <v>0</v>
      </c>
      <c r="I321" s="65">
        <f t="array" ref="I321">SUM(IF(Data!$A$91:$A$190=$B321,Data!$J$91:$M$190))-SUM(IF(Data!$A$91:$A$190="M1",Data!$J$91:$M$190))</f>
        <v>7</v>
      </c>
      <c r="K321" s="65" t="str">
        <f>INDEX(Data!$DT$91:$DT$190,MATCH($B321,Data!$A$91:$A$190,0))</f>
        <v>Peter Pichler</v>
      </c>
      <c r="L321" s="65" t="str">
        <f t="shared" ca="1" si="24"/>
        <v>Best men took only 6 throws</v>
      </c>
      <c r="M321" s="65" t="s">
        <v>1</v>
      </c>
      <c r="N321" s="65" t="s">
        <v>255</v>
      </c>
      <c r="O321" s="65" t="e">
        <f t="shared" ca="1" si="20"/>
        <v>#VALUE!</v>
      </c>
      <c r="P321" s="65" t="str">
        <f t="shared" ca="1" si="22"/>
        <v/>
      </c>
    </row>
    <row r="322" spans="1:16" s="65" customFormat="1" hidden="1" x14ac:dyDescent="0.25">
      <c r="A322" s="65" t="s">
        <v>383</v>
      </c>
      <c r="B322" s="295" t="str">
        <f>IF(OR(AND(Parameter!$B$4=0,Parameter!$C$5="n"),INDEX(Data!$M$91:$M$190,MATCH("M3",Data!$A$91:$A$190,0))&gt;0,INDEX(Data!$N$91:$N$190,MATCH("M3",Data!$A$91:$A$190,0))&gt;0),"M3","M1")</f>
        <v>M3</v>
      </c>
      <c r="C322" s="65">
        <f>INDEX(Parameter!$9:$9,,MATCH(3,Parameter!$8:$8,0))</f>
        <v>3</v>
      </c>
      <c r="D322" s="65">
        <f>INDEX(Parameter!$B$10:$AB$10,MATCH(C322,Parameter!$B$9:$AB$9,0))</f>
        <v>3</v>
      </c>
      <c r="E322" s="65">
        <f>COUNTIF(Data!$DY$90:$IB$90,Specials!C322)</f>
        <v>2</v>
      </c>
      <c r="F322" s="65">
        <f ca="1">OFFSET(Data!$CS$91,MATCH("M1",Data!$A$91:$A$190,0)-1,MATCH(C322,Data!$CS$90:$DS$90,0)-1)</f>
        <v>5</v>
      </c>
      <c r="G322" s="65">
        <f ca="1">OFFSET(Data!$CS$91,MATCH($B322,Data!$A$91:$A$190,0)-1,MATCH(C322,Data!$CS$90:$DS$90,0)-1)</f>
        <v>6</v>
      </c>
      <c r="H322" s="65">
        <f t="shared" ca="1" si="23"/>
        <v>0</v>
      </c>
      <c r="I322" s="65">
        <f t="array" ref="I322">SUM(IF(Data!$A$91:$A$190=$B322,Data!$J$91:$M$190))-SUM(IF(Data!$A$91:$A$190="M1",Data!$J$91:$M$190))</f>
        <v>7</v>
      </c>
      <c r="K322" s="65" t="str">
        <f>INDEX(Data!$DT$91:$DT$190,MATCH($B322,Data!$A$91:$A$190,0))</f>
        <v>Peter Pichler</v>
      </c>
      <c r="L322" s="65" t="str">
        <f t="shared" ca="1" si="24"/>
        <v>Best men took only 5 throws</v>
      </c>
      <c r="M322" s="65" t="s">
        <v>1</v>
      </c>
      <c r="N322" s="65" t="s">
        <v>255</v>
      </c>
      <c r="O322" s="65" t="e">
        <f t="shared" ca="1" si="20"/>
        <v>#VALUE!</v>
      </c>
      <c r="P322" s="65" t="str">
        <f t="shared" ca="1" si="22"/>
        <v/>
      </c>
    </row>
    <row r="323" spans="1:16" s="65" customFormat="1" hidden="1" x14ac:dyDescent="0.25">
      <c r="A323" s="65" t="s">
        <v>383</v>
      </c>
      <c r="B323" s="295" t="str">
        <f>IF(OR(AND(Parameter!$B$4=0,Parameter!$C$5="n"),INDEX(Data!$M$91:$M$190,MATCH("M3",Data!$A$91:$A$190,0))&gt;0,INDEX(Data!$N$91:$N$190,MATCH("M3",Data!$A$91:$A$190,0))&gt;0),"M3","M1")</f>
        <v>M3</v>
      </c>
      <c r="C323" s="65">
        <f>INDEX(Parameter!$9:$9,,MATCH(4,Parameter!$8:$8,0))</f>
        <v>4</v>
      </c>
      <c r="D323" s="65">
        <f>INDEX(Parameter!$B$10:$AB$10,MATCH(C323,Parameter!$B$9:$AB$9,0))</f>
        <v>3</v>
      </c>
      <c r="E323" s="65">
        <f>COUNTIF(Data!$DY$90:$IB$90,Specials!C323)</f>
        <v>2</v>
      </c>
      <c r="F323" s="65">
        <f ca="1">OFFSET(Data!$CS$91,MATCH("M1",Data!$A$91:$A$190,0)-1,MATCH(C323,Data!$CS$90:$DS$90,0)-1)</f>
        <v>6</v>
      </c>
      <c r="G323" s="65">
        <f ca="1">OFFSET(Data!$CS$91,MATCH($B323,Data!$A$91:$A$190,0)-1,MATCH(C323,Data!$CS$90:$DS$90,0)-1)</f>
        <v>6</v>
      </c>
      <c r="H323" s="65">
        <f t="shared" ca="1" si="23"/>
        <v>0</v>
      </c>
      <c r="I323" s="65">
        <f t="array" ref="I323">SUM(IF(Data!$A$91:$A$190=$B323,Data!$J$91:$M$190))-SUM(IF(Data!$A$91:$A$190="M1",Data!$J$91:$M$190))</f>
        <v>7</v>
      </c>
      <c r="K323" s="65" t="str">
        <f>INDEX(Data!$DT$91:$DT$190,MATCH($B323,Data!$A$91:$A$190,0))</f>
        <v>Peter Pichler</v>
      </c>
      <c r="L323" s="65" t="str">
        <f t="shared" ca="1" si="24"/>
        <v>Best men took only 6 throws</v>
      </c>
      <c r="M323" s="65" t="s">
        <v>1</v>
      </c>
      <c r="N323" s="65" t="s">
        <v>255</v>
      </c>
      <c r="O323" s="65" t="e">
        <f t="shared" ca="1" si="20"/>
        <v>#VALUE!</v>
      </c>
      <c r="P323" s="65" t="str">
        <f t="shared" ca="1" si="22"/>
        <v/>
      </c>
    </row>
    <row r="324" spans="1:16" s="65" customFormat="1" hidden="1" x14ac:dyDescent="0.25">
      <c r="A324" s="65" t="s">
        <v>383</v>
      </c>
      <c r="B324" s="295" t="str">
        <f>IF(OR(AND(Parameter!$B$4=0,Parameter!$C$5="n"),INDEX(Data!$M$91:$M$190,MATCH("M3",Data!$A$91:$A$190,0))&gt;0,INDEX(Data!$N$91:$N$190,MATCH("M3",Data!$A$91:$A$190,0))&gt;0),"M3","M1")</f>
        <v>M3</v>
      </c>
      <c r="C324" s="65">
        <f>INDEX(Parameter!$9:$9,,MATCH(5,Parameter!$8:$8,0))</f>
        <v>5</v>
      </c>
      <c r="D324" s="65">
        <f>INDEX(Parameter!$B$10:$AB$10,MATCH(C324,Parameter!$B$9:$AB$9,0))</f>
        <v>4</v>
      </c>
      <c r="E324" s="65">
        <f>COUNTIF(Data!$DY$90:$IB$90,Specials!C324)</f>
        <v>2</v>
      </c>
      <c r="F324" s="65">
        <f ca="1">OFFSET(Data!$CS$91,MATCH("M1",Data!$A$91:$A$190,0)-1,MATCH(C324,Data!$CS$90:$DS$90,0)-1)</f>
        <v>6</v>
      </c>
      <c r="G324" s="65">
        <f ca="1">OFFSET(Data!$CS$91,MATCH($B324,Data!$A$91:$A$190,0)-1,MATCH(C324,Data!$CS$90:$DS$90,0)-1)</f>
        <v>7</v>
      </c>
      <c r="H324" s="65">
        <f t="shared" ca="1" si="23"/>
        <v>0</v>
      </c>
      <c r="I324" s="65">
        <f t="array" ref="I324">SUM(IF(Data!$A$91:$A$190=$B324,Data!$J$91:$M$190))-SUM(IF(Data!$A$91:$A$190="M1",Data!$J$91:$M$190))</f>
        <v>7</v>
      </c>
      <c r="K324" s="65" t="str">
        <f>INDEX(Data!$DT$91:$DT$190,MATCH($B324,Data!$A$91:$A$190,0))</f>
        <v>Peter Pichler</v>
      </c>
      <c r="L324" s="65" t="str">
        <f t="shared" ca="1" si="24"/>
        <v>Best men took only 6 throws</v>
      </c>
      <c r="M324" s="65" t="s">
        <v>1</v>
      </c>
      <c r="N324" s="65" t="s">
        <v>255</v>
      </c>
      <c r="O324" s="65" t="e">
        <f t="shared" ref="O324:O387" ca="1" si="25">IF(AND($P324&lt;&gt;"",$N324="yes"),O323+1,O323)</f>
        <v>#VALUE!</v>
      </c>
      <c r="P324" s="65" t="str">
        <f t="shared" ca="1" si="22"/>
        <v/>
      </c>
    </row>
    <row r="325" spans="1:16" s="65" customFormat="1" hidden="1" x14ac:dyDescent="0.25">
      <c r="A325" s="65" t="s">
        <v>383</v>
      </c>
      <c r="B325" s="295" t="str">
        <f>IF(OR(AND(Parameter!$B$4=0,Parameter!$C$5="n"),INDEX(Data!$M$91:$M$190,MATCH("M3",Data!$A$91:$A$190,0))&gt;0,INDEX(Data!$N$91:$N$190,MATCH("M3",Data!$A$91:$A$190,0))&gt;0),"M3","M1")</f>
        <v>M3</v>
      </c>
      <c r="C325" s="65">
        <f>INDEX(Parameter!$9:$9,,MATCH(6,Parameter!$8:$8,0))</f>
        <v>6</v>
      </c>
      <c r="D325" s="65">
        <f>INDEX(Parameter!$B$10:$AB$10,MATCH(C325,Parameter!$B$9:$AB$9,0))</f>
        <v>3</v>
      </c>
      <c r="E325" s="65">
        <f>COUNTIF(Data!$DY$90:$IB$90,Specials!C325)</f>
        <v>2</v>
      </c>
      <c r="F325" s="65">
        <f ca="1">OFFSET(Data!$CS$91,MATCH("M1",Data!$A$91:$A$190,0)-1,MATCH(C325,Data!$CS$90:$DS$90,0)-1)</f>
        <v>5</v>
      </c>
      <c r="G325" s="65">
        <f ca="1">OFFSET(Data!$CS$91,MATCH($B325,Data!$A$91:$A$190,0)-1,MATCH(C325,Data!$CS$90:$DS$90,0)-1)</f>
        <v>6</v>
      </c>
      <c r="H325" s="65">
        <f t="shared" ca="1" si="23"/>
        <v>0</v>
      </c>
      <c r="I325" s="65">
        <f t="array" ref="I325">SUM(IF(Data!$A$91:$A$190=$B325,Data!$J$91:$M$190))-SUM(IF(Data!$A$91:$A$190="M1",Data!$J$91:$M$190))</f>
        <v>7</v>
      </c>
      <c r="K325" s="65" t="str">
        <f>INDEX(Data!$DT$91:$DT$190,MATCH($B325,Data!$A$91:$A$190,0))</f>
        <v>Peter Pichler</v>
      </c>
      <c r="L325" s="65" t="str">
        <f t="shared" ca="1" si="24"/>
        <v>Best men took only 5 throws</v>
      </c>
      <c r="M325" s="65" t="s">
        <v>1</v>
      </c>
      <c r="N325" s="65" t="s">
        <v>255</v>
      </c>
      <c r="O325" s="65" t="e">
        <f t="shared" ca="1" si="25"/>
        <v>#VALUE!</v>
      </c>
      <c r="P325" s="65" t="str">
        <f t="shared" ref="P325:P356" ca="1" si="26">IF(H325&gt;0,"On hole "&amp;C325&amp;" (par "&amp;D325&amp;") "&amp;K325&amp;" took "&amp;G325&amp;" throws in total ("&amp;$E325&amp;" rounds)","")</f>
        <v/>
      </c>
    </row>
    <row r="326" spans="1:16" s="65" customFormat="1" hidden="1" x14ac:dyDescent="0.25">
      <c r="A326" s="65" t="s">
        <v>383</v>
      </c>
      <c r="B326" s="295" t="str">
        <f>IF(OR(AND(Parameter!$B$4=0,Parameter!$C$5="n"),INDEX(Data!$M$91:$M$190,MATCH("M3",Data!$A$91:$A$190,0))&gt;0,INDEX(Data!$N$91:$N$190,MATCH("M3",Data!$A$91:$A$190,0))&gt;0),"M3","M1")</f>
        <v>M3</v>
      </c>
      <c r="C326" s="65">
        <f>INDEX(Parameter!$9:$9,,MATCH(7,Parameter!$8:$8,0))</f>
        <v>7</v>
      </c>
      <c r="D326" s="65">
        <f>INDEX(Parameter!$B$10:$AB$10,MATCH(C326,Parameter!$B$9:$AB$9,0))</f>
        <v>3</v>
      </c>
      <c r="E326" s="65">
        <f>COUNTIF(Data!$DY$90:$IB$90,Specials!C326)</f>
        <v>2</v>
      </c>
      <c r="F326" s="65">
        <f ca="1">OFFSET(Data!$CS$91,MATCH("M1",Data!$A$91:$A$190,0)-1,MATCH(C326,Data!$CS$90:$DS$90,0)-1)</f>
        <v>6</v>
      </c>
      <c r="G326" s="65">
        <f ca="1">OFFSET(Data!$CS$91,MATCH($B326,Data!$A$91:$A$190,0)-1,MATCH(C326,Data!$CS$90:$DS$90,0)-1)</f>
        <v>6</v>
      </c>
      <c r="H326" s="65">
        <f t="shared" ca="1" si="23"/>
        <v>0</v>
      </c>
      <c r="I326" s="65">
        <f t="array" ref="I326">SUM(IF(Data!$A$91:$A$190=$B326,Data!$J$91:$M$190))-SUM(IF(Data!$A$91:$A$190="M1",Data!$J$91:$M$190))</f>
        <v>7</v>
      </c>
      <c r="K326" s="65" t="str">
        <f>INDEX(Data!$DT$91:$DT$190,MATCH($B326,Data!$A$91:$A$190,0))</f>
        <v>Peter Pichler</v>
      </c>
      <c r="L326" s="65" t="str">
        <f t="shared" ca="1" si="24"/>
        <v>Best men took only 6 throws</v>
      </c>
      <c r="M326" s="65" t="s">
        <v>1</v>
      </c>
      <c r="N326" s="65" t="s">
        <v>255</v>
      </c>
      <c r="O326" s="65" t="e">
        <f t="shared" ca="1" si="25"/>
        <v>#VALUE!</v>
      </c>
      <c r="P326" s="65" t="str">
        <f t="shared" ca="1" si="26"/>
        <v/>
      </c>
    </row>
    <row r="327" spans="1:16" s="65" customFormat="1" hidden="1" x14ac:dyDescent="0.25">
      <c r="A327" s="65" t="s">
        <v>383</v>
      </c>
      <c r="B327" s="295" t="str">
        <f>IF(OR(AND(Parameter!$B$4=0,Parameter!$C$5="n"),INDEX(Data!$M$91:$M$190,MATCH("M3",Data!$A$91:$A$190,0))&gt;0,INDEX(Data!$N$91:$N$190,MATCH("M3",Data!$A$91:$A$190,0))&gt;0),"M3","M1")</f>
        <v>M3</v>
      </c>
      <c r="C327" s="65">
        <f>INDEX(Parameter!$9:$9,,MATCH(8,Parameter!$8:$8,0))</f>
        <v>8</v>
      </c>
      <c r="D327" s="65">
        <f>INDEX(Parameter!$B$10:$AB$10,MATCH(C327,Parameter!$B$9:$AB$9,0))</f>
        <v>3</v>
      </c>
      <c r="E327" s="65">
        <f>COUNTIF(Data!$DY$90:$IB$90,Specials!C327)</f>
        <v>2</v>
      </c>
      <c r="F327" s="65">
        <f ca="1">OFFSET(Data!$CS$91,MATCH("M1",Data!$A$91:$A$190,0)-1,MATCH(C327,Data!$CS$90:$DS$90,0)-1)</f>
        <v>5</v>
      </c>
      <c r="G327" s="65">
        <f ca="1">OFFSET(Data!$CS$91,MATCH($B327,Data!$A$91:$A$190,0)-1,MATCH(C327,Data!$CS$90:$DS$90,0)-1)</f>
        <v>6</v>
      </c>
      <c r="H327" s="65">
        <f t="shared" ca="1" si="23"/>
        <v>0</v>
      </c>
      <c r="I327" s="65">
        <f t="array" ref="I327">SUM(IF(Data!$A$91:$A$190=$B327,Data!$J$91:$M$190))-SUM(IF(Data!$A$91:$A$190="M1",Data!$J$91:$M$190))</f>
        <v>7</v>
      </c>
      <c r="K327" s="65" t="str">
        <f>INDEX(Data!$DT$91:$DT$190,MATCH($B327,Data!$A$91:$A$190,0))</f>
        <v>Peter Pichler</v>
      </c>
      <c r="L327" s="65" t="str">
        <f t="shared" ca="1" si="24"/>
        <v>Best men took only 5 throws</v>
      </c>
      <c r="M327" s="65" t="s">
        <v>1</v>
      </c>
      <c r="N327" s="65" t="s">
        <v>255</v>
      </c>
      <c r="O327" s="65" t="e">
        <f t="shared" ca="1" si="25"/>
        <v>#VALUE!</v>
      </c>
      <c r="P327" s="65" t="str">
        <f t="shared" ca="1" si="26"/>
        <v/>
      </c>
    </row>
    <row r="328" spans="1:16" s="65" customFormat="1" hidden="1" x14ac:dyDescent="0.25">
      <c r="A328" s="65" t="s">
        <v>383</v>
      </c>
      <c r="B328" s="295" t="str">
        <f>IF(OR(AND(Parameter!$B$4=0,Parameter!$C$5="n"),INDEX(Data!$M$91:$M$190,MATCH("M3",Data!$A$91:$A$190,0))&gt;0,INDEX(Data!$N$91:$N$190,MATCH("M3",Data!$A$91:$A$190,0))&gt;0),"M3","M1")</f>
        <v>M3</v>
      </c>
      <c r="C328" s="65">
        <f>INDEX(Parameter!$9:$9,,MATCH(9,Parameter!$8:$8,0))</f>
        <v>9</v>
      </c>
      <c r="D328" s="65">
        <f>INDEX(Parameter!$B$10:$AB$10,MATCH(C328,Parameter!$B$9:$AB$9,0))</f>
        <v>4</v>
      </c>
      <c r="E328" s="65">
        <f>COUNTIF(Data!$DY$90:$IB$90,Specials!C328)</f>
        <v>2</v>
      </c>
      <c r="F328" s="65">
        <f ca="1">OFFSET(Data!$CS$91,MATCH("M1",Data!$A$91:$A$190,0)-1,MATCH(C328,Data!$CS$90:$DS$90,0)-1)</f>
        <v>8</v>
      </c>
      <c r="G328" s="65">
        <f ca="1">OFFSET(Data!$CS$91,MATCH($B328,Data!$A$91:$A$190,0)-1,MATCH(C328,Data!$CS$90:$DS$90,0)-1)</f>
        <v>8</v>
      </c>
      <c r="H328" s="65">
        <f t="shared" ca="1" si="23"/>
        <v>0</v>
      </c>
      <c r="I328" s="65">
        <f t="array" ref="I328">SUM(IF(Data!$A$91:$A$190=$B328,Data!$J$91:$M$190))-SUM(IF(Data!$A$91:$A$190="M1",Data!$J$91:$M$190))</f>
        <v>7</v>
      </c>
      <c r="K328" s="65" t="str">
        <f>INDEX(Data!$DT$91:$DT$190,MATCH($B328,Data!$A$91:$A$190,0))</f>
        <v>Peter Pichler</v>
      </c>
      <c r="L328" s="65" t="str">
        <f t="shared" ca="1" si="24"/>
        <v>Best men took only 8 throws</v>
      </c>
      <c r="M328" s="65" t="s">
        <v>1</v>
      </c>
      <c r="N328" s="65" t="s">
        <v>255</v>
      </c>
      <c r="O328" s="65" t="e">
        <f t="shared" ca="1" si="25"/>
        <v>#VALUE!</v>
      </c>
      <c r="P328" s="65" t="str">
        <f t="shared" ca="1" si="26"/>
        <v/>
      </c>
    </row>
    <row r="329" spans="1:16" s="65" customFormat="1" hidden="1" x14ac:dyDescent="0.25">
      <c r="A329" s="65" t="s">
        <v>383</v>
      </c>
      <c r="B329" s="295" t="str">
        <f>IF(OR(AND(Parameter!$B$4=0,Parameter!$C$5="n"),INDEX(Data!$M$91:$M$190,MATCH("M3",Data!$A$91:$A$190,0))&gt;0,INDEX(Data!$N$91:$N$190,MATCH("M3",Data!$A$91:$A$190,0))&gt;0),"M3","M1")</f>
        <v>M3</v>
      </c>
      <c r="C329" s="65">
        <f>INDEX(Parameter!$9:$9,,MATCH(10,Parameter!$8:$8,0))</f>
        <v>10</v>
      </c>
      <c r="D329" s="65">
        <f>INDEX(Parameter!$B$10:$AB$10,MATCH(C329,Parameter!$B$9:$AB$9,0))</f>
        <v>4</v>
      </c>
      <c r="E329" s="65">
        <f>COUNTIF(Data!$DY$90:$IB$90,Specials!C329)</f>
        <v>2</v>
      </c>
      <c r="F329" s="65">
        <f ca="1">OFFSET(Data!$CS$91,MATCH("M1",Data!$A$91:$A$190,0)-1,MATCH(C329,Data!$CS$90:$DS$90,0)-1)</f>
        <v>7</v>
      </c>
      <c r="G329" s="65">
        <f ca="1">OFFSET(Data!$CS$91,MATCH($B329,Data!$A$91:$A$190,0)-1,MATCH(C329,Data!$CS$90:$DS$90,0)-1)</f>
        <v>9</v>
      </c>
      <c r="H329" s="65">
        <f t="shared" ca="1" si="23"/>
        <v>0</v>
      </c>
      <c r="I329" s="65">
        <f t="array" ref="I329">SUM(IF(Data!$A$91:$A$190=$B329,Data!$J$91:$M$190))-SUM(IF(Data!$A$91:$A$190="M1",Data!$J$91:$M$190))</f>
        <v>7</v>
      </c>
      <c r="K329" s="65" t="str">
        <f>INDEX(Data!$DT$91:$DT$190,MATCH($B329,Data!$A$91:$A$190,0))</f>
        <v>Peter Pichler</v>
      </c>
      <c r="L329" s="65" t="str">
        <f t="shared" ca="1" si="24"/>
        <v>Best men took only 7 throws</v>
      </c>
      <c r="M329" s="65" t="s">
        <v>1</v>
      </c>
      <c r="N329" s="65" t="s">
        <v>255</v>
      </c>
      <c r="O329" s="65" t="e">
        <f t="shared" ca="1" si="25"/>
        <v>#VALUE!</v>
      </c>
      <c r="P329" s="65" t="str">
        <f t="shared" ca="1" si="26"/>
        <v/>
      </c>
    </row>
    <row r="330" spans="1:16" s="65" customFormat="1" hidden="1" x14ac:dyDescent="0.25">
      <c r="A330" s="65" t="s">
        <v>383</v>
      </c>
      <c r="B330" s="295" t="str">
        <f>IF(OR(AND(Parameter!$B$4=0,Parameter!$C$5="n"),INDEX(Data!$M$91:$M$190,MATCH("M3",Data!$A$91:$A$190,0))&gt;0,INDEX(Data!$N$91:$N$190,MATCH("M3",Data!$A$91:$A$190,0))&gt;0),"M3","M1")</f>
        <v>M3</v>
      </c>
      <c r="C330" s="65">
        <f>INDEX(Parameter!$9:$9,,MATCH(11,Parameter!$8:$8,0))</f>
        <v>11</v>
      </c>
      <c r="D330" s="65">
        <f>INDEX(Parameter!$B$10:$AB$10,MATCH(C330,Parameter!$B$9:$AB$9,0))</f>
        <v>4</v>
      </c>
      <c r="E330" s="65">
        <f>COUNTIF(Data!$DY$90:$IB$90,Specials!C330)</f>
        <v>2</v>
      </c>
      <c r="F330" s="65">
        <f ca="1">OFFSET(Data!$CS$91,MATCH("M1",Data!$A$91:$A$190,0)-1,MATCH(C330,Data!$CS$90:$DS$90,0)-1)</f>
        <v>9</v>
      </c>
      <c r="G330" s="65">
        <f ca="1">OFFSET(Data!$CS$91,MATCH($B330,Data!$A$91:$A$190,0)-1,MATCH(C330,Data!$CS$90:$DS$90,0)-1)</f>
        <v>8</v>
      </c>
      <c r="H330" s="65">
        <f t="shared" ca="1" si="23"/>
        <v>0</v>
      </c>
      <c r="I330" s="65">
        <f t="array" ref="I330">SUM(IF(Data!$A$91:$A$190=$B330,Data!$J$91:$M$190))-SUM(IF(Data!$A$91:$A$190="M1",Data!$J$91:$M$190))</f>
        <v>7</v>
      </c>
      <c r="K330" s="65" t="str">
        <f>INDEX(Data!$DT$91:$DT$190,MATCH($B330,Data!$A$91:$A$190,0))</f>
        <v>Peter Pichler</v>
      </c>
      <c r="L330" s="65" t="str">
        <f t="shared" ca="1" si="24"/>
        <v>Best men took only 9 throws</v>
      </c>
      <c r="M330" s="65" t="s">
        <v>1</v>
      </c>
      <c r="N330" s="65" t="s">
        <v>255</v>
      </c>
      <c r="O330" s="65" t="e">
        <f t="shared" ca="1" si="25"/>
        <v>#VALUE!</v>
      </c>
      <c r="P330" s="65" t="str">
        <f t="shared" ca="1" si="26"/>
        <v/>
      </c>
    </row>
    <row r="331" spans="1:16" s="65" customFormat="1" hidden="1" x14ac:dyDescent="0.25">
      <c r="A331" s="65" t="s">
        <v>383</v>
      </c>
      <c r="B331" s="295" t="str">
        <f>IF(OR(AND(Parameter!$B$4=0,Parameter!$C$5="n"),INDEX(Data!$M$91:$M$190,MATCH("M3",Data!$A$91:$A$190,0))&gt;0,INDEX(Data!$N$91:$N$190,MATCH("M3",Data!$A$91:$A$190,0))&gt;0),"M3","M1")</f>
        <v>M3</v>
      </c>
      <c r="C331" s="65" t="str">
        <f>INDEX(Parameter!$9:$9,,MATCH(12,Parameter!$8:$8,0))</f>
        <v>11b</v>
      </c>
      <c r="D331" s="65">
        <f>INDEX(Parameter!$B$10:$AB$10,MATCH(C331,Parameter!$B$9:$AB$9,0))</f>
        <v>3</v>
      </c>
      <c r="E331" s="65">
        <f>COUNTIF(Data!$DY$90:$IB$90,Specials!C331)</f>
        <v>2</v>
      </c>
      <c r="F331" s="65">
        <f ca="1">OFFSET(Data!$CS$91,MATCH("M1",Data!$A$91:$A$190,0)-1,MATCH(C331,Data!$CS$90:$DS$90,0)-1)</f>
        <v>5</v>
      </c>
      <c r="G331" s="65">
        <f ca="1">OFFSET(Data!$CS$91,MATCH($B331,Data!$A$91:$A$190,0)-1,MATCH(C331,Data!$CS$90:$DS$90,0)-1)</f>
        <v>8</v>
      </c>
      <c r="H331" s="65">
        <f t="shared" ca="1" si="23"/>
        <v>0</v>
      </c>
      <c r="I331" s="65">
        <f t="array" ref="I331">SUM(IF(Data!$A$91:$A$190=$B331,Data!$J$91:$M$190))-SUM(IF(Data!$A$91:$A$190="M1",Data!$J$91:$M$190))</f>
        <v>7</v>
      </c>
      <c r="K331" s="65" t="str">
        <f>INDEX(Data!$DT$91:$DT$190,MATCH($B331,Data!$A$91:$A$190,0))</f>
        <v>Peter Pichler</v>
      </c>
      <c r="L331" s="65" t="str">
        <f t="shared" ca="1" si="24"/>
        <v>Best men took only 5 throws</v>
      </c>
      <c r="M331" s="65" t="s">
        <v>1</v>
      </c>
      <c r="N331" s="65" t="s">
        <v>255</v>
      </c>
      <c r="O331" s="65" t="e">
        <f t="shared" ca="1" si="25"/>
        <v>#VALUE!</v>
      </c>
      <c r="P331" s="65" t="str">
        <f t="shared" ca="1" si="26"/>
        <v/>
      </c>
    </row>
    <row r="332" spans="1:16" s="65" customFormat="1" hidden="1" x14ac:dyDescent="0.25">
      <c r="A332" s="65" t="s">
        <v>383</v>
      </c>
      <c r="B332" s="295" t="str">
        <f>IF(OR(AND(Parameter!$B$4=0,Parameter!$C$5="n"),INDEX(Data!$M$91:$M$190,MATCH("M3",Data!$A$91:$A$190,0))&gt;0,INDEX(Data!$N$91:$N$190,MATCH("M3",Data!$A$91:$A$190,0))&gt;0),"M3","M1")</f>
        <v>M3</v>
      </c>
      <c r="C332" s="65">
        <f>INDEX(Parameter!$9:$9,,MATCH(13,Parameter!$8:$8,0))</f>
        <v>12</v>
      </c>
      <c r="D332" s="65">
        <f>INDEX(Parameter!$B$10:$AB$10,MATCH(C332,Parameter!$B$9:$AB$9,0))</f>
        <v>3</v>
      </c>
      <c r="E332" s="65">
        <f>COUNTIF(Data!$DY$90:$IB$90,Specials!C332)</f>
        <v>2</v>
      </c>
      <c r="F332" s="65">
        <f ca="1">OFFSET(Data!$CS$91,MATCH("M1",Data!$A$91:$A$190,0)-1,MATCH(C332,Data!$CS$90:$DS$90,0)-1)</f>
        <v>5</v>
      </c>
      <c r="G332" s="65">
        <f ca="1">OFFSET(Data!$CS$91,MATCH($B332,Data!$A$91:$A$190,0)-1,MATCH(C332,Data!$CS$90:$DS$90,0)-1)</f>
        <v>6</v>
      </c>
      <c r="H332" s="65">
        <f t="shared" ca="1" si="23"/>
        <v>0</v>
      </c>
      <c r="I332" s="65">
        <f t="array" ref="I332">SUM(IF(Data!$A$91:$A$190=$B332,Data!$J$91:$M$190))-SUM(IF(Data!$A$91:$A$190="M1",Data!$J$91:$M$190))</f>
        <v>7</v>
      </c>
      <c r="K332" s="65" t="str">
        <f>INDEX(Data!$DT$91:$DT$190,MATCH($B332,Data!$A$91:$A$190,0))</f>
        <v>Peter Pichler</v>
      </c>
      <c r="L332" s="65" t="str">
        <f t="shared" ca="1" si="24"/>
        <v>Best men took only 5 throws</v>
      </c>
      <c r="M332" s="65" t="s">
        <v>1</v>
      </c>
      <c r="N332" s="65" t="s">
        <v>255</v>
      </c>
      <c r="O332" s="65" t="e">
        <f t="shared" ca="1" si="25"/>
        <v>#VALUE!</v>
      </c>
      <c r="P332" s="65" t="str">
        <f t="shared" ca="1" si="26"/>
        <v/>
      </c>
    </row>
    <row r="333" spans="1:16" s="65" customFormat="1" hidden="1" x14ac:dyDescent="0.25">
      <c r="A333" s="65" t="s">
        <v>383</v>
      </c>
      <c r="B333" s="295" t="str">
        <f>IF(OR(AND(Parameter!$B$4=0,Parameter!$C$5="n"),INDEX(Data!$M$91:$M$190,MATCH("M3",Data!$A$91:$A$190,0))&gt;0,INDEX(Data!$N$91:$N$190,MATCH("M3",Data!$A$91:$A$190,0))&gt;0),"M3","M1")</f>
        <v>M3</v>
      </c>
      <c r="C333" s="65">
        <f>INDEX(Parameter!$9:$9,,MATCH(14,Parameter!$8:$8,0))</f>
        <v>13</v>
      </c>
      <c r="D333" s="65">
        <f>INDEX(Parameter!$B$10:$AB$10,MATCH(C333,Parameter!$B$9:$AB$9,0))</f>
        <v>3</v>
      </c>
      <c r="E333" s="65">
        <f>COUNTIF(Data!$DY$90:$IB$90,Specials!C333)</f>
        <v>2</v>
      </c>
      <c r="F333" s="65">
        <f ca="1">OFFSET(Data!$CS$91,MATCH("M1",Data!$A$91:$A$190,0)-1,MATCH(C333,Data!$CS$90:$DS$90,0)-1)</f>
        <v>6</v>
      </c>
      <c r="G333" s="65">
        <f ca="1">OFFSET(Data!$CS$91,MATCH($B333,Data!$A$91:$A$190,0)-1,MATCH(C333,Data!$CS$90:$DS$90,0)-1)</f>
        <v>6</v>
      </c>
      <c r="H333" s="65">
        <f t="shared" ca="1" si="23"/>
        <v>0</v>
      </c>
      <c r="I333" s="65">
        <f t="array" ref="I333">SUM(IF(Data!$A$91:$A$190=$B333,Data!$J$91:$M$190))-SUM(IF(Data!$A$91:$A$190="M1",Data!$J$91:$M$190))</f>
        <v>7</v>
      </c>
      <c r="K333" s="65" t="str">
        <f>INDEX(Data!$DT$91:$DT$190,MATCH($B333,Data!$A$91:$A$190,0))</f>
        <v>Peter Pichler</v>
      </c>
      <c r="L333" s="65" t="str">
        <f t="shared" ca="1" si="24"/>
        <v>Best men took only 6 throws</v>
      </c>
      <c r="M333" s="65" t="s">
        <v>1</v>
      </c>
      <c r="N333" s="65" t="s">
        <v>255</v>
      </c>
      <c r="O333" s="65" t="e">
        <f t="shared" ca="1" si="25"/>
        <v>#VALUE!</v>
      </c>
      <c r="P333" s="65" t="str">
        <f t="shared" ca="1" si="26"/>
        <v/>
      </c>
    </row>
    <row r="334" spans="1:16" s="65" customFormat="1" hidden="1" x14ac:dyDescent="0.25">
      <c r="A334" s="65" t="s">
        <v>383</v>
      </c>
      <c r="B334" s="295" t="str">
        <f>IF(OR(AND(Parameter!$B$4=0,Parameter!$C$5="n"),INDEX(Data!$M$91:$M$190,MATCH("M3",Data!$A$91:$A$190,0))&gt;0,INDEX(Data!$N$91:$N$190,MATCH("M3",Data!$A$91:$A$190,0))&gt;0),"M3","M1")</f>
        <v>M3</v>
      </c>
      <c r="C334" s="65">
        <f>INDEX(Parameter!$9:$9,,MATCH(15,Parameter!$8:$8,0))</f>
        <v>14</v>
      </c>
      <c r="D334" s="65">
        <f>INDEX(Parameter!$B$10:$AB$10,MATCH(C334,Parameter!$B$9:$AB$9,0))</f>
        <v>3</v>
      </c>
      <c r="E334" s="65">
        <f>COUNTIF(Data!$DY$90:$IB$90,Specials!C334)</f>
        <v>2</v>
      </c>
      <c r="F334" s="65">
        <f ca="1">OFFSET(Data!$CS$91,MATCH("M1",Data!$A$91:$A$190,0)-1,MATCH(C334,Data!$CS$90:$DS$90,0)-1)</f>
        <v>7</v>
      </c>
      <c r="G334" s="65">
        <f ca="1">OFFSET(Data!$CS$91,MATCH($B334,Data!$A$91:$A$190,0)-1,MATCH(C334,Data!$CS$90:$DS$90,0)-1)</f>
        <v>6</v>
      </c>
      <c r="H334" s="65">
        <f t="shared" ca="1" si="23"/>
        <v>0</v>
      </c>
      <c r="I334" s="65">
        <f t="array" ref="I334">SUM(IF(Data!$A$91:$A$190=$B334,Data!$J$91:$M$190))-SUM(IF(Data!$A$91:$A$190="M1",Data!$J$91:$M$190))</f>
        <v>7</v>
      </c>
      <c r="K334" s="65" t="str">
        <f>INDEX(Data!$DT$91:$DT$190,MATCH($B334,Data!$A$91:$A$190,0))</f>
        <v>Peter Pichler</v>
      </c>
      <c r="L334" s="65" t="str">
        <f t="shared" ca="1" si="24"/>
        <v>Best men took only 7 throws</v>
      </c>
      <c r="M334" s="65" t="s">
        <v>1</v>
      </c>
      <c r="N334" s="65" t="s">
        <v>255</v>
      </c>
      <c r="O334" s="65" t="e">
        <f t="shared" ca="1" si="25"/>
        <v>#VALUE!</v>
      </c>
      <c r="P334" s="65" t="str">
        <f t="shared" ca="1" si="26"/>
        <v/>
      </c>
    </row>
    <row r="335" spans="1:16" s="65" customFormat="1" hidden="1" x14ac:dyDescent="0.25">
      <c r="A335" s="65" t="s">
        <v>383</v>
      </c>
      <c r="B335" s="295" t="str">
        <f>IF(OR(AND(Parameter!$B$4=0,Parameter!$C$5="n"),INDEX(Data!$M$91:$M$190,MATCH("M3",Data!$A$91:$A$190,0))&gt;0,INDEX(Data!$N$91:$N$190,MATCH("M3",Data!$A$91:$A$190,0))&gt;0),"M3","M1")</f>
        <v>M3</v>
      </c>
      <c r="C335" s="65">
        <f>INDEX(Parameter!$9:$9,,MATCH(16,Parameter!$8:$8,0))</f>
        <v>15</v>
      </c>
      <c r="D335" s="65">
        <f>INDEX(Parameter!$B$10:$AB$10,MATCH(C335,Parameter!$B$9:$AB$9,0))</f>
        <v>3</v>
      </c>
      <c r="E335" s="65">
        <f>COUNTIF(Data!$DY$90:$IB$90,Specials!C335)</f>
        <v>2</v>
      </c>
      <c r="F335" s="65">
        <f ca="1">OFFSET(Data!$CS$91,MATCH("M1",Data!$A$91:$A$190,0)-1,MATCH(C335,Data!$CS$90:$DS$90,0)-1)</f>
        <v>6</v>
      </c>
      <c r="G335" s="65">
        <f ca="1">OFFSET(Data!$CS$91,MATCH($B335,Data!$A$91:$A$190,0)-1,MATCH(C335,Data!$CS$90:$DS$90,0)-1)</f>
        <v>4</v>
      </c>
      <c r="H335" s="65">
        <f t="shared" ca="1" si="23"/>
        <v>0</v>
      </c>
      <c r="I335" s="65">
        <f t="array" ref="I335">SUM(IF(Data!$A$91:$A$190=$B335,Data!$J$91:$M$190))-SUM(IF(Data!$A$91:$A$190="M1",Data!$J$91:$M$190))</f>
        <v>7</v>
      </c>
      <c r="K335" s="65" t="str">
        <f>INDEX(Data!$DT$91:$DT$190,MATCH($B335,Data!$A$91:$A$190,0))</f>
        <v>Peter Pichler</v>
      </c>
      <c r="L335" s="65" t="str">
        <f t="shared" ca="1" si="24"/>
        <v>Best men took only 6 throws</v>
      </c>
      <c r="M335" s="65" t="s">
        <v>1</v>
      </c>
      <c r="N335" s="65" t="s">
        <v>255</v>
      </c>
      <c r="O335" s="65" t="e">
        <f t="shared" ca="1" si="25"/>
        <v>#VALUE!</v>
      </c>
      <c r="P335" s="65" t="str">
        <f t="shared" ca="1" si="26"/>
        <v/>
      </c>
    </row>
    <row r="336" spans="1:16" s="65" customFormat="1" hidden="1" x14ac:dyDescent="0.25">
      <c r="A336" s="65" t="s">
        <v>383</v>
      </c>
      <c r="B336" s="295" t="str">
        <f>IF(OR(AND(Parameter!$B$4=0,Parameter!$C$5="n"),INDEX(Data!$M$91:$M$190,MATCH("M3",Data!$A$91:$A$190,0))&gt;0,INDEX(Data!$N$91:$N$190,MATCH("M3",Data!$A$91:$A$190,0))&gt;0),"M3","M1")</f>
        <v>M3</v>
      </c>
      <c r="C336" s="65">
        <f>INDEX(Parameter!$9:$9,,MATCH(17,Parameter!$8:$8,0))</f>
        <v>16</v>
      </c>
      <c r="D336" s="65">
        <f>INDEX(Parameter!$B$10:$AB$10,MATCH(C336,Parameter!$B$9:$AB$9,0))</f>
        <v>3</v>
      </c>
      <c r="E336" s="65">
        <f>COUNTIF(Data!$DY$90:$IB$90,Specials!C336)</f>
        <v>2</v>
      </c>
      <c r="F336" s="65">
        <f ca="1">OFFSET(Data!$CS$91,MATCH("M1",Data!$A$91:$A$190,0)-1,MATCH(C336,Data!$CS$90:$DS$90,0)-1)</f>
        <v>4</v>
      </c>
      <c r="G336" s="65">
        <f ca="1">OFFSET(Data!$CS$91,MATCH($B336,Data!$A$91:$A$190,0)-1,MATCH(C336,Data!$CS$90:$DS$90,0)-1)</f>
        <v>6</v>
      </c>
      <c r="H336" s="65">
        <f t="shared" ca="1" si="23"/>
        <v>0</v>
      </c>
      <c r="I336" s="65">
        <f t="array" ref="I336">SUM(IF(Data!$A$91:$A$190=$B336,Data!$J$91:$M$190))-SUM(IF(Data!$A$91:$A$190="M1",Data!$J$91:$M$190))</f>
        <v>7</v>
      </c>
      <c r="K336" s="65" t="str">
        <f>INDEX(Data!$DT$91:$DT$190,MATCH($B336,Data!$A$91:$A$190,0))</f>
        <v>Peter Pichler</v>
      </c>
      <c r="L336" s="65" t="str">
        <f t="shared" ca="1" si="24"/>
        <v>Best men took only 4 throws</v>
      </c>
      <c r="M336" s="65" t="s">
        <v>1</v>
      </c>
      <c r="N336" s="65" t="s">
        <v>255</v>
      </c>
      <c r="O336" s="65" t="e">
        <f t="shared" ca="1" si="25"/>
        <v>#VALUE!</v>
      </c>
      <c r="P336" s="65" t="str">
        <f t="shared" ca="1" si="26"/>
        <v/>
      </c>
    </row>
    <row r="337" spans="1:16" s="65" customFormat="1" hidden="1" x14ac:dyDescent="0.25">
      <c r="A337" s="65" t="s">
        <v>383</v>
      </c>
      <c r="B337" s="295" t="str">
        <f>IF(OR(AND(Parameter!$B$4=0,Parameter!$C$5="n"),INDEX(Data!$M$91:$M$190,MATCH("M3",Data!$A$91:$A$190,0))&gt;0,INDEX(Data!$N$91:$N$190,MATCH("M3",Data!$A$91:$A$190,0))&gt;0),"M3","M1")</f>
        <v>M3</v>
      </c>
      <c r="C337" s="65">
        <f>INDEX(Parameter!$9:$9,,MATCH(18,Parameter!$8:$8,0))</f>
        <v>17</v>
      </c>
      <c r="D337" s="65">
        <f>INDEX(Parameter!$B$10:$AB$10,MATCH(C337,Parameter!$B$9:$AB$9,0))</f>
        <v>3</v>
      </c>
      <c r="E337" s="65">
        <f>COUNTIF(Data!$DY$90:$IB$90,Specials!C337)</f>
        <v>2</v>
      </c>
      <c r="F337" s="65">
        <f ca="1">OFFSET(Data!$CS$91,MATCH("M1",Data!$A$91:$A$190,0)-1,MATCH(C337,Data!$CS$90:$DS$90,0)-1)</f>
        <v>5</v>
      </c>
      <c r="G337" s="65">
        <f ca="1">OFFSET(Data!$CS$91,MATCH($B337,Data!$A$91:$A$190,0)-1,MATCH(C337,Data!$CS$90:$DS$90,0)-1)</f>
        <v>4</v>
      </c>
      <c r="H337" s="65">
        <f t="shared" ca="1" si="23"/>
        <v>0</v>
      </c>
      <c r="I337" s="65">
        <f t="array" ref="I337">SUM(IF(Data!$A$91:$A$190=$B337,Data!$J$91:$M$190))-SUM(IF(Data!$A$91:$A$190="M1",Data!$J$91:$M$190))</f>
        <v>7</v>
      </c>
      <c r="K337" s="65" t="str">
        <f>INDEX(Data!$DT$91:$DT$190,MATCH($B337,Data!$A$91:$A$190,0))</f>
        <v>Peter Pichler</v>
      </c>
      <c r="L337" s="65" t="str">
        <f t="shared" ca="1" si="24"/>
        <v>Best men took only 5 throws</v>
      </c>
      <c r="M337" s="65" t="s">
        <v>1</v>
      </c>
      <c r="N337" s="65" t="s">
        <v>255</v>
      </c>
      <c r="O337" s="65" t="e">
        <f t="shared" ca="1" si="25"/>
        <v>#VALUE!</v>
      </c>
      <c r="P337" s="65" t="str">
        <f t="shared" ca="1" si="26"/>
        <v/>
      </c>
    </row>
    <row r="338" spans="1:16" s="65" customFormat="1" hidden="1" x14ac:dyDescent="0.25">
      <c r="A338" s="65" t="s">
        <v>383</v>
      </c>
      <c r="B338" s="295" t="str">
        <f>IF(OR(AND(Parameter!$B$4=0,Parameter!$C$5="n"),INDEX(Data!$M$91:$M$190,MATCH("M3",Data!$A$91:$A$190,0))&gt;0,INDEX(Data!$N$91:$N$190,MATCH("M3",Data!$A$91:$A$190,0))&gt;0),"M3","M1")</f>
        <v>M3</v>
      </c>
      <c r="C338" s="65">
        <f>INDEX(Parameter!$9:$9,,MATCH(19,Parameter!$8:$8,0))</f>
        <v>18</v>
      </c>
      <c r="D338" s="65">
        <f>INDEX(Parameter!$B$10:$AB$10,MATCH(C338,Parameter!$B$9:$AB$9,0))</f>
        <v>3</v>
      </c>
      <c r="E338" s="65">
        <f>COUNTIF(Data!$DY$90:$IB$90,Specials!C338)</f>
        <v>2</v>
      </c>
      <c r="F338" s="65">
        <f ca="1">OFFSET(Data!$CS$91,MATCH("M1",Data!$A$91:$A$190,0)-1,MATCH(C338,Data!$CS$90:$DS$90,0)-1)</f>
        <v>6</v>
      </c>
      <c r="G338" s="65">
        <f ca="1">OFFSET(Data!$CS$91,MATCH($B338,Data!$A$91:$A$190,0)-1,MATCH(C338,Data!$CS$90:$DS$90,0)-1)</f>
        <v>6</v>
      </c>
      <c r="H338" s="65">
        <f t="shared" ca="1" si="23"/>
        <v>0</v>
      </c>
      <c r="I338" s="65">
        <f t="array" ref="I338">SUM(IF(Data!$A$91:$A$190=$B338,Data!$J$91:$M$190))-SUM(IF(Data!$A$91:$A$190="M1",Data!$J$91:$M$190))</f>
        <v>7</v>
      </c>
      <c r="K338" s="65" t="str">
        <f>INDEX(Data!$DT$91:$DT$190,MATCH($B338,Data!$A$91:$A$190,0))</f>
        <v>Peter Pichler</v>
      </c>
      <c r="L338" s="65" t="str">
        <f t="shared" ca="1" si="24"/>
        <v>Best men took only 6 throws</v>
      </c>
      <c r="M338" s="65" t="s">
        <v>1</v>
      </c>
      <c r="N338" s="65" t="s">
        <v>255</v>
      </c>
      <c r="O338" s="65" t="e">
        <f t="shared" ca="1" si="25"/>
        <v>#VALUE!</v>
      </c>
      <c r="P338" s="65" t="str">
        <f t="shared" ca="1" si="26"/>
        <v/>
      </c>
    </row>
    <row r="339" spans="1:16" s="65" customFormat="1" hidden="1" x14ac:dyDescent="0.25">
      <c r="A339" s="65" t="s">
        <v>383</v>
      </c>
      <c r="B339" s="295" t="str">
        <f>IF(OR(AND(Parameter!$B$4=0,Parameter!$C$5="n"),INDEX(Data!$M$91:$M$190,MATCH("M3",Data!$A$91:$A$190,0))&gt;0,INDEX(Data!$N$91:$N$190,MATCH("M3",Data!$A$91:$A$190,0))&gt;0),"M3","M1")</f>
        <v>M3</v>
      </c>
      <c r="C339" s="65">
        <f>INDEX(Parameter!$9:$9,,MATCH(20,Parameter!$8:$8,0))</f>
        <v>20</v>
      </c>
      <c r="D339" s="65" t="str">
        <f>INDEX(Parameter!$B$10:$AB$10,MATCH(C339,Parameter!$B$9:$AB$9,0))</f>
        <v>no</v>
      </c>
      <c r="E339" s="65">
        <f>COUNTIF(Data!$DY$90:$IB$90,Specials!C339)</f>
        <v>0</v>
      </c>
      <c r="F339" s="65">
        <f ca="1">OFFSET(Data!$CS$91,MATCH("M1",Data!$A$91:$A$190,0)-1,MATCH(C339,Data!$CS$90:$DS$90,0)-1)</f>
        <v>0</v>
      </c>
      <c r="G339" s="65">
        <f ca="1">OFFSET(Data!$CS$91,MATCH($B339,Data!$A$91:$A$190,0)-1,MATCH(C339,Data!$CS$90:$DS$90,0)-1)</f>
        <v>0</v>
      </c>
      <c r="H339" s="65">
        <f t="shared" ca="1" si="23"/>
        <v>0</v>
      </c>
      <c r="I339" s="65">
        <f t="array" ref="I339">SUM(IF(Data!$A$91:$A$190=$B339,Data!$J$91:$M$190))-SUM(IF(Data!$A$91:$A$190="M1",Data!$J$91:$M$190))</f>
        <v>7</v>
      </c>
      <c r="K339" s="65" t="str">
        <f>INDEX(Data!$DT$91:$DT$190,MATCH($B339,Data!$A$91:$A$190,0))</f>
        <v>Peter Pichler</v>
      </c>
      <c r="L339" s="65" t="str">
        <f t="shared" ca="1" si="24"/>
        <v>Best men took only 0 throws</v>
      </c>
      <c r="M339" s="65" t="s">
        <v>1</v>
      </c>
      <c r="N339" s="65" t="s">
        <v>255</v>
      </c>
      <c r="O339" s="65" t="e">
        <f t="shared" ca="1" si="25"/>
        <v>#VALUE!</v>
      </c>
      <c r="P339" s="65" t="str">
        <f t="shared" ca="1" si="26"/>
        <v/>
      </c>
    </row>
    <row r="340" spans="1:16" s="65" customFormat="1" hidden="1" x14ac:dyDescent="0.25">
      <c r="A340" s="65" t="s">
        <v>383</v>
      </c>
      <c r="B340" s="295" t="str">
        <f>IF(OR(AND(Parameter!$B$4=0,Parameter!$C$5="n"),INDEX(Data!$M$91:$M$190,MATCH("M3",Data!$A$91:$A$190,0))&gt;0,INDEX(Data!$N$91:$N$190,MATCH("M3",Data!$A$91:$A$190,0))&gt;0),"M3","M1")</f>
        <v>M3</v>
      </c>
      <c r="C340" s="65">
        <f>INDEX(Parameter!$9:$9,,MATCH(21,Parameter!$8:$8,0))</f>
        <v>21</v>
      </c>
      <c r="D340" s="65" t="str">
        <f>INDEX(Parameter!$B$10:$AB$10,MATCH(C340,Parameter!$B$9:$AB$9,0))</f>
        <v>no</v>
      </c>
      <c r="E340" s="65">
        <f>COUNTIF(Data!$DY$90:$IB$90,Specials!C340)</f>
        <v>0</v>
      </c>
      <c r="F340" s="65">
        <f ca="1">OFFSET(Data!$CS$91,MATCH("M1",Data!$A$91:$A$190,0)-1,MATCH(C340,Data!$CS$90:$DS$90,0)-1)</f>
        <v>0</v>
      </c>
      <c r="G340" s="65">
        <f ca="1">OFFSET(Data!$CS$91,MATCH($B340,Data!$A$91:$A$190,0)-1,MATCH(C340,Data!$CS$90:$DS$90,0)-1)</f>
        <v>0</v>
      </c>
      <c r="H340" s="65">
        <f t="shared" ca="1" si="23"/>
        <v>0</v>
      </c>
      <c r="I340" s="65">
        <f t="array" ref="I340">SUM(IF(Data!$A$91:$A$190=$B340,Data!$J$91:$M$190))-SUM(IF(Data!$A$91:$A$190="M1",Data!$J$91:$M$190))</f>
        <v>7</v>
      </c>
      <c r="K340" s="65" t="str">
        <f>INDEX(Data!$DT$91:$DT$190,MATCH($B340,Data!$A$91:$A$190,0))</f>
        <v>Peter Pichler</v>
      </c>
      <c r="L340" s="65" t="str">
        <f t="shared" ca="1" si="24"/>
        <v>Best men took only 0 throws</v>
      </c>
      <c r="M340" s="65" t="s">
        <v>1</v>
      </c>
      <c r="N340" s="65" t="s">
        <v>255</v>
      </c>
      <c r="O340" s="65" t="e">
        <f t="shared" ca="1" si="25"/>
        <v>#VALUE!</v>
      </c>
      <c r="P340" s="65" t="str">
        <f t="shared" ca="1" si="26"/>
        <v/>
      </c>
    </row>
    <row r="341" spans="1:16" s="65" customFormat="1" hidden="1" x14ac:dyDescent="0.25">
      <c r="A341" s="65" t="s">
        <v>383</v>
      </c>
      <c r="B341" s="295" t="str">
        <f>IF(OR(AND(Parameter!$B$4=0,Parameter!$C$5="n"),INDEX(Data!$M$91:$M$190,MATCH("M3",Data!$A$91:$A$190,0))&gt;0,INDEX(Data!$N$91:$N$190,MATCH("M3",Data!$A$91:$A$190,0))&gt;0),"M3","M1")</f>
        <v>M3</v>
      </c>
      <c r="C341" s="65">
        <f>INDEX(Parameter!$9:$9,,MATCH(22,Parameter!$8:$8,0))</f>
        <v>22</v>
      </c>
      <c r="D341" s="65" t="str">
        <f>INDEX(Parameter!$B$10:$AB$10,MATCH(C341,Parameter!$B$9:$AB$9,0))</f>
        <v>no</v>
      </c>
      <c r="E341" s="65">
        <f>COUNTIF(Data!$DY$90:$IB$90,Specials!C341)</f>
        <v>0</v>
      </c>
      <c r="F341" s="65">
        <f ca="1">OFFSET(Data!$CS$91,MATCH("M1",Data!$A$91:$A$190,0)-1,MATCH(C341,Data!$CS$90:$DS$90,0)-1)</f>
        <v>0</v>
      </c>
      <c r="G341" s="65">
        <f ca="1">OFFSET(Data!$CS$91,MATCH($B341,Data!$A$91:$A$190,0)-1,MATCH(C341,Data!$CS$90:$DS$90,0)-1)</f>
        <v>0</v>
      </c>
      <c r="H341" s="65">
        <f t="shared" ca="1" si="23"/>
        <v>0</v>
      </c>
      <c r="I341" s="65">
        <f t="array" ref="I341">SUM(IF(Data!$A$91:$A$190=$B341,Data!$J$91:$M$190))-SUM(IF(Data!$A$91:$A$190="M1",Data!$J$91:$M$190))</f>
        <v>7</v>
      </c>
      <c r="K341" s="65" t="str">
        <f>INDEX(Data!$DT$91:$DT$190,MATCH($B341,Data!$A$91:$A$190,0))</f>
        <v>Peter Pichler</v>
      </c>
      <c r="L341" s="65" t="str">
        <f t="shared" ca="1" si="24"/>
        <v>Best men took only 0 throws</v>
      </c>
      <c r="M341" s="65" t="s">
        <v>1</v>
      </c>
      <c r="N341" s="65" t="s">
        <v>255</v>
      </c>
      <c r="O341" s="65" t="e">
        <f t="shared" ca="1" si="25"/>
        <v>#VALUE!</v>
      </c>
      <c r="P341" s="65" t="str">
        <f t="shared" ca="1" si="26"/>
        <v/>
      </c>
    </row>
    <row r="342" spans="1:16" s="65" customFormat="1" hidden="1" x14ac:dyDescent="0.25">
      <c r="A342" s="65" t="s">
        <v>383</v>
      </c>
      <c r="B342" s="295" t="str">
        <f>IF(OR(AND(Parameter!$B$4=0,Parameter!$C$5="n"),INDEX(Data!$M$91:$M$190,MATCH("M3",Data!$A$91:$A$190,0))&gt;0,INDEX(Data!$N$91:$N$190,MATCH("M3",Data!$A$91:$A$190,0))&gt;0),"M3","M1")</f>
        <v>M3</v>
      </c>
      <c r="C342" s="65">
        <f>INDEX(Parameter!$9:$9,,MATCH(23,Parameter!$8:$8,0))</f>
        <v>23</v>
      </c>
      <c r="D342" s="65" t="str">
        <f>INDEX(Parameter!$B$10:$AB$10,MATCH(C342,Parameter!$B$9:$AB$9,0))</f>
        <v>no</v>
      </c>
      <c r="E342" s="65">
        <f>COUNTIF(Data!$DY$90:$IB$90,Specials!C342)</f>
        <v>0</v>
      </c>
      <c r="F342" s="65">
        <f ca="1">OFFSET(Data!$CS$91,MATCH("M1",Data!$A$91:$A$190,0)-1,MATCH(C342,Data!$CS$90:$DS$90,0)-1)</f>
        <v>0</v>
      </c>
      <c r="G342" s="65">
        <f ca="1">OFFSET(Data!$CS$91,MATCH($B342,Data!$A$91:$A$190,0)-1,MATCH(C342,Data!$CS$90:$DS$90,0)-1)</f>
        <v>0</v>
      </c>
      <c r="H342" s="65">
        <f t="shared" ca="1" si="23"/>
        <v>0</v>
      </c>
      <c r="I342" s="65">
        <f t="array" ref="I342">SUM(IF(Data!$A$91:$A$190=$B342,Data!$J$91:$M$190))-SUM(IF(Data!$A$91:$A$190="M1",Data!$J$91:$M$190))</f>
        <v>7</v>
      </c>
      <c r="K342" s="65" t="str">
        <f>INDEX(Data!$DT$91:$DT$190,MATCH($B342,Data!$A$91:$A$190,0))</f>
        <v>Peter Pichler</v>
      </c>
      <c r="L342" s="65" t="str">
        <f t="shared" ca="1" si="24"/>
        <v>Best men took only 0 throws</v>
      </c>
      <c r="M342" s="65" t="s">
        <v>1</v>
      </c>
      <c r="N342" s="65" t="s">
        <v>255</v>
      </c>
      <c r="O342" s="65" t="e">
        <f t="shared" ca="1" si="25"/>
        <v>#VALUE!</v>
      </c>
      <c r="P342" s="65" t="str">
        <f t="shared" ca="1" si="26"/>
        <v/>
      </c>
    </row>
    <row r="343" spans="1:16" s="65" customFormat="1" hidden="1" x14ac:dyDescent="0.25">
      <c r="A343" s="65" t="s">
        <v>383</v>
      </c>
      <c r="B343" s="295" t="str">
        <f>IF(OR(AND(Parameter!$B$4=0,Parameter!$C$5="n"),INDEX(Data!$M$91:$M$190,MATCH("M3",Data!$A$91:$A$190,0))&gt;0,INDEX(Data!$N$91:$N$190,MATCH("M3",Data!$A$91:$A$190,0))&gt;0),"M3","M1")</f>
        <v>M3</v>
      </c>
      <c r="C343" s="65">
        <f>INDEX(Parameter!$9:$9,,MATCH(24,Parameter!$8:$8,0))</f>
        <v>24</v>
      </c>
      <c r="D343" s="65" t="str">
        <f>INDEX(Parameter!$B$10:$AB$10,MATCH(C343,Parameter!$B$9:$AB$9,0))</f>
        <v>no</v>
      </c>
      <c r="E343" s="65">
        <f>COUNTIF(Data!$DY$90:$IB$90,Specials!C343)</f>
        <v>0</v>
      </c>
      <c r="F343" s="65">
        <f ca="1">OFFSET(Data!$CS$91,MATCH("M1",Data!$A$91:$A$190,0)-1,MATCH(C343,Data!$CS$90:$DS$90,0)-1)</f>
        <v>0</v>
      </c>
      <c r="G343" s="65">
        <f ca="1">OFFSET(Data!$CS$91,MATCH($B343,Data!$A$91:$A$190,0)-1,MATCH(C343,Data!$CS$90:$DS$90,0)-1)</f>
        <v>0</v>
      </c>
      <c r="H343" s="65">
        <f t="shared" ca="1" si="23"/>
        <v>0</v>
      </c>
      <c r="I343" s="65">
        <f t="array" ref="I343">SUM(IF(Data!$A$91:$A$190=$B343,Data!$J$91:$M$190))-SUM(IF(Data!$A$91:$A$190="M1",Data!$J$91:$M$190))</f>
        <v>7</v>
      </c>
      <c r="K343" s="65" t="str">
        <f>INDEX(Data!$DT$91:$DT$190,MATCH($B343,Data!$A$91:$A$190,0))</f>
        <v>Peter Pichler</v>
      </c>
      <c r="L343" s="65" t="str">
        <f t="shared" ca="1" si="24"/>
        <v>Best men took only 0 throws</v>
      </c>
      <c r="M343" s="65" t="s">
        <v>1</v>
      </c>
      <c r="N343" s="65" t="s">
        <v>255</v>
      </c>
      <c r="O343" s="65" t="e">
        <f t="shared" ca="1" si="25"/>
        <v>#VALUE!</v>
      </c>
      <c r="P343" s="65" t="str">
        <f t="shared" ca="1" si="26"/>
        <v/>
      </c>
    </row>
    <row r="344" spans="1:16" s="65" customFormat="1" hidden="1" x14ac:dyDescent="0.25">
      <c r="A344" s="65" t="s">
        <v>383</v>
      </c>
      <c r="B344" s="295" t="str">
        <f>IF(OR(AND(Parameter!$B$4=0,Parameter!$C$5="n"),INDEX(Data!$M$91:$M$190,MATCH("M3",Data!$A$91:$A$190,0))&gt;0,INDEX(Data!$N$91:$N$190,MATCH("M3",Data!$A$91:$A$190,0))&gt;0),"M3","M1")</f>
        <v>M3</v>
      </c>
      <c r="C344" s="65">
        <f>INDEX(Parameter!$9:$9,,MATCH(25,Parameter!$8:$8,0))</f>
        <v>25</v>
      </c>
      <c r="D344" s="65" t="str">
        <f>INDEX(Parameter!$B$10:$AB$10,MATCH(C344,Parameter!$B$9:$AB$9,0))</f>
        <v>no</v>
      </c>
      <c r="E344" s="65">
        <f>COUNTIF(Data!$DY$90:$IB$90,Specials!C344)</f>
        <v>0</v>
      </c>
      <c r="F344" s="65">
        <f ca="1">OFFSET(Data!$CS$91,MATCH("M1",Data!$A$91:$A$190,0)-1,MATCH(C344,Data!$CS$90:$DS$90,0)-1)</f>
        <v>0</v>
      </c>
      <c r="G344" s="65">
        <f ca="1">OFFSET(Data!$CS$91,MATCH($B344,Data!$A$91:$A$190,0)-1,MATCH(C344,Data!$CS$90:$DS$90,0)-1)</f>
        <v>0</v>
      </c>
      <c r="H344" s="65">
        <f t="shared" ca="1" si="23"/>
        <v>0</v>
      </c>
      <c r="I344" s="65">
        <f t="array" ref="I344">SUM(IF(Data!$A$91:$A$190=$B344,Data!$J$91:$M$190))-SUM(IF(Data!$A$91:$A$190="M1",Data!$J$91:$M$190))</f>
        <v>7</v>
      </c>
      <c r="K344" s="65" t="str">
        <f>INDEX(Data!$DT$91:$DT$190,MATCH($B344,Data!$A$91:$A$190,0))</f>
        <v>Peter Pichler</v>
      </c>
      <c r="L344" s="65" t="str">
        <f t="shared" ca="1" si="24"/>
        <v>Best men took only 0 throws</v>
      </c>
      <c r="M344" s="65" t="s">
        <v>1</v>
      </c>
      <c r="N344" s="65" t="s">
        <v>255</v>
      </c>
      <c r="O344" s="65" t="e">
        <f t="shared" ca="1" si="25"/>
        <v>#VALUE!</v>
      </c>
      <c r="P344" s="65" t="str">
        <f t="shared" ca="1" si="26"/>
        <v/>
      </c>
    </row>
    <row r="345" spans="1:16" s="65" customFormat="1" hidden="1" x14ac:dyDescent="0.25">
      <c r="A345" s="65" t="s">
        <v>383</v>
      </c>
      <c r="B345" s="295" t="str">
        <f>IF(OR(AND(Parameter!$B$4=0,Parameter!$C$5="n"),INDEX(Data!$M$91:$M$190,MATCH("M3",Data!$A$91:$A$190,0))&gt;0,INDEX(Data!$N$91:$N$190,MATCH("M3",Data!$A$91:$A$190,0))&gt;0),"M3","M1")</f>
        <v>M3</v>
      </c>
      <c r="C345" s="65">
        <f>INDEX(Parameter!$9:$9,,MATCH(26,Parameter!$8:$8,0))</f>
        <v>26</v>
      </c>
      <c r="D345" s="65" t="str">
        <f>INDEX(Parameter!$B$10:$AB$10,MATCH(C345,Parameter!$B$9:$AB$9,0))</f>
        <v>no</v>
      </c>
      <c r="E345" s="65">
        <f>COUNTIF(Data!$DY$90:$IB$90,Specials!C345)</f>
        <v>0</v>
      </c>
      <c r="F345" s="65">
        <f ca="1">OFFSET(Data!$CS$91,MATCH("M1",Data!$A$91:$A$190,0)-1,MATCH(C345,Data!$CS$90:$DS$90,0)-1)</f>
        <v>0</v>
      </c>
      <c r="G345" s="65">
        <f ca="1">OFFSET(Data!$CS$91,MATCH($B345,Data!$A$91:$A$190,0)-1,MATCH(C345,Data!$CS$90:$DS$90,0)-1)</f>
        <v>0</v>
      </c>
      <c r="H345" s="65">
        <f t="shared" ca="1" si="23"/>
        <v>0</v>
      </c>
      <c r="I345" s="65">
        <f t="array" ref="I345">SUM(IF(Data!$A$91:$A$190=$B345,Data!$J$91:$M$190))-SUM(IF(Data!$A$91:$A$190="M1",Data!$J$91:$M$190))</f>
        <v>7</v>
      </c>
      <c r="K345" s="65" t="str">
        <f>INDEX(Data!$DT$91:$DT$190,MATCH($B345,Data!$A$91:$A$190,0))</f>
        <v>Peter Pichler</v>
      </c>
      <c r="L345" s="65" t="str">
        <f t="shared" ca="1" si="24"/>
        <v>Best men took only 0 throws</v>
      </c>
      <c r="M345" s="65" t="s">
        <v>1</v>
      </c>
      <c r="N345" s="65" t="s">
        <v>255</v>
      </c>
      <c r="O345" s="65" t="e">
        <f t="shared" ca="1" si="25"/>
        <v>#VALUE!</v>
      </c>
      <c r="P345" s="65" t="str">
        <f t="shared" ca="1" si="26"/>
        <v/>
      </c>
    </row>
    <row r="346" spans="1:16" s="65" customFormat="1" hidden="1" x14ac:dyDescent="0.25">
      <c r="A346" s="65" t="s">
        <v>383</v>
      </c>
      <c r="B346" s="295" t="str">
        <f>IF(OR(AND(Parameter!$B$4=0,Parameter!$C$5="n"),INDEX(Data!$M$91:$M$190,MATCH("M3",Data!$A$91:$A$190,0))&gt;0,INDEX(Data!$N$91:$N$190,MATCH("M3",Data!$A$91:$A$190,0))&gt;0),"M3","M1")</f>
        <v>M3</v>
      </c>
      <c r="C346" s="65">
        <f>INDEX(Parameter!$9:$9,,MATCH(27,Parameter!$8:$8,0))</f>
        <v>27</v>
      </c>
      <c r="D346" s="65" t="str">
        <f>INDEX(Parameter!$B$10:$AB$10,MATCH(C346,Parameter!$B$9:$AB$9,0))</f>
        <v>no</v>
      </c>
      <c r="E346" s="65">
        <f>COUNTIF(Data!$DY$90:$IB$90,Specials!C346)</f>
        <v>0</v>
      </c>
      <c r="F346" s="65">
        <f ca="1">OFFSET(Data!$CS$91,MATCH("M1",Data!$A$91:$A$190,0)-1,MATCH(C346,Data!$CS$90:$DS$90,0)-1)</f>
        <v>0</v>
      </c>
      <c r="G346" s="65">
        <f ca="1">OFFSET(Data!$CS$91,MATCH($B346,Data!$A$91:$A$190,0)-1,MATCH(C346,Data!$CS$90:$DS$90,0)-1)</f>
        <v>0</v>
      </c>
      <c r="H346" s="65">
        <f t="shared" ca="1" si="23"/>
        <v>0</v>
      </c>
      <c r="I346" s="65">
        <f t="array" ref="I346">SUM(IF(Data!$A$91:$A$190=$B346,Data!$J$91:$M$190))-SUM(IF(Data!$A$91:$A$190="M1",Data!$J$91:$M$190))</f>
        <v>7</v>
      </c>
      <c r="K346" s="65" t="str">
        <f>INDEX(Data!$DT$91:$DT$190,MATCH($B346,Data!$A$91:$A$190,0))</f>
        <v>Peter Pichler</v>
      </c>
      <c r="L346" s="65" t="str">
        <f t="shared" ca="1" si="24"/>
        <v>Best men took only 0 throws</v>
      </c>
      <c r="M346" s="65" t="s">
        <v>1</v>
      </c>
      <c r="N346" s="65" t="s">
        <v>255</v>
      </c>
      <c r="O346" s="65" t="e">
        <f t="shared" ca="1" si="25"/>
        <v>#VALUE!</v>
      </c>
      <c r="P346" s="65" t="str">
        <f t="shared" ca="1" si="26"/>
        <v/>
      </c>
    </row>
    <row r="347" spans="1:16" s="65" customFormat="1" ht="15" hidden="1" customHeight="1" x14ac:dyDescent="0.25">
      <c r="A347" s="65" t="s">
        <v>383</v>
      </c>
      <c r="B347" s="295" t="str">
        <f>IF(OR(AND(Parameter!$B$4=0,Parameter!$C$5="n"),INDEX(Data!$M$91:$M$190,MATCH("M4",Data!$A$91:$A$190,0))&gt;0,INDEX(Data!$N$91:$N$190,MATCH("M4",Data!$A$91:$A$190,0))&gt;0),"M4","M1")</f>
        <v>M4</v>
      </c>
      <c r="C347" s="65">
        <f>INDEX(Parameter!$9:$9,,MATCH(1,Parameter!$8:$8,0))</f>
        <v>1</v>
      </c>
      <c r="D347" s="65">
        <f>INDEX(Parameter!$B$10:$AB$10,MATCH(C347,Parameter!$B$9:$AB$9,0))</f>
        <v>3</v>
      </c>
      <c r="E347" s="65">
        <f>COUNTIF(Data!$DY$90:$IB$90,Specials!C347)</f>
        <v>2</v>
      </c>
      <c r="F347" s="65">
        <f ca="1">OFFSET(Data!$CS$91,MATCH("M1",Data!$A$91:$A$190,0)-1,MATCH(C347,Data!$CS$90:$DS$90,0)-1)</f>
        <v>5</v>
      </c>
      <c r="G347" s="65">
        <f ca="1">OFFSET(Data!$CS$91,MATCH($B347,Data!$A$91:$A$190,0)-1,MATCH(C347,Data!$CS$90:$DS$90,0)-1)</f>
        <v>6</v>
      </c>
      <c r="H347" s="65">
        <f t="shared" ca="1" si="23"/>
        <v>0</v>
      </c>
      <c r="I347" s="65">
        <f t="array" ref="I347">SUM(IF(Data!$A$91:$A$190=$B347,Data!$J$91:$M$190))-SUM(IF(Data!$A$91:$A$190="M1",Data!$J$91:$M$190))</f>
        <v>7</v>
      </c>
      <c r="K347" s="65" t="str">
        <f>INDEX(Data!$DT$91:$DT$190,MATCH($B347,Data!$A$91:$A$190,0))</f>
        <v>Bernd Wender</v>
      </c>
      <c r="L347" s="65" t="str">
        <f t="shared" ca="1" si="24"/>
        <v>Best men took only 5 throws</v>
      </c>
      <c r="M347" s="65" t="s">
        <v>1</v>
      </c>
      <c r="N347" s="65" t="s">
        <v>255</v>
      </c>
      <c r="O347" s="65" t="e">
        <f t="shared" ca="1" si="25"/>
        <v>#VALUE!</v>
      </c>
      <c r="P347" s="65" t="str">
        <f t="shared" ca="1" si="26"/>
        <v/>
      </c>
    </row>
    <row r="348" spans="1:16" s="65" customFormat="1" hidden="1" x14ac:dyDescent="0.25">
      <c r="A348" s="65" t="s">
        <v>383</v>
      </c>
      <c r="B348" s="295" t="str">
        <f>IF(OR(AND(Parameter!$B$4=0,Parameter!$C$5="n"),INDEX(Data!$M$91:$M$190,MATCH("M4",Data!$A$91:$A$190,0))&gt;0,INDEX(Data!$N$91:$N$190,MATCH("M4",Data!$A$91:$A$190,0))&gt;0),"M4","M1")</f>
        <v>M4</v>
      </c>
      <c r="C348" s="65">
        <f>INDEX(Parameter!$9:$9,,MATCH(2,Parameter!$8:$8,0))</f>
        <v>2</v>
      </c>
      <c r="D348" s="65">
        <f>INDEX(Parameter!$B$10:$AB$10,MATCH(C348,Parameter!$B$9:$AB$9,0))</f>
        <v>3</v>
      </c>
      <c r="E348" s="65">
        <f>COUNTIF(Data!$DY$90:$IB$90,Specials!C348)</f>
        <v>2</v>
      </c>
      <c r="F348" s="65">
        <f ca="1">OFFSET(Data!$CS$91,MATCH("M1",Data!$A$91:$A$190,0)-1,MATCH(C348,Data!$CS$90:$DS$90,0)-1)</f>
        <v>6</v>
      </c>
      <c r="G348" s="65">
        <f ca="1">OFFSET(Data!$CS$91,MATCH($B348,Data!$A$91:$A$190,0)-1,MATCH(C348,Data!$CS$90:$DS$90,0)-1)</f>
        <v>5</v>
      </c>
      <c r="H348" s="65">
        <f t="shared" ca="1" si="23"/>
        <v>0</v>
      </c>
      <c r="I348" s="65">
        <f t="array" ref="I348">SUM(IF(Data!$A$91:$A$190=$B348,Data!$J$91:$M$190))-SUM(IF(Data!$A$91:$A$190="M1",Data!$J$91:$M$190))</f>
        <v>7</v>
      </c>
      <c r="K348" s="65" t="str">
        <f>INDEX(Data!$DT$91:$DT$190,MATCH($B348,Data!$A$91:$A$190,0))</f>
        <v>Bernd Wender</v>
      </c>
      <c r="L348" s="65" t="str">
        <f t="shared" ca="1" si="24"/>
        <v>Best men took only 6 throws</v>
      </c>
      <c r="M348" s="65" t="s">
        <v>1</v>
      </c>
      <c r="N348" s="65" t="s">
        <v>255</v>
      </c>
      <c r="O348" s="65" t="e">
        <f t="shared" ca="1" si="25"/>
        <v>#VALUE!</v>
      </c>
      <c r="P348" s="65" t="str">
        <f t="shared" ca="1" si="26"/>
        <v/>
      </c>
    </row>
    <row r="349" spans="1:16" s="65" customFormat="1" hidden="1" x14ac:dyDescent="0.25">
      <c r="A349" s="65" t="s">
        <v>383</v>
      </c>
      <c r="B349" s="295" t="str">
        <f>IF(OR(AND(Parameter!$B$4=0,Parameter!$C$5="n"),INDEX(Data!$M$91:$M$190,MATCH("M4",Data!$A$91:$A$190,0))&gt;0,INDEX(Data!$N$91:$N$190,MATCH("M4",Data!$A$91:$A$190,0))&gt;0),"M4","M1")</f>
        <v>M4</v>
      </c>
      <c r="C349" s="65">
        <f>INDEX(Parameter!$9:$9,,MATCH(3,Parameter!$8:$8,0))</f>
        <v>3</v>
      </c>
      <c r="D349" s="65">
        <f>INDEX(Parameter!$B$10:$AB$10,MATCH(C349,Parameter!$B$9:$AB$9,0))</f>
        <v>3</v>
      </c>
      <c r="E349" s="65">
        <f>COUNTIF(Data!$DY$90:$IB$90,Specials!C349)</f>
        <v>2</v>
      </c>
      <c r="F349" s="65">
        <f ca="1">OFFSET(Data!$CS$91,MATCH("M1",Data!$A$91:$A$190,0)-1,MATCH(C349,Data!$CS$90:$DS$90,0)-1)</f>
        <v>5</v>
      </c>
      <c r="G349" s="65">
        <f ca="1">OFFSET(Data!$CS$91,MATCH($B349,Data!$A$91:$A$190,0)-1,MATCH(C349,Data!$CS$90:$DS$90,0)-1)</f>
        <v>5</v>
      </c>
      <c r="H349" s="65">
        <f t="shared" ca="1" si="23"/>
        <v>0</v>
      </c>
      <c r="I349" s="65">
        <f t="array" ref="I349">SUM(IF(Data!$A$91:$A$190=$B349,Data!$J$91:$M$190))-SUM(IF(Data!$A$91:$A$190="M1",Data!$J$91:$M$190))</f>
        <v>7</v>
      </c>
      <c r="K349" s="65" t="str">
        <f>INDEX(Data!$DT$91:$DT$190,MATCH($B349,Data!$A$91:$A$190,0))</f>
        <v>Bernd Wender</v>
      </c>
      <c r="L349" s="65" t="str">
        <f t="shared" ca="1" si="24"/>
        <v>Best men took only 5 throws</v>
      </c>
      <c r="M349" s="65" t="s">
        <v>1</v>
      </c>
      <c r="N349" s="65" t="s">
        <v>255</v>
      </c>
      <c r="O349" s="65" t="e">
        <f t="shared" ca="1" si="25"/>
        <v>#VALUE!</v>
      </c>
      <c r="P349" s="65" t="str">
        <f t="shared" ca="1" si="26"/>
        <v/>
      </c>
    </row>
    <row r="350" spans="1:16" s="65" customFormat="1" hidden="1" x14ac:dyDescent="0.25">
      <c r="A350" s="65" t="s">
        <v>383</v>
      </c>
      <c r="B350" s="295" t="str">
        <f>IF(OR(AND(Parameter!$B$4=0,Parameter!$C$5="n"),INDEX(Data!$M$91:$M$190,MATCH("M4",Data!$A$91:$A$190,0))&gt;0,INDEX(Data!$N$91:$N$190,MATCH("M4",Data!$A$91:$A$190,0))&gt;0),"M4","M1")</f>
        <v>M4</v>
      </c>
      <c r="C350" s="65">
        <f>INDEX(Parameter!$9:$9,,MATCH(4,Parameter!$8:$8,0))</f>
        <v>4</v>
      </c>
      <c r="D350" s="65">
        <f>INDEX(Parameter!$B$10:$AB$10,MATCH(C350,Parameter!$B$9:$AB$9,0))</f>
        <v>3</v>
      </c>
      <c r="E350" s="65">
        <f>COUNTIF(Data!$DY$90:$IB$90,Specials!C350)</f>
        <v>2</v>
      </c>
      <c r="F350" s="65">
        <f ca="1">OFFSET(Data!$CS$91,MATCH("M1",Data!$A$91:$A$190,0)-1,MATCH(C350,Data!$CS$90:$DS$90,0)-1)</f>
        <v>6</v>
      </c>
      <c r="G350" s="65">
        <f ca="1">OFFSET(Data!$CS$91,MATCH($B350,Data!$A$91:$A$190,0)-1,MATCH(C350,Data!$CS$90:$DS$90,0)-1)</f>
        <v>6</v>
      </c>
      <c r="H350" s="65">
        <f t="shared" ca="1" si="23"/>
        <v>0</v>
      </c>
      <c r="I350" s="65">
        <f t="array" ref="I350">SUM(IF(Data!$A$91:$A$190=$B350,Data!$J$91:$M$190))-SUM(IF(Data!$A$91:$A$190="M1",Data!$J$91:$M$190))</f>
        <v>7</v>
      </c>
      <c r="K350" s="65" t="str">
        <f>INDEX(Data!$DT$91:$DT$190,MATCH($B350,Data!$A$91:$A$190,0))</f>
        <v>Bernd Wender</v>
      </c>
      <c r="L350" s="65" t="str">
        <f t="shared" ca="1" si="24"/>
        <v>Best men took only 6 throws</v>
      </c>
      <c r="M350" s="65" t="s">
        <v>1</v>
      </c>
      <c r="N350" s="65" t="s">
        <v>255</v>
      </c>
      <c r="O350" s="65" t="e">
        <f t="shared" ca="1" si="25"/>
        <v>#VALUE!</v>
      </c>
      <c r="P350" s="65" t="str">
        <f t="shared" ca="1" si="26"/>
        <v/>
      </c>
    </row>
    <row r="351" spans="1:16" s="65" customFormat="1" hidden="1" x14ac:dyDescent="0.25">
      <c r="A351" s="65" t="s">
        <v>383</v>
      </c>
      <c r="B351" s="295" t="str">
        <f>IF(OR(AND(Parameter!$B$4=0,Parameter!$C$5="n"),INDEX(Data!$M$91:$M$190,MATCH("M4",Data!$A$91:$A$190,0))&gt;0,INDEX(Data!$N$91:$N$190,MATCH("M4",Data!$A$91:$A$190,0))&gt;0),"M4","M1")</f>
        <v>M4</v>
      </c>
      <c r="C351" s="65">
        <f>INDEX(Parameter!$9:$9,,MATCH(5,Parameter!$8:$8,0))</f>
        <v>5</v>
      </c>
      <c r="D351" s="65">
        <f>INDEX(Parameter!$B$10:$AB$10,MATCH(C351,Parameter!$B$9:$AB$9,0))</f>
        <v>4</v>
      </c>
      <c r="E351" s="65">
        <f>COUNTIF(Data!$DY$90:$IB$90,Specials!C351)</f>
        <v>2</v>
      </c>
      <c r="F351" s="65">
        <f ca="1">OFFSET(Data!$CS$91,MATCH("M1",Data!$A$91:$A$190,0)-1,MATCH(C351,Data!$CS$90:$DS$90,0)-1)</f>
        <v>6</v>
      </c>
      <c r="G351" s="65">
        <f ca="1">OFFSET(Data!$CS$91,MATCH($B351,Data!$A$91:$A$190,0)-1,MATCH(C351,Data!$CS$90:$DS$90,0)-1)</f>
        <v>7</v>
      </c>
      <c r="H351" s="65">
        <f t="shared" ca="1" si="23"/>
        <v>0</v>
      </c>
      <c r="I351" s="65">
        <f t="array" ref="I351">SUM(IF(Data!$A$91:$A$190=$B351,Data!$J$91:$M$190))-SUM(IF(Data!$A$91:$A$190="M1",Data!$J$91:$M$190))</f>
        <v>7</v>
      </c>
      <c r="K351" s="65" t="str">
        <f>INDEX(Data!$DT$91:$DT$190,MATCH($B351,Data!$A$91:$A$190,0))</f>
        <v>Bernd Wender</v>
      </c>
      <c r="L351" s="65" t="str">
        <f t="shared" ca="1" si="24"/>
        <v>Best men took only 6 throws</v>
      </c>
      <c r="M351" s="65" t="s">
        <v>1</v>
      </c>
      <c r="N351" s="65" t="s">
        <v>255</v>
      </c>
      <c r="O351" s="65" t="e">
        <f t="shared" ca="1" si="25"/>
        <v>#VALUE!</v>
      </c>
      <c r="P351" s="65" t="str">
        <f t="shared" ca="1" si="26"/>
        <v/>
      </c>
    </row>
    <row r="352" spans="1:16" s="65" customFormat="1" hidden="1" x14ac:dyDescent="0.25">
      <c r="A352" s="65" t="s">
        <v>383</v>
      </c>
      <c r="B352" s="295" t="str">
        <f>IF(OR(AND(Parameter!$B$4=0,Parameter!$C$5="n"),INDEX(Data!$M$91:$M$190,MATCH("M4",Data!$A$91:$A$190,0))&gt;0,INDEX(Data!$N$91:$N$190,MATCH("M4",Data!$A$91:$A$190,0))&gt;0),"M4","M1")</f>
        <v>M4</v>
      </c>
      <c r="C352" s="65">
        <f>INDEX(Parameter!$9:$9,,MATCH(6,Parameter!$8:$8,0))</f>
        <v>6</v>
      </c>
      <c r="D352" s="65">
        <f>INDEX(Parameter!$B$10:$AB$10,MATCH(C352,Parameter!$B$9:$AB$9,0))</f>
        <v>3</v>
      </c>
      <c r="E352" s="65">
        <f>COUNTIF(Data!$DY$90:$IB$90,Specials!C352)</f>
        <v>2</v>
      </c>
      <c r="F352" s="65">
        <f ca="1">OFFSET(Data!$CS$91,MATCH("M1",Data!$A$91:$A$190,0)-1,MATCH(C352,Data!$CS$90:$DS$90,0)-1)</f>
        <v>5</v>
      </c>
      <c r="G352" s="65">
        <f ca="1">OFFSET(Data!$CS$91,MATCH($B352,Data!$A$91:$A$190,0)-1,MATCH(C352,Data!$CS$90:$DS$90,0)-1)</f>
        <v>6</v>
      </c>
      <c r="H352" s="65">
        <f t="shared" ca="1" si="23"/>
        <v>0</v>
      </c>
      <c r="I352" s="65">
        <f t="array" ref="I352">SUM(IF(Data!$A$91:$A$190=$B352,Data!$J$91:$M$190))-SUM(IF(Data!$A$91:$A$190="M1",Data!$J$91:$M$190))</f>
        <v>7</v>
      </c>
      <c r="K352" s="65" t="str">
        <f>INDEX(Data!$DT$91:$DT$190,MATCH($B352,Data!$A$91:$A$190,0))</f>
        <v>Bernd Wender</v>
      </c>
      <c r="L352" s="65" t="str">
        <f t="shared" ca="1" si="24"/>
        <v>Best men took only 5 throws</v>
      </c>
      <c r="M352" s="65" t="s">
        <v>1</v>
      </c>
      <c r="N352" s="65" t="s">
        <v>255</v>
      </c>
      <c r="O352" s="65" t="e">
        <f t="shared" ca="1" si="25"/>
        <v>#VALUE!</v>
      </c>
      <c r="P352" s="65" t="str">
        <f t="shared" ca="1" si="26"/>
        <v/>
      </c>
    </row>
    <row r="353" spans="1:16" s="65" customFormat="1" hidden="1" x14ac:dyDescent="0.25">
      <c r="A353" s="65" t="s">
        <v>383</v>
      </c>
      <c r="B353" s="295" t="str">
        <f>IF(OR(AND(Parameter!$B$4=0,Parameter!$C$5="n"),INDEX(Data!$M$91:$M$190,MATCH("M4",Data!$A$91:$A$190,0))&gt;0,INDEX(Data!$N$91:$N$190,MATCH("M4",Data!$A$91:$A$190,0))&gt;0),"M4","M1")</f>
        <v>M4</v>
      </c>
      <c r="C353" s="65">
        <f>INDEX(Parameter!$9:$9,,MATCH(7,Parameter!$8:$8,0))</f>
        <v>7</v>
      </c>
      <c r="D353" s="65">
        <f>INDEX(Parameter!$B$10:$AB$10,MATCH(C353,Parameter!$B$9:$AB$9,0))</f>
        <v>3</v>
      </c>
      <c r="E353" s="65">
        <f>COUNTIF(Data!$DY$90:$IB$90,Specials!C353)</f>
        <v>2</v>
      </c>
      <c r="F353" s="65">
        <f ca="1">OFFSET(Data!$CS$91,MATCH("M1",Data!$A$91:$A$190,0)-1,MATCH(C353,Data!$CS$90:$DS$90,0)-1)</f>
        <v>6</v>
      </c>
      <c r="G353" s="65">
        <f ca="1">OFFSET(Data!$CS$91,MATCH($B353,Data!$A$91:$A$190,0)-1,MATCH(C353,Data!$CS$90:$DS$90,0)-1)</f>
        <v>5</v>
      </c>
      <c r="H353" s="65">
        <f t="shared" ca="1" si="23"/>
        <v>0</v>
      </c>
      <c r="I353" s="65">
        <f t="array" ref="I353">SUM(IF(Data!$A$91:$A$190=$B353,Data!$J$91:$M$190))-SUM(IF(Data!$A$91:$A$190="M1",Data!$J$91:$M$190))</f>
        <v>7</v>
      </c>
      <c r="K353" s="65" t="str">
        <f>INDEX(Data!$DT$91:$DT$190,MATCH($B353,Data!$A$91:$A$190,0))</f>
        <v>Bernd Wender</v>
      </c>
      <c r="L353" s="65" t="str">
        <f t="shared" ca="1" si="24"/>
        <v>Best men took only 6 throws</v>
      </c>
      <c r="M353" s="65" t="s">
        <v>1</v>
      </c>
      <c r="N353" s="65" t="s">
        <v>255</v>
      </c>
      <c r="O353" s="65" t="e">
        <f t="shared" ca="1" si="25"/>
        <v>#VALUE!</v>
      </c>
      <c r="P353" s="65" t="str">
        <f t="shared" ca="1" si="26"/>
        <v/>
      </c>
    </row>
    <row r="354" spans="1:16" s="65" customFormat="1" hidden="1" x14ac:dyDescent="0.25">
      <c r="A354" s="65" t="s">
        <v>383</v>
      </c>
      <c r="B354" s="295" t="str">
        <f>IF(OR(AND(Parameter!$B$4=0,Parameter!$C$5="n"),INDEX(Data!$M$91:$M$190,MATCH("M4",Data!$A$91:$A$190,0))&gt;0,INDEX(Data!$N$91:$N$190,MATCH("M4",Data!$A$91:$A$190,0))&gt;0),"M4","M1")</f>
        <v>M4</v>
      </c>
      <c r="C354" s="65">
        <f>INDEX(Parameter!$9:$9,,MATCH(8,Parameter!$8:$8,0))</f>
        <v>8</v>
      </c>
      <c r="D354" s="65">
        <f>INDEX(Parameter!$B$10:$AB$10,MATCH(C354,Parameter!$B$9:$AB$9,0))</f>
        <v>3</v>
      </c>
      <c r="E354" s="65">
        <f>COUNTIF(Data!$DY$90:$IB$90,Specials!C354)</f>
        <v>2</v>
      </c>
      <c r="F354" s="65">
        <f ca="1">OFFSET(Data!$CS$91,MATCH("M1",Data!$A$91:$A$190,0)-1,MATCH(C354,Data!$CS$90:$DS$90,0)-1)</f>
        <v>5</v>
      </c>
      <c r="G354" s="65">
        <f ca="1">OFFSET(Data!$CS$91,MATCH($B354,Data!$A$91:$A$190,0)-1,MATCH(C354,Data!$CS$90:$DS$90,0)-1)</f>
        <v>5</v>
      </c>
      <c r="H354" s="65">
        <f t="shared" ca="1" si="23"/>
        <v>0</v>
      </c>
      <c r="I354" s="65">
        <f t="array" ref="I354">SUM(IF(Data!$A$91:$A$190=$B354,Data!$J$91:$M$190))-SUM(IF(Data!$A$91:$A$190="M1",Data!$J$91:$M$190))</f>
        <v>7</v>
      </c>
      <c r="K354" s="65" t="str">
        <f>INDEX(Data!$DT$91:$DT$190,MATCH($B354,Data!$A$91:$A$190,0))</f>
        <v>Bernd Wender</v>
      </c>
      <c r="L354" s="65" t="str">
        <f t="shared" ca="1" si="24"/>
        <v>Best men took only 5 throws</v>
      </c>
      <c r="M354" s="65" t="s">
        <v>1</v>
      </c>
      <c r="N354" s="65" t="s">
        <v>255</v>
      </c>
      <c r="O354" s="65" t="e">
        <f t="shared" ca="1" si="25"/>
        <v>#VALUE!</v>
      </c>
      <c r="P354" s="65" t="str">
        <f t="shared" ca="1" si="26"/>
        <v/>
      </c>
    </row>
    <row r="355" spans="1:16" s="65" customFormat="1" hidden="1" x14ac:dyDescent="0.25">
      <c r="A355" s="65" t="s">
        <v>383</v>
      </c>
      <c r="B355" s="295" t="str">
        <f>IF(OR(AND(Parameter!$B$4=0,Parameter!$C$5="n"),INDEX(Data!$M$91:$M$190,MATCH("M4",Data!$A$91:$A$190,0))&gt;0,INDEX(Data!$N$91:$N$190,MATCH("M4",Data!$A$91:$A$190,0))&gt;0),"M4","M1")</f>
        <v>M4</v>
      </c>
      <c r="C355" s="65">
        <f>INDEX(Parameter!$9:$9,,MATCH(9,Parameter!$8:$8,0))</f>
        <v>9</v>
      </c>
      <c r="D355" s="65">
        <f>INDEX(Parameter!$B$10:$AB$10,MATCH(C355,Parameter!$B$9:$AB$9,0))</f>
        <v>4</v>
      </c>
      <c r="E355" s="65">
        <f>COUNTIF(Data!$DY$90:$IB$90,Specials!C355)</f>
        <v>2</v>
      </c>
      <c r="F355" s="65">
        <f ca="1">OFFSET(Data!$CS$91,MATCH("M1",Data!$A$91:$A$190,0)-1,MATCH(C355,Data!$CS$90:$DS$90,0)-1)</f>
        <v>8</v>
      </c>
      <c r="G355" s="65">
        <f ca="1">OFFSET(Data!$CS$91,MATCH($B355,Data!$A$91:$A$190,0)-1,MATCH(C355,Data!$CS$90:$DS$90,0)-1)</f>
        <v>8</v>
      </c>
      <c r="H355" s="65">
        <f t="shared" ca="1" si="23"/>
        <v>0</v>
      </c>
      <c r="I355" s="65">
        <f t="array" ref="I355">SUM(IF(Data!$A$91:$A$190=$B355,Data!$J$91:$M$190))-SUM(IF(Data!$A$91:$A$190="M1",Data!$J$91:$M$190))</f>
        <v>7</v>
      </c>
      <c r="K355" s="65" t="str">
        <f>INDEX(Data!$DT$91:$DT$190,MATCH($B355,Data!$A$91:$A$190,0))</f>
        <v>Bernd Wender</v>
      </c>
      <c r="L355" s="65" t="str">
        <f t="shared" ca="1" si="24"/>
        <v>Best men took only 8 throws</v>
      </c>
      <c r="M355" s="65" t="s">
        <v>1</v>
      </c>
      <c r="N355" s="65" t="s">
        <v>255</v>
      </c>
      <c r="O355" s="65" t="e">
        <f t="shared" ca="1" si="25"/>
        <v>#VALUE!</v>
      </c>
      <c r="P355" s="65" t="str">
        <f t="shared" ca="1" si="26"/>
        <v/>
      </c>
    </row>
    <row r="356" spans="1:16" s="65" customFormat="1" hidden="1" x14ac:dyDescent="0.25">
      <c r="A356" s="65" t="s">
        <v>383</v>
      </c>
      <c r="B356" s="295" t="str">
        <f>IF(OR(AND(Parameter!$B$4=0,Parameter!$C$5="n"),INDEX(Data!$M$91:$M$190,MATCH("M4",Data!$A$91:$A$190,0))&gt;0,INDEX(Data!$N$91:$N$190,MATCH("M4",Data!$A$91:$A$190,0))&gt;0),"M4","M1")</f>
        <v>M4</v>
      </c>
      <c r="C356" s="65">
        <f>INDEX(Parameter!$9:$9,,MATCH(10,Parameter!$8:$8,0))</f>
        <v>10</v>
      </c>
      <c r="D356" s="65">
        <f>INDEX(Parameter!$B$10:$AB$10,MATCH(C356,Parameter!$B$9:$AB$9,0))</f>
        <v>4</v>
      </c>
      <c r="E356" s="65">
        <f>COUNTIF(Data!$DY$90:$IB$90,Specials!C356)</f>
        <v>2</v>
      </c>
      <c r="F356" s="65">
        <f ca="1">OFFSET(Data!$CS$91,MATCH("M1",Data!$A$91:$A$190,0)-1,MATCH(C356,Data!$CS$90:$DS$90,0)-1)</f>
        <v>7</v>
      </c>
      <c r="G356" s="65">
        <f ca="1">OFFSET(Data!$CS$91,MATCH($B356,Data!$A$91:$A$190,0)-1,MATCH(C356,Data!$CS$90:$DS$90,0)-1)</f>
        <v>8</v>
      </c>
      <c r="H356" s="65">
        <f t="shared" ca="1" si="23"/>
        <v>0</v>
      </c>
      <c r="I356" s="65">
        <f t="array" ref="I356">SUM(IF(Data!$A$91:$A$190=$B356,Data!$J$91:$M$190))-SUM(IF(Data!$A$91:$A$190="M1",Data!$J$91:$M$190))</f>
        <v>7</v>
      </c>
      <c r="K356" s="65" t="str">
        <f>INDEX(Data!$DT$91:$DT$190,MATCH($B356,Data!$A$91:$A$190,0))</f>
        <v>Bernd Wender</v>
      </c>
      <c r="L356" s="65" t="str">
        <f t="shared" ca="1" si="24"/>
        <v>Best men took only 7 throws</v>
      </c>
      <c r="M356" s="65" t="s">
        <v>1</v>
      </c>
      <c r="N356" s="65" t="s">
        <v>255</v>
      </c>
      <c r="O356" s="65" t="e">
        <f t="shared" ca="1" si="25"/>
        <v>#VALUE!</v>
      </c>
      <c r="P356" s="65" t="str">
        <f t="shared" ca="1" si="26"/>
        <v/>
      </c>
    </row>
    <row r="357" spans="1:16" s="65" customFormat="1" hidden="1" x14ac:dyDescent="0.25">
      <c r="A357" s="65" t="s">
        <v>383</v>
      </c>
      <c r="B357" s="295" t="str">
        <f>IF(OR(AND(Parameter!$B$4=0,Parameter!$C$5="n"),INDEX(Data!$M$91:$M$190,MATCH("M4",Data!$A$91:$A$190,0))&gt;0,INDEX(Data!$N$91:$N$190,MATCH("M4",Data!$A$91:$A$190,0))&gt;0),"M4","M1")</f>
        <v>M4</v>
      </c>
      <c r="C357" s="65">
        <f>INDEX(Parameter!$9:$9,,MATCH(11,Parameter!$8:$8,0))</f>
        <v>11</v>
      </c>
      <c r="D357" s="65">
        <f>INDEX(Parameter!$B$10:$AB$10,MATCH(C357,Parameter!$B$9:$AB$9,0))</f>
        <v>4</v>
      </c>
      <c r="E357" s="65">
        <f>COUNTIF(Data!$DY$90:$IB$90,Specials!C357)</f>
        <v>2</v>
      </c>
      <c r="F357" s="65">
        <f ca="1">OFFSET(Data!$CS$91,MATCH("M1",Data!$A$91:$A$190,0)-1,MATCH(C357,Data!$CS$90:$DS$90,0)-1)</f>
        <v>9</v>
      </c>
      <c r="G357" s="65">
        <f ca="1">OFFSET(Data!$CS$91,MATCH($B357,Data!$A$91:$A$190,0)-1,MATCH(C357,Data!$CS$90:$DS$90,0)-1)</f>
        <v>9</v>
      </c>
      <c r="H357" s="65">
        <f t="shared" ca="1" si="23"/>
        <v>0</v>
      </c>
      <c r="I357" s="65">
        <f t="array" ref="I357">SUM(IF(Data!$A$91:$A$190=$B357,Data!$J$91:$M$190))-SUM(IF(Data!$A$91:$A$190="M1",Data!$J$91:$M$190))</f>
        <v>7</v>
      </c>
      <c r="K357" s="65" t="str">
        <f>INDEX(Data!$DT$91:$DT$190,MATCH($B357,Data!$A$91:$A$190,0))</f>
        <v>Bernd Wender</v>
      </c>
      <c r="L357" s="65" t="str">
        <f t="shared" ca="1" si="24"/>
        <v>Best men took only 9 throws</v>
      </c>
      <c r="M357" s="65" t="s">
        <v>1</v>
      </c>
      <c r="N357" s="65" t="s">
        <v>255</v>
      </c>
      <c r="O357" s="65" t="e">
        <f t="shared" ca="1" si="25"/>
        <v>#VALUE!</v>
      </c>
      <c r="P357" s="65" t="str">
        <f t="shared" ref="P357:P388" ca="1" si="27">IF(H357&gt;0,"On hole "&amp;C357&amp;" (par "&amp;D357&amp;") "&amp;K357&amp;" took "&amp;G357&amp;" throws in total ("&amp;$E357&amp;" rounds)","")</f>
        <v/>
      </c>
    </row>
    <row r="358" spans="1:16" s="65" customFormat="1" hidden="1" x14ac:dyDescent="0.25">
      <c r="A358" s="65" t="s">
        <v>383</v>
      </c>
      <c r="B358" s="295" t="str">
        <f>IF(OR(AND(Parameter!$B$4=0,Parameter!$C$5="n"),INDEX(Data!$M$91:$M$190,MATCH("M4",Data!$A$91:$A$190,0))&gt;0,INDEX(Data!$N$91:$N$190,MATCH("M4",Data!$A$91:$A$190,0))&gt;0),"M4","M1")</f>
        <v>M4</v>
      </c>
      <c r="C358" s="65" t="str">
        <f>INDEX(Parameter!$9:$9,,MATCH(12,Parameter!$8:$8,0))</f>
        <v>11b</v>
      </c>
      <c r="D358" s="65">
        <f>INDEX(Parameter!$B$10:$AB$10,MATCH(C358,Parameter!$B$9:$AB$9,0))</f>
        <v>3</v>
      </c>
      <c r="E358" s="65">
        <f>COUNTIF(Data!$DY$90:$IB$90,Specials!C358)</f>
        <v>2</v>
      </c>
      <c r="F358" s="65">
        <f ca="1">OFFSET(Data!$CS$91,MATCH("M1",Data!$A$91:$A$190,0)-1,MATCH(C358,Data!$CS$90:$DS$90,0)-1)</f>
        <v>5</v>
      </c>
      <c r="G358" s="65">
        <f ca="1">OFFSET(Data!$CS$91,MATCH($B358,Data!$A$91:$A$190,0)-1,MATCH(C358,Data!$CS$90:$DS$90,0)-1)</f>
        <v>8</v>
      </c>
      <c r="H358" s="65">
        <f t="shared" ref="H358:H400" ca="1" si="28">IF(AND(G358-F358&gt;=E358*1,G358-F358&lt;E358*2,G358-F358&gt;=3,G358-F358&gt;=I358-1),1,0)</f>
        <v>0</v>
      </c>
      <c r="I358" s="65">
        <f t="array" ref="I358">SUM(IF(Data!$A$91:$A$190=$B358,Data!$J$91:$M$190))-SUM(IF(Data!$A$91:$A$190="M1",Data!$J$91:$M$190))</f>
        <v>7</v>
      </c>
      <c r="K358" s="65" t="str">
        <f>INDEX(Data!$DT$91:$DT$190,MATCH($B358,Data!$A$91:$A$190,0))</f>
        <v>Bernd Wender</v>
      </c>
      <c r="L358" s="65" t="str">
        <f t="shared" ref="L358:L400" ca="1" si="29">"Best men took only "&amp;F358&amp;" throws"</f>
        <v>Best men took only 5 throws</v>
      </c>
      <c r="M358" s="65" t="s">
        <v>1</v>
      </c>
      <c r="N358" s="65" t="s">
        <v>255</v>
      </c>
      <c r="O358" s="65" t="e">
        <f t="shared" ca="1" si="25"/>
        <v>#VALUE!</v>
      </c>
      <c r="P358" s="65" t="str">
        <f t="shared" ca="1" si="27"/>
        <v/>
      </c>
    </row>
    <row r="359" spans="1:16" s="65" customFormat="1" hidden="1" x14ac:dyDescent="0.25">
      <c r="A359" s="65" t="s">
        <v>383</v>
      </c>
      <c r="B359" s="295" t="str">
        <f>IF(OR(AND(Parameter!$B$4=0,Parameter!$C$5="n"),INDEX(Data!$M$91:$M$190,MATCH("M4",Data!$A$91:$A$190,0))&gt;0,INDEX(Data!$N$91:$N$190,MATCH("M4",Data!$A$91:$A$190,0))&gt;0),"M4","M1")</f>
        <v>M4</v>
      </c>
      <c r="C359" s="65">
        <f>INDEX(Parameter!$9:$9,,MATCH(13,Parameter!$8:$8,0))</f>
        <v>12</v>
      </c>
      <c r="D359" s="65">
        <f>INDEX(Parameter!$B$10:$AB$10,MATCH(C359,Parameter!$B$9:$AB$9,0))</f>
        <v>3</v>
      </c>
      <c r="E359" s="65">
        <f>COUNTIF(Data!$DY$90:$IB$90,Specials!C359)</f>
        <v>2</v>
      </c>
      <c r="F359" s="65">
        <f ca="1">OFFSET(Data!$CS$91,MATCH("M1",Data!$A$91:$A$190,0)-1,MATCH(C359,Data!$CS$90:$DS$90,0)-1)</f>
        <v>5</v>
      </c>
      <c r="G359" s="65">
        <f ca="1">OFFSET(Data!$CS$91,MATCH($B359,Data!$A$91:$A$190,0)-1,MATCH(C359,Data!$CS$90:$DS$90,0)-1)</f>
        <v>5</v>
      </c>
      <c r="H359" s="65">
        <f t="shared" ca="1" si="28"/>
        <v>0</v>
      </c>
      <c r="I359" s="65">
        <f t="array" ref="I359">SUM(IF(Data!$A$91:$A$190=$B359,Data!$J$91:$M$190))-SUM(IF(Data!$A$91:$A$190="M1",Data!$J$91:$M$190))</f>
        <v>7</v>
      </c>
      <c r="K359" s="65" t="str">
        <f>INDEX(Data!$DT$91:$DT$190,MATCH($B359,Data!$A$91:$A$190,0))</f>
        <v>Bernd Wender</v>
      </c>
      <c r="L359" s="65" t="str">
        <f t="shared" ca="1" si="29"/>
        <v>Best men took only 5 throws</v>
      </c>
      <c r="M359" s="65" t="s">
        <v>1</v>
      </c>
      <c r="N359" s="65" t="s">
        <v>255</v>
      </c>
      <c r="O359" s="65" t="e">
        <f t="shared" ca="1" si="25"/>
        <v>#VALUE!</v>
      </c>
      <c r="P359" s="65" t="str">
        <f t="shared" ca="1" si="27"/>
        <v/>
      </c>
    </row>
    <row r="360" spans="1:16" s="65" customFormat="1" hidden="1" x14ac:dyDescent="0.25">
      <c r="A360" s="65" t="s">
        <v>383</v>
      </c>
      <c r="B360" s="295" t="str">
        <f>IF(OR(AND(Parameter!$B$4=0,Parameter!$C$5="n"),INDEX(Data!$M$91:$M$190,MATCH("M4",Data!$A$91:$A$190,0))&gt;0,INDEX(Data!$N$91:$N$190,MATCH("M4",Data!$A$91:$A$190,0))&gt;0),"M4","M1")</f>
        <v>M4</v>
      </c>
      <c r="C360" s="65">
        <f>INDEX(Parameter!$9:$9,,MATCH(14,Parameter!$8:$8,0))</f>
        <v>13</v>
      </c>
      <c r="D360" s="65">
        <f>INDEX(Parameter!$B$10:$AB$10,MATCH(C360,Parameter!$B$9:$AB$9,0))</f>
        <v>3</v>
      </c>
      <c r="E360" s="65">
        <f>COUNTIF(Data!$DY$90:$IB$90,Specials!C360)</f>
        <v>2</v>
      </c>
      <c r="F360" s="65">
        <f ca="1">OFFSET(Data!$CS$91,MATCH("M1",Data!$A$91:$A$190,0)-1,MATCH(C360,Data!$CS$90:$DS$90,0)-1)</f>
        <v>6</v>
      </c>
      <c r="G360" s="65">
        <f ca="1">OFFSET(Data!$CS$91,MATCH($B360,Data!$A$91:$A$190,0)-1,MATCH(C360,Data!$CS$90:$DS$90,0)-1)</f>
        <v>6</v>
      </c>
      <c r="H360" s="65">
        <f t="shared" ca="1" si="28"/>
        <v>0</v>
      </c>
      <c r="I360" s="65">
        <f t="array" ref="I360">SUM(IF(Data!$A$91:$A$190=$B360,Data!$J$91:$M$190))-SUM(IF(Data!$A$91:$A$190="M1",Data!$J$91:$M$190))</f>
        <v>7</v>
      </c>
      <c r="K360" s="65" t="str">
        <f>INDEX(Data!$DT$91:$DT$190,MATCH($B360,Data!$A$91:$A$190,0))</f>
        <v>Bernd Wender</v>
      </c>
      <c r="L360" s="65" t="str">
        <f t="shared" ca="1" si="29"/>
        <v>Best men took only 6 throws</v>
      </c>
      <c r="M360" s="65" t="s">
        <v>1</v>
      </c>
      <c r="N360" s="65" t="s">
        <v>255</v>
      </c>
      <c r="O360" s="65" t="e">
        <f t="shared" ca="1" si="25"/>
        <v>#VALUE!</v>
      </c>
      <c r="P360" s="65" t="str">
        <f t="shared" ca="1" si="27"/>
        <v/>
      </c>
    </row>
    <row r="361" spans="1:16" s="65" customFormat="1" hidden="1" x14ac:dyDescent="0.25">
      <c r="A361" s="65" t="s">
        <v>383</v>
      </c>
      <c r="B361" s="295" t="str">
        <f>IF(OR(AND(Parameter!$B$4=0,Parameter!$C$5="n"),INDEX(Data!$M$91:$M$190,MATCH("M4",Data!$A$91:$A$190,0))&gt;0,INDEX(Data!$N$91:$N$190,MATCH("M4",Data!$A$91:$A$190,0))&gt;0),"M4","M1")</f>
        <v>M4</v>
      </c>
      <c r="C361" s="65">
        <f>INDEX(Parameter!$9:$9,,MATCH(15,Parameter!$8:$8,0))</f>
        <v>14</v>
      </c>
      <c r="D361" s="65">
        <f>INDEX(Parameter!$B$10:$AB$10,MATCH(C361,Parameter!$B$9:$AB$9,0))</f>
        <v>3</v>
      </c>
      <c r="E361" s="65">
        <f>COUNTIF(Data!$DY$90:$IB$90,Specials!C361)</f>
        <v>2</v>
      </c>
      <c r="F361" s="65">
        <f ca="1">OFFSET(Data!$CS$91,MATCH("M1",Data!$A$91:$A$190,0)-1,MATCH(C361,Data!$CS$90:$DS$90,0)-1)</f>
        <v>7</v>
      </c>
      <c r="G361" s="65">
        <f ca="1">OFFSET(Data!$CS$91,MATCH($B361,Data!$A$91:$A$190,0)-1,MATCH(C361,Data!$CS$90:$DS$90,0)-1)</f>
        <v>8</v>
      </c>
      <c r="H361" s="65">
        <f t="shared" ca="1" si="28"/>
        <v>0</v>
      </c>
      <c r="I361" s="65">
        <f t="array" ref="I361">SUM(IF(Data!$A$91:$A$190=$B361,Data!$J$91:$M$190))-SUM(IF(Data!$A$91:$A$190="M1",Data!$J$91:$M$190))</f>
        <v>7</v>
      </c>
      <c r="K361" s="65" t="str">
        <f>INDEX(Data!$DT$91:$DT$190,MATCH($B361,Data!$A$91:$A$190,0))</f>
        <v>Bernd Wender</v>
      </c>
      <c r="L361" s="65" t="str">
        <f t="shared" ca="1" si="29"/>
        <v>Best men took only 7 throws</v>
      </c>
      <c r="M361" s="65" t="s">
        <v>1</v>
      </c>
      <c r="N361" s="65" t="s">
        <v>255</v>
      </c>
      <c r="O361" s="65" t="e">
        <f t="shared" ca="1" si="25"/>
        <v>#VALUE!</v>
      </c>
      <c r="P361" s="65" t="str">
        <f t="shared" ca="1" si="27"/>
        <v/>
      </c>
    </row>
    <row r="362" spans="1:16" s="65" customFormat="1" hidden="1" x14ac:dyDescent="0.25">
      <c r="A362" s="65" t="s">
        <v>383</v>
      </c>
      <c r="B362" s="295" t="str">
        <f>IF(OR(AND(Parameter!$B$4=0,Parameter!$C$5="n"),INDEX(Data!$M$91:$M$190,MATCH("M4",Data!$A$91:$A$190,0))&gt;0,INDEX(Data!$N$91:$N$190,MATCH("M4",Data!$A$91:$A$190,0))&gt;0),"M4","M1")</f>
        <v>M4</v>
      </c>
      <c r="C362" s="65">
        <f>INDEX(Parameter!$9:$9,,MATCH(16,Parameter!$8:$8,0))</f>
        <v>15</v>
      </c>
      <c r="D362" s="65">
        <f>INDEX(Parameter!$B$10:$AB$10,MATCH(C362,Parameter!$B$9:$AB$9,0))</f>
        <v>3</v>
      </c>
      <c r="E362" s="65">
        <f>COUNTIF(Data!$DY$90:$IB$90,Specials!C362)</f>
        <v>2</v>
      </c>
      <c r="F362" s="65">
        <f ca="1">OFFSET(Data!$CS$91,MATCH("M1",Data!$A$91:$A$190,0)-1,MATCH(C362,Data!$CS$90:$DS$90,0)-1)</f>
        <v>6</v>
      </c>
      <c r="G362" s="65">
        <f ca="1">OFFSET(Data!$CS$91,MATCH($B362,Data!$A$91:$A$190,0)-1,MATCH(C362,Data!$CS$90:$DS$90,0)-1)</f>
        <v>5</v>
      </c>
      <c r="H362" s="65">
        <f t="shared" ca="1" si="28"/>
        <v>0</v>
      </c>
      <c r="I362" s="65">
        <f t="array" ref="I362">SUM(IF(Data!$A$91:$A$190=$B362,Data!$J$91:$M$190))-SUM(IF(Data!$A$91:$A$190="M1",Data!$J$91:$M$190))</f>
        <v>7</v>
      </c>
      <c r="K362" s="65" t="str">
        <f>INDEX(Data!$DT$91:$DT$190,MATCH($B362,Data!$A$91:$A$190,0))</f>
        <v>Bernd Wender</v>
      </c>
      <c r="L362" s="65" t="str">
        <f t="shared" ca="1" si="29"/>
        <v>Best men took only 6 throws</v>
      </c>
      <c r="M362" s="65" t="s">
        <v>1</v>
      </c>
      <c r="N362" s="65" t="s">
        <v>255</v>
      </c>
      <c r="O362" s="65" t="e">
        <f t="shared" ca="1" si="25"/>
        <v>#VALUE!</v>
      </c>
      <c r="P362" s="65" t="str">
        <f t="shared" ca="1" si="27"/>
        <v/>
      </c>
    </row>
    <row r="363" spans="1:16" s="65" customFormat="1" hidden="1" x14ac:dyDescent="0.25">
      <c r="A363" s="65" t="s">
        <v>383</v>
      </c>
      <c r="B363" s="295" t="str">
        <f>IF(OR(AND(Parameter!$B$4=0,Parameter!$C$5="n"),INDEX(Data!$M$91:$M$190,MATCH("M4",Data!$A$91:$A$190,0))&gt;0,INDEX(Data!$N$91:$N$190,MATCH("M4",Data!$A$91:$A$190,0))&gt;0),"M4","M1")</f>
        <v>M4</v>
      </c>
      <c r="C363" s="65">
        <f>INDEX(Parameter!$9:$9,,MATCH(17,Parameter!$8:$8,0))</f>
        <v>16</v>
      </c>
      <c r="D363" s="65">
        <f>INDEX(Parameter!$B$10:$AB$10,MATCH(C363,Parameter!$B$9:$AB$9,0))</f>
        <v>3</v>
      </c>
      <c r="E363" s="65">
        <f>COUNTIF(Data!$DY$90:$IB$90,Specials!C363)</f>
        <v>2</v>
      </c>
      <c r="F363" s="65">
        <f ca="1">OFFSET(Data!$CS$91,MATCH("M1",Data!$A$91:$A$190,0)-1,MATCH(C363,Data!$CS$90:$DS$90,0)-1)</f>
        <v>4</v>
      </c>
      <c r="G363" s="65">
        <f ca="1">OFFSET(Data!$CS$91,MATCH($B363,Data!$A$91:$A$190,0)-1,MATCH(C363,Data!$CS$90:$DS$90,0)-1)</f>
        <v>5</v>
      </c>
      <c r="H363" s="65">
        <f t="shared" ca="1" si="28"/>
        <v>0</v>
      </c>
      <c r="I363" s="65">
        <f t="array" ref="I363">SUM(IF(Data!$A$91:$A$190=$B363,Data!$J$91:$M$190))-SUM(IF(Data!$A$91:$A$190="M1",Data!$J$91:$M$190))</f>
        <v>7</v>
      </c>
      <c r="K363" s="65" t="str">
        <f>INDEX(Data!$DT$91:$DT$190,MATCH($B363,Data!$A$91:$A$190,0))</f>
        <v>Bernd Wender</v>
      </c>
      <c r="L363" s="65" t="str">
        <f t="shared" ca="1" si="29"/>
        <v>Best men took only 4 throws</v>
      </c>
      <c r="M363" s="65" t="s">
        <v>1</v>
      </c>
      <c r="N363" s="65" t="s">
        <v>255</v>
      </c>
      <c r="O363" s="65" t="e">
        <f t="shared" ca="1" si="25"/>
        <v>#VALUE!</v>
      </c>
      <c r="P363" s="65" t="str">
        <f t="shared" ca="1" si="27"/>
        <v/>
      </c>
    </row>
    <row r="364" spans="1:16" s="65" customFormat="1" hidden="1" x14ac:dyDescent="0.25">
      <c r="A364" s="65" t="s">
        <v>383</v>
      </c>
      <c r="B364" s="295" t="str">
        <f>IF(OR(AND(Parameter!$B$4=0,Parameter!$C$5="n"),INDEX(Data!$M$91:$M$190,MATCH("M4",Data!$A$91:$A$190,0))&gt;0,INDEX(Data!$N$91:$N$190,MATCH("M4",Data!$A$91:$A$190,0))&gt;0),"M4","M1")</f>
        <v>M4</v>
      </c>
      <c r="C364" s="65">
        <f>INDEX(Parameter!$9:$9,,MATCH(18,Parameter!$8:$8,0))</f>
        <v>17</v>
      </c>
      <c r="D364" s="65">
        <f>INDEX(Parameter!$B$10:$AB$10,MATCH(C364,Parameter!$B$9:$AB$9,0))</f>
        <v>3</v>
      </c>
      <c r="E364" s="65">
        <f>COUNTIF(Data!$DY$90:$IB$90,Specials!C364)</f>
        <v>2</v>
      </c>
      <c r="F364" s="65">
        <f ca="1">OFFSET(Data!$CS$91,MATCH("M1",Data!$A$91:$A$190,0)-1,MATCH(C364,Data!$CS$90:$DS$90,0)-1)</f>
        <v>5</v>
      </c>
      <c r="G364" s="65">
        <f ca="1">OFFSET(Data!$CS$91,MATCH($B364,Data!$A$91:$A$190,0)-1,MATCH(C364,Data!$CS$90:$DS$90,0)-1)</f>
        <v>5</v>
      </c>
      <c r="H364" s="65">
        <f t="shared" ca="1" si="28"/>
        <v>0</v>
      </c>
      <c r="I364" s="65">
        <f t="array" ref="I364">SUM(IF(Data!$A$91:$A$190=$B364,Data!$J$91:$M$190))-SUM(IF(Data!$A$91:$A$190="M1",Data!$J$91:$M$190))</f>
        <v>7</v>
      </c>
      <c r="K364" s="65" t="str">
        <f>INDEX(Data!$DT$91:$DT$190,MATCH($B364,Data!$A$91:$A$190,0))</f>
        <v>Bernd Wender</v>
      </c>
      <c r="L364" s="65" t="str">
        <f t="shared" ca="1" si="29"/>
        <v>Best men took only 5 throws</v>
      </c>
      <c r="M364" s="65" t="s">
        <v>1</v>
      </c>
      <c r="N364" s="65" t="s">
        <v>255</v>
      </c>
      <c r="O364" s="65" t="e">
        <f t="shared" ca="1" si="25"/>
        <v>#VALUE!</v>
      </c>
      <c r="P364" s="65" t="str">
        <f t="shared" ca="1" si="27"/>
        <v/>
      </c>
    </row>
    <row r="365" spans="1:16" s="65" customFormat="1" hidden="1" x14ac:dyDescent="0.25">
      <c r="A365" s="65" t="s">
        <v>383</v>
      </c>
      <c r="B365" s="295" t="str">
        <f>IF(OR(AND(Parameter!$B$4=0,Parameter!$C$5="n"),INDEX(Data!$M$91:$M$190,MATCH("M4",Data!$A$91:$A$190,0))&gt;0,INDEX(Data!$N$91:$N$190,MATCH("M4",Data!$A$91:$A$190,0))&gt;0),"M4","M1")</f>
        <v>M4</v>
      </c>
      <c r="C365" s="65">
        <f>INDEX(Parameter!$9:$9,,MATCH(19,Parameter!$8:$8,0))</f>
        <v>18</v>
      </c>
      <c r="D365" s="65">
        <f>INDEX(Parameter!$B$10:$AB$10,MATCH(C365,Parameter!$B$9:$AB$9,0))</f>
        <v>3</v>
      </c>
      <c r="E365" s="65">
        <f>COUNTIF(Data!$DY$90:$IB$90,Specials!C365)</f>
        <v>2</v>
      </c>
      <c r="F365" s="65">
        <f ca="1">OFFSET(Data!$CS$91,MATCH("M1",Data!$A$91:$A$190,0)-1,MATCH(C365,Data!$CS$90:$DS$90,0)-1)</f>
        <v>6</v>
      </c>
      <c r="G365" s="65">
        <f ca="1">OFFSET(Data!$CS$91,MATCH($B365,Data!$A$91:$A$190,0)-1,MATCH(C365,Data!$CS$90:$DS$90,0)-1)</f>
        <v>7</v>
      </c>
      <c r="H365" s="65">
        <f t="shared" ca="1" si="28"/>
        <v>0</v>
      </c>
      <c r="I365" s="65">
        <f t="array" ref="I365">SUM(IF(Data!$A$91:$A$190=$B365,Data!$J$91:$M$190))-SUM(IF(Data!$A$91:$A$190="M1",Data!$J$91:$M$190))</f>
        <v>7</v>
      </c>
      <c r="K365" s="65" t="str">
        <f>INDEX(Data!$DT$91:$DT$190,MATCH($B365,Data!$A$91:$A$190,0))</f>
        <v>Bernd Wender</v>
      </c>
      <c r="L365" s="65" t="str">
        <f t="shared" ca="1" si="29"/>
        <v>Best men took only 6 throws</v>
      </c>
      <c r="M365" s="65" t="s">
        <v>1</v>
      </c>
      <c r="N365" s="65" t="s">
        <v>255</v>
      </c>
      <c r="O365" s="65" t="e">
        <f t="shared" ca="1" si="25"/>
        <v>#VALUE!</v>
      </c>
      <c r="P365" s="65" t="str">
        <f t="shared" ca="1" si="27"/>
        <v/>
      </c>
    </row>
    <row r="366" spans="1:16" s="65" customFormat="1" hidden="1" x14ac:dyDescent="0.25">
      <c r="A366" s="65" t="s">
        <v>383</v>
      </c>
      <c r="B366" s="295" t="str">
        <f>IF(OR(AND(Parameter!$B$4=0,Parameter!$C$5="n"),INDEX(Data!$M$91:$M$190,MATCH("M4",Data!$A$91:$A$190,0))&gt;0,INDEX(Data!$N$91:$N$190,MATCH("M4",Data!$A$91:$A$190,0))&gt;0),"M4","M1")</f>
        <v>M4</v>
      </c>
      <c r="C366" s="65">
        <f>INDEX(Parameter!$9:$9,,MATCH(20,Parameter!$8:$8,0))</f>
        <v>20</v>
      </c>
      <c r="D366" s="65" t="str">
        <f>INDEX(Parameter!$B$10:$AB$10,MATCH(C366,Parameter!$B$9:$AB$9,0))</f>
        <v>no</v>
      </c>
      <c r="E366" s="65">
        <f>COUNTIF(Data!$DY$90:$IB$90,Specials!C366)</f>
        <v>0</v>
      </c>
      <c r="F366" s="65">
        <f ca="1">OFFSET(Data!$CS$91,MATCH("M1",Data!$A$91:$A$190,0)-1,MATCH(C366,Data!$CS$90:$DS$90,0)-1)</f>
        <v>0</v>
      </c>
      <c r="G366" s="65">
        <f ca="1">OFFSET(Data!$CS$91,MATCH($B366,Data!$A$91:$A$190,0)-1,MATCH(C366,Data!$CS$90:$DS$90,0)-1)</f>
        <v>0</v>
      </c>
      <c r="H366" s="65">
        <f t="shared" ca="1" si="28"/>
        <v>0</v>
      </c>
      <c r="I366" s="65">
        <f t="array" ref="I366">SUM(IF(Data!$A$91:$A$190=$B366,Data!$J$91:$M$190))-SUM(IF(Data!$A$91:$A$190="M1",Data!$J$91:$M$190))</f>
        <v>7</v>
      </c>
      <c r="K366" s="65" t="str">
        <f>INDEX(Data!$DT$91:$DT$190,MATCH($B366,Data!$A$91:$A$190,0))</f>
        <v>Bernd Wender</v>
      </c>
      <c r="L366" s="65" t="str">
        <f t="shared" ca="1" si="29"/>
        <v>Best men took only 0 throws</v>
      </c>
      <c r="M366" s="65" t="s">
        <v>1</v>
      </c>
      <c r="N366" s="65" t="s">
        <v>255</v>
      </c>
      <c r="O366" s="65" t="e">
        <f t="shared" ca="1" si="25"/>
        <v>#VALUE!</v>
      </c>
      <c r="P366" s="65" t="str">
        <f t="shared" ca="1" si="27"/>
        <v/>
      </c>
    </row>
    <row r="367" spans="1:16" s="65" customFormat="1" hidden="1" x14ac:dyDescent="0.25">
      <c r="A367" s="65" t="s">
        <v>383</v>
      </c>
      <c r="B367" s="295" t="str">
        <f>IF(OR(AND(Parameter!$B$4=0,Parameter!$C$5="n"),INDEX(Data!$M$91:$M$190,MATCH("M4",Data!$A$91:$A$190,0))&gt;0,INDEX(Data!$N$91:$N$190,MATCH("M4",Data!$A$91:$A$190,0))&gt;0),"M4","M1")</f>
        <v>M4</v>
      </c>
      <c r="C367" s="65">
        <f>INDEX(Parameter!$9:$9,,MATCH(21,Parameter!$8:$8,0))</f>
        <v>21</v>
      </c>
      <c r="D367" s="65" t="str">
        <f>INDEX(Parameter!$B$10:$AB$10,MATCH(C367,Parameter!$B$9:$AB$9,0))</f>
        <v>no</v>
      </c>
      <c r="E367" s="65">
        <f>COUNTIF(Data!$DY$90:$IB$90,Specials!C367)</f>
        <v>0</v>
      </c>
      <c r="F367" s="65">
        <f ca="1">OFFSET(Data!$CS$91,MATCH("M1",Data!$A$91:$A$190,0)-1,MATCH(C367,Data!$CS$90:$DS$90,0)-1)</f>
        <v>0</v>
      </c>
      <c r="G367" s="65">
        <f ca="1">OFFSET(Data!$CS$91,MATCH($B367,Data!$A$91:$A$190,0)-1,MATCH(C367,Data!$CS$90:$DS$90,0)-1)</f>
        <v>0</v>
      </c>
      <c r="H367" s="65">
        <f t="shared" ca="1" si="28"/>
        <v>0</v>
      </c>
      <c r="I367" s="65">
        <f t="array" ref="I367">SUM(IF(Data!$A$91:$A$190=$B367,Data!$J$91:$M$190))-SUM(IF(Data!$A$91:$A$190="M1",Data!$J$91:$M$190))</f>
        <v>7</v>
      </c>
      <c r="K367" s="65" t="str">
        <f>INDEX(Data!$DT$91:$DT$190,MATCH($B367,Data!$A$91:$A$190,0))</f>
        <v>Bernd Wender</v>
      </c>
      <c r="L367" s="65" t="str">
        <f t="shared" ca="1" si="29"/>
        <v>Best men took only 0 throws</v>
      </c>
      <c r="M367" s="65" t="s">
        <v>1</v>
      </c>
      <c r="N367" s="65" t="s">
        <v>255</v>
      </c>
      <c r="O367" s="65" t="e">
        <f t="shared" ca="1" si="25"/>
        <v>#VALUE!</v>
      </c>
      <c r="P367" s="65" t="str">
        <f t="shared" ca="1" si="27"/>
        <v/>
      </c>
    </row>
    <row r="368" spans="1:16" s="65" customFormat="1" hidden="1" x14ac:dyDescent="0.25">
      <c r="A368" s="65" t="s">
        <v>383</v>
      </c>
      <c r="B368" s="295" t="str">
        <f>IF(OR(AND(Parameter!$B$4=0,Parameter!$C$5="n"),INDEX(Data!$M$91:$M$190,MATCH("M4",Data!$A$91:$A$190,0))&gt;0,INDEX(Data!$N$91:$N$190,MATCH("M4",Data!$A$91:$A$190,0))&gt;0),"M4","M1")</f>
        <v>M4</v>
      </c>
      <c r="C368" s="65">
        <f>INDEX(Parameter!$9:$9,,MATCH(22,Parameter!$8:$8,0))</f>
        <v>22</v>
      </c>
      <c r="D368" s="65" t="str">
        <f>INDEX(Parameter!$B$10:$AB$10,MATCH(C368,Parameter!$B$9:$AB$9,0))</f>
        <v>no</v>
      </c>
      <c r="E368" s="65">
        <f>COUNTIF(Data!$DY$90:$IB$90,Specials!C368)</f>
        <v>0</v>
      </c>
      <c r="F368" s="65">
        <f ca="1">OFFSET(Data!$CS$91,MATCH("M1",Data!$A$91:$A$190,0)-1,MATCH(C368,Data!$CS$90:$DS$90,0)-1)</f>
        <v>0</v>
      </c>
      <c r="G368" s="65">
        <f ca="1">OFFSET(Data!$CS$91,MATCH($B368,Data!$A$91:$A$190,0)-1,MATCH(C368,Data!$CS$90:$DS$90,0)-1)</f>
        <v>0</v>
      </c>
      <c r="H368" s="65">
        <f t="shared" ca="1" si="28"/>
        <v>0</v>
      </c>
      <c r="I368" s="65">
        <f t="array" ref="I368">SUM(IF(Data!$A$91:$A$190=$B368,Data!$J$91:$M$190))-SUM(IF(Data!$A$91:$A$190="M1",Data!$J$91:$M$190))</f>
        <v>7</v>
      </c>
      <c r="K368" s="65" t="str">
        <f>INDEX(Data!$DT$91:$DT$190,MATCH($B368,Data!$A$91:$A$190,0))</f>
        <v>Bernd Wender</v>
      </c>
      <c r="L368" s="65" t="str">
        <f t="shared" ca="1" si="29"/>
        <v>Best men took only 0 throws</v>
      </c>
      <c r="M368" s="65" t="s">
        <v>1</v>
      </c>
      <c r="N368" s="65" t="s">
        <v>255</v>
      </c>
      <c r="O368" s="65" t="e">
        <f t="shared" ca="1" si="25"/>
        <v>#VALUE!</v>
      </c>
      <c r="P368" s="65" t="str">
        <f t="shared" ca="1" si="27"/>
        <v/>
      </c>
    </row>
    <row r="369" spans="1:16" s="65" customFormat="1" hidden="1" x14ac:dyDescent="0.25">
      <c r="A369" s="65" t="s">
        <v>383</v>
      </c>
      <c r="B369" s="295" t="str">
        <f>IF(OR(AND(Parameter!$B$4=0,Parameter!$C$5="n"),INDEX(Data!$M$91:$M$190,MATCH("M4",Data!$A$91:$A$190,0))&gt;0,INDEX(Data!$N$91:$N$190,MATCH("M4",Data!$A$91:$A$190,0))&gt;0),"M4","M1")</f>
        <v>M4</v>
      </c>
      <c r="C369" s="65">
        <f>INDEX(Parameter!$9:$9,,MATCH(23,Parameter!$8:$8,0))</f>
        <v>23</v>
      </c>
      <c r="D369" s="65" t="str">
        <f>INDEX(Parameter!$B$10:$AB$10,MATCH(C369,Parameter!$B$9:$AB$9,0))</f>
        <v>no</v>
      </c>
      <c r="E369" s="65">
        <f>COUNTIF(Data!$DY$90:$IB$90,Specials!C369)</f>
        <v>0</v>
      </c>
      <c r="F369" s="65">
        <f ca="1">OFFSET(Data!$CS$91,MATCH("M1",Data!$A$91:$A$190,0)-1,MATCH(C369,Data!$CS$90:$DS$90,0)-1)</f>
        <v>0</v>
      </c>
      <c r="G369" s="65">
        <f ca="1">OFFSET(Data!$CS$91,MATCH($B369,Data!$A$91:$A$190,0)-1,MATCH(C369,Data!$CS$90:$DS$90,0)-1)</f>
        <v>0</v>
      </c>
      <c r="H369" s="65">
        <f t="shared" ca="1" si="28"/>
        <v>0</v>
      </c>
      <c r="I369" s="65">
        <f t="array" ref="I369">SUM(IF(Data!$A$91:$A$190=$B369,Data!$J$91:$M$190))-SUM(IF(Data!$A$91:$A$190="M1",Data!$J$91:$M$190))</f>
        <v>7</v>
      </c>
      <c r="K369" s="65" t="str">
        <f>INDEX(Data!$DT$91:$DT$190,MATCH($B369,Data!$A$91:$A$190,0))</f>
        <v>Bernd Wender</v>
      </c>
      <c r="L369" s="65" t="str">
        <f t="shared" ca="1" si="29"/>
        <v>Best men took only 0 throws</v>
      </c>
      <c r="M369" s="65" t="s">
        <v>1</v>
      </c>
      <c r="N369" s="65" t="s">
        <v>255</v>
      </c>
      <c r="O369" s="65" t="e">
        <f t="shared" ca="1" si="25"/>
        <v>#VALUE!</v>
      </c>
      <c r="P369" s="65" t="str">
        <f t="shared" ca="1" si="27"/>
        <v/>
      </c>
    </row>
    <row r="370" spans="1:16" s="65" customFormat="1" hidden="1" x14ac:dyDescent="0.25">
      <c r="A370" s="65" t="s">
        <v>383</v>
      </c>
      <c r="B370" s="295" t="str">
        <f>IF(OR(AND(Parameter!$B$4=0,Parameter!$C$5="n"),INDEX(Data!$M$91:$M$190,MATCH("M4",Data!$A$91:$A$190,0))&gt;0,INDEX(Data!$N$91:$N$190,MATCH("M4",Data!$A$91:$A$190,0))&gt;0),"M4","M1")</f>
        <v>M4</v>
      </c>
      <c r="C370" s="65">
        <f>INDEX(Parameter!$9:$9,,MATCH(24,Parameter!$8:$8,0))</f>
        <v>24</v>
      </c>
      <c r="D370" s="65" t="str">
        <f>INDEX(Parameter!$B$10:$AB$10,MATCH(C370,Parameter!$B$9:$AB$9,0))</f>
        <v>no</v>
      </c>
      <c r="E370" s="65">
        <f>COUNTIF(Data!$DY$90:$IB$90,Specials!C370)</f>
        <v>0</v>
      </c>
      <c r="F370" s="65">
        <f ca="1">OFFSET(Data!$CS$91,MATCH("M1",Data!$A$91:$A$190,0)-1,MATCH(C370,Data!$CS$90:$DS$90,0)-1)</f>
        <v>0</v>
      </c>
      <c r="G370" s="65">
        <f ca="1">OFFSET(Data!$CS$91,MATCH($B370,Data!$A$91:$A$190,0)-1,MATCH(C370,Data!$CS$90:$DS$90,0)-1)</f>
        <v>0</v>
      </c>
      <c r="H370" s="65">
        <f t="shared" ca="1" si="28"/>
        <v>0</v>
      </c>
      <c r="I370" s="65">
        <f t="array" ref="I370">SUM(IF(Data!$A$91:$A$190=$B370,Data!$J$91:$M$190))-SUM(IF(Data!$A$91:$A$190="M1",Data!$J$91:$M$190))</f>
        <v>7</v>
      </c>
      <c r="K370" s="65" t="str">
        <f>INDEX(Data!$DT$91:$DT$190,MATCH($B370,Data!$A$91:$A$190,0))</f>
        <v>Bernd Wender</v>
      </c>
      <c r="L370" s="65" t="str">
        <f t="shared" ca="1" si="29"/>
        <v>Best men took only 0 throws</v>
      </c>
      <c r="M370" s="65" t="s">
        <v>1</v>
      </c>
      <c r="N370" s="65" t="s">
        <v>255</v>
      </c>
      <c r="O370" s="65" t="e">
        <f t="shared" ca="1" si="25"/>
        <v>#VALUE!</v>
      </c>
      <c r="P370" s="65" t="str">
        <f t="shared" ca="1" si="27"/>
        <v/>
      </c>
    </row>
    <row r="371" spans="1:16" s="65" customFormat="1" hidden="1" x14ac:dyDescent="0.25">
      <c r="A371" s="65" t="s">
        <v>383</v>
      </c>
      <c r="B371" s="295" t="str">
        <f>IF(OR(AND(Parameter!$B$4=0,Parameter!$C$5="n"),INDEX(Data!$M$91:$M$190,MATCH("M4",Data!$A$91:$A$190,0))&gt;0,INDEX(Data!$N$91:$N$190,MATCH("M4",Data!$A$91:$A$190,0))&gt;0),"M4","M1")</f>
        <v>M4</v>
      </c>
      <c r="C371" s="65">
        <f>INDEX(Parameter!$9:$9,,MATCH(25,Parameter!$8:$8,0))</f>
        <v>25</v>
      </c>
      <c r="D371" s="65" t="str">
        <f>INDEX(Parameter!$B$10:$AB$10,MATCH(C371,Parameter!$B$9:$AB$9,0))</f>
        <v>no</v>
      </c>
      <c r="E371" s="65">
        <f>COUNTIF(Data!$DY$90:$IB$90,Specials!C371)</f>
        <v>0</v>
      </c>
      <c r="F371" s="65">
        <f ca="1">OFFSET(Data!$CS$91,MATCH("M1",Data!$A$91:$A$190,0)-1,MATCH(C371,Data!$CS$90:$DS$90,0)-1)</f>
        <v>0</v>
      </c>
      <c r="G371" s="65">
        <f ca="1">OFFSET(Data!$CS$91,MATCH($B371,Data!$A$91:$A$190,0)-1,MATCH(C371,Data!$CS$90:$DS$90,0)-1)</f>
        <v>0</v>
      </c>
      <c r="H371" s="65">
        <f t="shared" ca="1" si="28"/>
        <v>0</v>
      </c>
      <c r="I371" s="65">
        <f t="array" ref="I371">SUM(IF(Data!$A$91:$A$190=$B371,Data!$J$91:$M$190))-SUM(IF(Data!$A$91:$A$190="M1",Data!$J$91:$M$190))</f>
        <v>7</v>
      </c>
      <c r="K371" s="65" t="str">
        <f>INDEX(Data!$DT$91:$DT$190,MATCH($B371,Data!$A$91:$A$190,0))</f>
        <v>Bernd Wender</v>
      </c>
      <c r="L371" s="65" t="str">
        <f t="shared" ca="1" si="29"/>
        <v>Best men took only 0 throws</v>
      </c>
      <c r="M371" s="65" t="s">
        <v>1</v>
      </c>
      <c r="N371" s="65" t="s">
        <v>255</v>
      </c>
      <c r="O371" s="65" t="e">
        <f t="shared" ca="1" si="25"/>
        <v>#VALUE!</v>
      </c>
      <c r="P371" s="65" t="str">
        <f t="shared" ca="1" si="27"/>
        <v/>
      </c>
    </row>
    <row r="372" spans="1:16" s="65" customFormat="1" hidden="1" x14ac:dyDescent="0.25">
      <c r="A372" s="65" t="s">
        <v>383</v>
      </c>
      <c r="B372" s="295" t="str">
        <f>IF(OR(AND(Parameter!$B$4=0,Parameter!$C$5="n"),INDEX(Data!$M$91:$M$190,MATCH("M4",Data!$A$91:$A$190,0))&gt;0,INDEX(Data!$N$91:$N$190,MATCH("M4",Data!$A$91:$A$190,0))&gt;0),"M4","M1")</f>
        <v>M4</v>
      </c>
      <c r="C372" s="65">
        <f>INDEX(Parameter!$9:$9,,MATCH(26,Parameter!$8:$8,0))</f>
        <v>26</v>
      </c>
      <c r="D372" s="65" t="str">
        <f>INDEX(Parameter!$B$10:$AB$10,MATCH(C372,Parameter!$B$9:$AB$9,0))</f>
        <v>no</v>
      </c>
      <c r="E372" s="65">
        <f>COUNTIF(Data!$DY$90:$IB$90,Specials!C372)</f>
        <v>0</v>
      </c>
      <c r="F372" s="65">
        <f ca="1">OFFSET(Data!$CS$91,MATCH("M1",Data!$A$91:$A$190,0)-1,MATCH(C372,Data!$CS$90:$DS$90,0)-1)</f>
        <v>0</v>
      </c>
      <c r="G372" s="65">
        <f ca="1">OFFSET(Data!$CS$91,MATCH($B372,Data!$A$91:$A$190,0)-1,MATCH(C372,Data!$CS$90:$DS$90,0)-1)</f>
        <v>0</v>
      </c>
      <c r="H372" s="65">
        <f t="shared" ca="1" si="28"/>
        <v>0</v>
      </c>
      <c r="I372" s="65">
        <f t="array" ref="I372">SUM(IF(Data!$A$91:$A$190=$B372,Data!$J$91:$M$190))-SUM(IF(Data!$A$91:$A$190="M1",Data!$J$91:$M$190))</f>
        <v>7</v>
      </c>
      <c r="K372" s="65" t="str">
        <f>INDEX(Data!$DT$91:$DT$190,MATCH($B372,Data!$A$91:$A$190,0))</f>
        <v>Bernd Wender</v>
      </c>
      <c r="L372" s="65" t="str">
        <f t="shared" ca="1" si="29"/>
        <v>Best men took only 0 throws</v>
      </c>
      <c r="M372" s="65" t="s">
        <v>1</v>
      </c>
      <c r="N372" s="65" t="s">
        <v>255</v>
      </c>
      <c r="O372" s="65" t="e">
        <f t="shared" ca="1" si="25"/>
        <v>#VALUE!</v>
      </c>
      <c r="P372" s="65" t="str">
        <f t="shared" ca="1" si="27"/>
        <v/>
      </c>
    </row>
    <row r="373" spans="1:16" s="65" customFormat="1" hidden="1" x14ac:dyDescent="0.25">
      <c r="A373" s="65" t="s">
        <v>383</v>
      </c>
      <c r="B373" s="295" t="str">
        <f>IF(OR(AND(Parameter!$B$4=0,Parameter!$C$5="n"),INDEX(Data!$M$91:$M$190,MATCH("M4",Data!$A$91:$A$190,0))&gt;0,INDEX(Data!$N$91:$N$190,MATCH("M4",Data!$A$91:$A$190,0))&gt;0),"M4","M1")</f>
        <v>M4</v>
      </c>
      <c r="C373" s="65">
        <f>INDEX(Parameter!$9:$9,,MATCH(27,Parameter!$8:$8,0))</f>
        <v>27</v>
      </c>
      <c r="D373" s="65" t="str">
        <f>INDEX(Parameter!$B$10:$AB$10,MATCH(C373,Parameter!$B$9:$AB$9,0))</f>
        <v>no</v>
      </c>
      <c r="E373" s="65">
        <f>COUNTIF(Data!$DY$90:$IB$90,Specials!C373)</f>
        <v>0</v>
      </c>
      <c r="F373" s="65">
        <f ca="1">OFFSET(Data!$CS$91,MATCH("M1",Data!$A$91:$A$190,0)-1,MATCH(C373,Data!$CS$90:$DS$90,0)-1)</f>
        <v>0</v>
      </c>
      <c r="G373" s="65">
        <f ca="1">OFFSET(Data!$CS$91,MATCH($B373,Data!$A$91:$A$190,0)-1,MATCH(C373,Data!$CS$90:$DS$90,0)-1)</f>
        <v>0</v>
      </c>
      <c r="H373" s="65">
        <f t="shared" ca="1" si="28"/>
        <v>0</v>
      </c>
      <c r="I373" s="65">
        <f t="array" ref="I373">SUM(IF(Data!$A$91:$A$190=$B373,Data!$J$91:$M$190))-SUM(IF(Data!$A$91:$A$190="M1",Data!$J$91:$M$190))</f>
        <v>7</v>
      </c>
      <c r="K373" s="65" t="str">
        <f>INDEX(Data!$DT$91:$DT$190,MATCH($B373,Data!$A$91:$A$190,0))</f>
        <v>Bernd Wender</v>
      </c>
      <c r="L373" s="65" t="str">
        <f t="shared" ca="1" si="29"/>
        <v>Best men took only 0 throws</v>
      </c>
      <c r="M373" s="65" t="s">
        <v>1</v>
      </c>
      <c r="N373" s="65" t="s">
        <v>255</v>
      </c>
      <c r="O373" s="65" t="e">
        <f t="shared" ca="1" si="25"/>
        <v>#VALUE!</v>
      </c>
      <c r="P373" s="65" t="str">
        <f t="shared" ca="1" si="27"/>
        <v/>
      </c>
    </row>
    <row r="374" spans="1:16" s="65" customFormat="1" ht="15" hidden="1" customHeight="1" x14ac:dyDescent="0.25">
      <c r="A374" s="65" t="s">
        <v>383</v>
      </c>
      <c r="B374" s="295" t="str">
        <f>IF(OR(AND(Parameter!$B$4=0,Parameter!$C$5="n"),INDEX(Data!$M$91:$M$190,MATCH("M5",Data!$A$91:$A$190,0))&gt;0,INDEX(Data!$N$91:$N$190,MATCH("M5",Data!$A$91:$A$190,0))&gt;0),"M5","M1")</f>
        <v>M5</v>
      </c>
      <c r="C374" s="65">
        <f>INDEX(Parameter!$9:$9,,MATCH(1,Parameter!$8:$8,0))</f>
        <v>1</v>
      </c>
      <c r="D374" s="65">
        <f>INDEX(Parameter!$B$10:$AB$10,MATCH(C374,Parameter!$B$9:$AB$9,0))</f>
        <v>3</v>
      </c>
      <c r="E374" s="65">
        <f>COUNTIF(Data!$DY$90:$IB$90,Specials!C374)</f>
        <v>2</v>
      </c>
      <c r="F374" s="65">
        <f ca="1">OFFSET(Data!$CS$91,MATCH("M1",Data!$A$91:$A$190,0)-1,MATCH(C374,Data!$CS$90:$DS$90,0)-1)</f>
        <v>5</v>
      </c>
      <c r="G374" s="65">
        <f ca="1">OFFSET(Data!$CS$91,MATCH($B374,Data!$A$91:$A$190,0)-1,MATCH(C374,Data!$CS$90:$DS$90,0)-1)</f>
        <v>5</v>
      </c>
      <c r="H374" s="65">
        <f t="shared" ca="1" si="28"/>
        <v>0</v>
      </c>
      <c r="I374" s="65">
        <f t="array" ref="I374">SUM(IF(Data!$A$91:$A$190=$B374,Data!$J$91:$M$190))-SUM(IF(Data!$A$91:$A$190="M1",Data!$J$91:$M$190))</f>
        <v>8</v>
      </c>
      <c r="K374" s="65" t="str">
        <f>INDEX(Data!$DT$91:$DT$190,MATCH($B374,Data!$A$91:$A$190,0))</f>
        <v>Róbert Furka</v>
      </c>
      <c r="L374" s="65" t="str">
        <f t="shared" ca="1" si="29"/>
        <v>Best men took only 5 throws</v>
      </c>
      <c r="M374" s="65" t="s">
        <v>1</v>
      </c>
      <c r="N374" s="65" t="s">
        <v>255</v>
      </c>
      <c r="O374" s="65" t="e">
        <f t="shared" ca="1" si="25"/>
        <v>#VALUE!</v>
      </c>
      <c r="P374" s="65" t="str">
        <f t="shared" ca="1" si="27"/>
        <v/>
      </c>
    </row>
    <row r="375" spans="1:16" s="65" customFormat="1" hidden="1" x14ac:dyDescent="0.25">
      <c r="A375" s="65" t="s">
        <v>383</v>
      </c>
      <c r="B375" s="295" t="str">
        <f>IF(OR(AND(Parameter!$B$4=0,Parameter!$C$5="n"),INDEX(Data!$M$91:$M$190,MATCH("M5",Data!$A$91:$A$190,0))&gt;0,INDEX(Data!$N$91:$N$190,MATCH("M5",Data!$A$91:$A$190,0))&gt;0),"M5","M1")</f>
        <v>M5</v>
      </c>
      <c r="C375" s="65">
        <f>INDEX(Parameter!$9:$9,,MATCH(2,Parameter!$8:$8,0))</f>
        <v>2</v>
      </c>
      <c r="D375" s="65">
        <f>INDEX(Parameter!$B$10:$AB$10,MATCH(C375,Parameter!$B$9:$AB$9,0))</f>
        <v>3</v>
      </c>
      <c r="E375" s="65">
        <f>COUNTIF(Data!$DY$90:$IB$90,Specials!C375)</f>
        <v>2</v>
      </c>
      <c r="F375" s="65">
        <f ca="1">OFFSET(Data!$CS$91,MATCH("M1",Data!$A$91:$A$190,0)-1,MATCH(C375,Data!$CS$90:$DS$90,0)-1)</f>
        <v>6</v>
      </c>
      <c r="G375" s="65">
        <f ca="1">OFFSET(Data!$CS$91,MATCH($B375,Data!$A$91:$A$190,0)-1,MATCH(C375,Data!$CS$90:$DS$90,0)-1)</f>
        <v>6</v>
      </c>
      <c r="H375" s="65">
        <f t="shared" ca="1" si="28"/>
        <v>0</v>
      </c>
      <c r="I375" s="65">
        <f t="array" ref="I375">SUM(IF(Data!$A$91:$A$190=$B375,Data!$J$91:$M$190))-SUM(IF(Data!$A$91:$A$190="M1",Data!$J$91:$M$190))</f>
        <v>8</v>
      </c>
      <c r="K375" s="65" t="str">
        <f>INDEX(Data!$DT$91:$DT$190,MATCH($B375,Data!$A$91:$A$190,0))</f>
        <v>Róbert Furka</v>
      </c>
      <c r="L375" s="65" t="str">
        <f t="shared" ca="1" si="29"/>
        <v>Best men took only 6 throws</v>
      </c>
      <c r="M375" s="65" t="s">
        <v>1</v>
      </c>
      <c r="N375" s="65" t="s">
        <v>255</v>
      </c>
      <c r="O375" s="65" t="e">
        <f t="shared" ca="1" si="25"/>
        <v>#VALUE!</v>
      </c>
      <c r="P375" s="65" t="str">
        <f t="shared" ca="1" si="27"/>
        <v/>
      </c>
    </row>
    <row r="376" spans="1:16" s="65" customFormat="1" hidden="1" x14ac:dyDescent="0.25">
      <c r="A376" s="65" t="s">
        <v>383</v>
      </c>
      <c r="B376" s="295" t="str">
        <f>IF(OR(AND(Parameter!$B$4=0,Parameter!$C$5="n"),INDEX(Data!$M$91:$M$190,MATCH("M5",Data!$A$91:$A$190,0))&gt;0,INDEX(Data!$N$91:$N$190,MATCH("M5",Data!$A$91:$A$190,0))&gt;0),"M5","M1")</f>
        <v>M5</v>
      </c>
      <c r="C376" s="65">
        <f>INDEX(Parameter!$9:$9,,MATCH(3,Parameter!$8:$8,0))</f>
        <v>3</v>
      </c>
      <c r="D376" s="65">
        <f>INDEX(Parameter!$B$10:$AB$10,MATCH(C376,Parameter!$B$9:$AB$9,0))</f>
        <v>3</v>
      </c>
      <c r="E376" s="65">
        <f>COUNTIF(Data!$DY$90:$IB$90,Specials!C376)</f>
        <v>2</v>
      </c>
      <c r="F376" s="65">
        <f ca="1">OFFSET(Data!$CS$91,MATCH("M1",Data!$A$91:$A$190,0)-1,MATCH(C376,Data!$CS$90:$DS$90,0)-1)</f>
        <v>5</v>
      </c>
      <c r="G376" s="65">
        <f ca="1">OFFSET(Data!$CS$91,MATCH($B376,Data!$A$91:$A$190,0)-1,MATCH(C376,Data!$CS$90:$DS$90,0)-1)</f>
        <v>6</v>
      </c>
      <c r="H376" s="65">
        <f t="shared" ca="1" si="28"/>
        <v>0</v>
      </c>
      <c r="I376" s="65">
        <f t="array" ref="I376">SUM(IF(Data!$A$91:$A$190=$B376,Data!$J$91:$M$190))-SUM(IF(Data!$A$91:$A$190="M1",Data!$J$91:$M$190))</f>
        <v>8</v>
      </c>
      <c r="K376" s="65" t="str">
        <f>INDEX(Data!$DT$91:$DT$190,MATCH($B376,Data!$A$91:$A$190,0))</f>
        <v>Róbert Furka</v>
      </c>
      <c r="L376" s="65" t="str">
        <f t="shared" ca="1" si="29"/>
        <v>Best men took only 5 throws</v>
      </c>
      <c r="M376" s="65" t="s">
        <v>1</v>
      </c>
      <c r="N376" s="65" t="s">
        <v>255</v>
      </c>
      <c r="O376" s="65" t="e">
        <f t="shared" ca="1" si="25"/>
        <v>#VALUE!</v>
      </c>
      <c r="P376" s="65" t="str">
        <f t="shared" ca="1" si="27"/>
        <v/>
      </c>
    </row>
    <row r="377" spans="1:16" s="65" customFormat="1" hidden="1" x14ac:dyDescent="0.25">
      <c r="A377" s="65" t="s">
        <v>383</v>
      </c>
      <c r="B377" s="295" t="str">
        <f>IF(OR(AND(Parameter!$B$4=0,Parameter!$C$5="n"),INDEX(Data!$M$91:$M$190,MATCH("M5",Data!$A$91:$A$190,0))&gt;0,INDEX(Data!$N$91:$N$190,MATCH("M5",Data!$A$91:$A$190,0))&gt;0),"M5","M1")</f>
        <v>M5</v>
      </c>
      <c r="C377" s="65">
        <f>INDEX(Parameter!$9:$9,,MATCH(4,Parameter!$8:$8,0))</f>
        <v>4</v>
      </c>
      <c r="D377" s="65">
        <f>INDEX(Parameter!$B$10:$AB$10,MATCH(C377,Parameter!$B$9:$AB$9,0))</f>
        <v>3</v>
      </c>
      <c r="E377" s="65">
        <f>COUNTIF(Data!$DY$90:$IB$90,Specials!C377)</f>
        <v>2</v>
      </c>
      <c r="F377" s="65">
        <f ca="1">OFFSET(Data!$CS$91,MATCH("M1",Data!$A$91:$A$190,0)-1,MATCH(C377,Data!$CS$90:$DS$90,0)-1)</f>
        <v>6</v>
      </c>
      <c r="G377" s="65">
        <f ca="1">OFFSET(Data!$CS$91,MATCH($B377,Data!$A$91:$A$190,0)-1,MATCH(C377,Data!$CS$90:$DS$90,0)-1)</f>
        <v>5</v>
      </c>
      <c r="H377" s="65">
        <f t="shared" ca="1" si="28"/>
        <v>0</v>
      </c>
      <c r="I377" s="65">
        <f t="array" ref="I377">SUM(IF(Data!$A$91:$A$190=$B377,Data!$J$91:$M$190))-SUM(IF(Data!$A$91:$A$190="M1",Data!$J$91:$M$190))</f>
        <v>8</v>
      </c>
      <c r="K377" s="65" t="str">
        <f>INDEX(Data!$DT$91:$DT$190,MATCH($B377,Data!$A$91:$A$190,0))</f>
        <v>Róbert Furka</v>
      </c>
      <c r="L377" s="65" t="str">
        <f t="shared" ca="1" si="29"/>
        <v>Best men took only 6 throws</v>
      </c>
      <c r="M377" s="65" t="s">
        <v>1</v>
      </c>
      <c r="N377" s="65" t="s">
        <v>255</v>
      </c>
      <c r="O377" s="65" t="e">
        <f t="shared" ca="1" si="25"/>
        <v>#VALUE!</v>
      </c>
      <c r="P377" s="65" t="str">
        <f t="shared" ca="1" si="27"/>
        <v/>
      </c>
    </row>
    <row r="378" spans="1:16" s="65" customFormat="1" hidden="1" x14ac:dyDescent="0.25">
      <c r="A378" s="65" t="s">
        <v>383</v>
      </c>
      <c r="B378" s="295" t="str">
        <f>IF(OR(AND(Parameter!$B$4=0,Parameter!$C$5="n"),INDEX(Data!$M$91:$M$190,MATCH("M5",Data!$A$91:$A$190,0))&gt;0,INDEX(Data!$N$91:$N$190,MATCH("M5",Data!$A$91:$A$190,0))&gt;0),"M5","M1")</f>
        <v>M5</v>
      </c>
      <c r="C378" s="65">
        <f>INDEX(Parameter!$9:$9,,MATCH(5,Parameter!$8:$8,0))</f>
        <v>5</v>
      </c>
      <c r="D378" s="65">
        <f>INDEX(Parameter!$B$10:$AB$10,MATCH(C378,Parameter!$B$9:$AB$9,0))</f>
        <v>4</v>
      </c>
      <c r="E378" s="65">
        <f>COUNTIF(Data!$DY$90:$IB$90,Specials!C378)</f>
        <v>2</v>
      </c>
      <c r="F378" s="65">
        <f ca="1">OFFSET(Data!$CS$91,MATCH("M1",Data!$A$91:$A$190,0)-1,MATCH(C378,Data!$CS$90:$DS$90,0)-1)</f>
        <v>6</v>
      </c>
      <c r="G378" s="65">
        <f ca="1">OFFSET(Data!$CS$91,MATCH($B378,Data!$A$91:$A$190,0)-1,MATCH(C378,Data!$CS$90:$DS$90,0)-1)</f>
        <v>6</v>
      </c>
      <c r="H378" s="65">
        <f t="shared" ca="1" si="28"/>
        <v>0</v>
      </c>
      <c r="I378" s="65">
        <f t="array" ref="I378">SUM(IF(Data!$A$91:$A$190=$B378,Data!$J$91:$M$190))-SUM(IF(Data!$A$91:$A$190="M1",Data!$J$91:$M$190))</f>
        <v>8</v>
      </c>
      <c r="K378" s="65" t="str">
        <f>INDEX(Data!$DT$91:$DT$190,MATCH($B378,Data!$A$91:$A$190,0))</f>
        <v>Róbert Furka</v>
      </c>
      <c r="L378" s="65" t="str">
        <f t="shared" ca="1" si="29"/>
        <v>Best men took only 6 throws</v>
      </c>
      <c r="M378" s="65" t="s">
        <v>1</v>
      </c>
      <c r="N378" s="65" t="s">
        <v>255</v>
      </c>
      <c r="O378" s="65" t="e">
        <f t="shared" ca="1" si="25"/>
        <v>#VALUE!</v>
      </c>
      <c r="P378" s="65" t="str">
        <f t="shared" ca="1" si="27"/>
        <v/>
      </c>
    </row>
    <row r="379" spans="1:16" s="65" customFormat="1" hidden="1" x14ac:dyDescent="0.25">
      <c r="A379" s="65" t="s">
        <v>383</v>
      </c>
      <c r="B379" s="295" t="str">
        <f>IF(OR(AND(Parameter!$B$4=0,Parameter!$C$5="n"),INDEX(Data!$M$91:$M$190,MATCH("M5",Data!$A$91:$A$190,0))&gt;0,INDEX(Data!$N$91:$N$190,MATCH("M5",Data!$A$91:$A$190,0))&gt;0),"M5","M1")</f>
        <v>M5</v>
      </c>
      <c r="C379" s="65">
        <f>INDEX(Parameter!$9:$9,,MATCH(6,Parameter!$8:$8,0))</f>
        <v>6</v>
      </c>
      <c r="D379" s="65">
        <f>INDEX(Parameter!$B$10:$AB$10,MATCH(C379,Parameter!$B$9:$AB$9,0))</f>
        <v>3</v>
      </c>
      <c r="E379" s="65">
        <f>COUNTIF(Data!$DY$90:$IB$90,Specials!C379)</f>
        <v>2</v>
      </c>
      <c r="F379" s="65">
        <f ca="1">OFFSET(Data!$CS$91,MATCH("M1",Data!$A$91:$A$190,0)-1,MATCH(C379,Data!$CS$90:$DS$90,0)-1)</f>
        <v>5</v>
      </c>
      <c r="G379" s="65">
        <f ca="1">OFFSET(Data!$CS$91,MATCH($B379,Data!$A$91:$A$190,0)-1,MATCH(C379,Data!$CS$90:$DS$90,0)-1)</f>
        <v>6</v>
      </c>
      <c r="H379" s="65">
        <f t="shared" ca="1" si="28"/>
        <v>0</v>
      </c>
      <c r="I379" s="65">
        <f t="array" ref="I379">SUM(IF(Data!$A$91:$A$190=$B379,Data!$J$91:$M$190))-SUM(IF(Data!$A$91:$A$190="M1",Data!$J$91:$M$190))</f>
        <v>8</v>
      </c>
      <c r="K379" s="65" t="str">
        <f>INDEX(Data!$DT$91:$DT$190,MATCH($B379,Data!$A$91:$A$190,0))</f>
        <v>Róbert Furka</v>
      </c>
      <c r="L379" s="65" t="str">
        <f t="shared" ca="1" si="29"/>
        <v>Best men took only 5 throws</v>
      </c>
      <c r="M379" s="65" t="s">
        <v>1</v>
      </c>
      <c r="N379" s="65" t="s">
        <v>255</v>
      </c>
      <c r="O379" s="65" t="e">
        <f t="shared" ca="1" si="25"/>
        <v>#VALUE!</v>
      </c>
      <c r="P379" s="65" t="str">
        <f t="shared" ca="1" si="27"/>
        <v/>
      </c>
    </row>
    <row r="380" spans="1:16" s="65" customFormat="1" hidden="1" x14ac:dyDescent="0.25">
      <c r="A380" s="65" t="s">
        <v>383</v>
      </c>
      <c r="B380" s="295" t="str">
        <f>IF(OR(AND(Parameter!$B$4=0,Parameter!$C$5="n"),INDEX(Data!$M$91:$M$190,MATCH("M5",Data!$A$91:$A$190,0))&gt;0,INDEX(Data!$N$91:$N$190,MATCH("M5",Data!$A$91:$A$190,0))&gt;0),"M5","M1")</f>
        <v>M5</v>
      </c>
      <c r="C380" s="65">
        <f>INDEX(Parameter!$9:$9,,MATCH(7,Parameter!$8:$8,0))</f>
        <v>7</v>
      </c>
      <c r="D380" s="65">
        <f>INDEX(Parameter!$B$10:$AB$10,MATCH(C380,Parameter!$B$9:$AB$9,0))</f>
        <v>3</v>
      </c>
      <c r="E380" s="65">
        <f>COUNTIF(Data!$DY$90:$IB$90,Specials!C380)</f>
        <v>2</v>
      </c>
      <c r="F380" s="65">
        <f ca="1">OFFSET(Data!$CS$91,MATCH("M1",Data!$A$91:$A$190,0)-1,MATCH(C380,Data!$CS$90:$DS$90,0)-1)</f>
        <v>6</v>
      </c>
      <c r="G380" s="65">
        <f ca="1">OFFSET(Data!$CS$91,MATCH($B380,Data!$A$91:$A$190,0)-1,MATCH(C380,Data!$CS$90:$DS$90,0)-1)</f>
        <v>6</v>
      </c>
      <c r="H380" s="65">
        <f t="shared" ca="1" si="28"/>
        <v>0</v>
      </c>
      <c r="I380" s="65">
        <f t="array" ref="I380">SUM(IF(Data!$A$91:$A$190=$B380,Data!$J$91:$M$190))-SUM(IF(Data!$A$91:$A$190="M1",Data!$J$91:$M$190))</f>
        <v>8</v>
      </c>
      <c r="K380" s="65" t="str">
        <f>INDEX(Data!$DT$91:$DT$190,MATCH($B380,Data!$A$91:$A$190,0))</f>
        <v>Róbert Furka</v>
      </c>
      <c r="L380" s="65" t="str">
        <f t="shared" ca="1" si="29"/>
        <v>Best men took only 6 throws</v>
      </c>
      <c r="M380" s="65" t="s">
        <v>1</v>
      </c>
      <c r="N380" s="65" t="s">
        <v>255</v>
      </c>
      <c r="O380" s="65" t="e">
        <f t="shared" ca="1" si="25"/>
        <v>#VALUE!</v>
      </c>
      <c r="P380" s="65" t="str">
        <f t="shared" ca="1" si="27"/>
        <v/>
      </c>
    </row>
    <row r="381" spans="1:16" s="65" customFormat="1" hidden="1" x14ac:dyDescent="0.25">
      <c r="A381" s="65" t="s">
        <v>383</v>
      </c>
      <c r="B381" s="295" t="str">
        <f>IF(OR(AND(Parameter!$B$4=0,Parameter!$C$5="n"),INDEX(Data!$M$91:$M$190,MATCH("M5",Data!$A$91:$A$190,0))&gt;0,INDEX(Data!$N$91:$N$190,MATCH("M5",Data!$A$91:$A$190,0))&gt;0),"M5","M1")</f>
        <v>M5</v>
      </c>
      <c r="C381" s="65">
        <f>INDEX(Parameter!$9:$9,,MATCH(8,Parameter!$8:$8,0))</f>
        <v>8</v>
      </c>
      <c r="D381" s="65">
        <f>INDEX(Parameter!$B$10:$AB$10,MATCH(C381,Parameter!$B$9:$AB$9,0))</f>
        <v>3</v>
      </c>
      <c r="E381" s="65">
        <f>COUNTIF(Data!$DY$90:$IB$90,Specials!C381)</f>
        <v>2</v>
      </c>
      <c r="F381" s="65">
        <f ca="1">OFFSET(Data!$CS$91,MATCH("M1",Data!$A$91:$A$190,0)-1,MATCH(C381,Data!$CS$90:$DS$90,0)-1)</f>
        <v>5</v>
      </c>
      <c r="G381" s="65">
        <f ca="1">OFFSET(Data!$CS$91,MATCH($B381,Data!$A$91:$A$190,0)-1,MATCH(C381,Data!$CS$90:$DS$90,0)-1)</f>
        <v>6</v>
      </c>
      <c r="H381" s="65">
        <f t="shared" ca="1" si="28"/>
        <v>0</v>
      </c>
      <c r="I381" s="65">
        <f t="array" ref="I381">SUM(IF(Data!$A$91:$A$190=$B381,Data!$J$91:$M$190))-SUM(IF(Data!$A$91:$A$190="M1",Data!$J$91:$M$190))</f>
        <v>8</v>
      </c>
      <c r="K381" s="65" t="str">
        <f>INDEX(Data!$DT$91:$DT$190,MATCH($B381,Data!$A$91:$A$190,0))</f>
        <v>Róbert Furka</v>
      </c>
      <c r="L381" s="65" t="str">
        <f t="shared" ca="1" si="29"/>
        <v>Best men took only 5 throws</v>
      </c>
      <c r="M381" s="65" t="s">
        <v>1</v>
      </c>
      <c r="N381" s="65" t="s">
        <v>255</v>
      </c>
      <c r="O381" s="65" t="e">
        <f t="shared" ca="1" si="25"/>
        <v>#VALUE!</v>
      </c>
      <c r="P381" s="65" t="str">
        <f t="shared" ca="1" si="27"/>
        <v/>
      </c>
    </row>
    <row r="382" spans="1:16" s="65" customFormat="1" hidden="1" x14ac:dyDescent="0.25">
      <c r="A382" s="65" t="s">
        <v>383</v>
      </c>
      <c r="B382" s="295" t="str">
        <f>IF(OR(AND(Parameter!$B$4=0,Parameter!$C$5="n"),INDEX(Data!$M$91:$M$190,MATCH("M5",Data!$A$91:$A$190,0))&gt;0,INDEX(Data!$N$91:$N$190,MATCH("M5",Data!$A$91:$A$190,0))&gt;0),"M5","M1")</f>
        <v>M5</v>
      </c>
      <c r="C382" s="65">
        <f>INDEX(Parameter!$9:$9,,MATCH(9,Parameter!$8:$8,0))</f>
        <v>9</v>
      </c>
      <c r="D382" s="65">
        <f>INDEX(Parameter!$B$10:$AB$10,MATCH(C382,Parameter!$B$9:$AB$9,0))</f>
        <v>4</v>
      </c>
      <c r="E382" s="65">
        <f>COUNTIF(Data!$DY$90:$IB$90,Specials!C382)</f>
        <v>2</v>
      </c>
      <c r="F382" s="65">
        <f ca="1">OFFSET(Data!$CS$91,MATCH("M1",Data!$A$91:$A$190,0)-1,MATCH(C382,Data!$CS$90:$DS$90,0)-1)</f>
        <v>8</v>
      </c>
      <c r="G382" s="65">
        <f ca="1">OFFSET(Data!$CS$91,MATCH($B382,Data!$A$91:$A$190,0)-1,MATCH(C382,Data!$CS$90:$DS$90,0)-1)</f>
        <v>9</v>
      </c>
      <c r="H382" s="65">
        <f t="shared" ca="1" si="28"/>
        <v>0</v>
      </c>
      <c r="I382" s="65">
        <f t="array" ref="I382">SUM(IF(Data!$A$91:$A$190=$B382,Data!$J$91:$M$190))-SUM(IF(Data!$A$91:$A$190="M1",Data!$J$91:$M$190))</f>
        <v>8</v>
      </c>
      <c r="K382" s="65" t="str">
        <f>INDEX(Data!$DT$91:$DT$190,MATCH($B382,Data!$A$91:$A$190,0))</f>
        <v>Róbert Furka</v>
      </c>
      <c r="L382" s="65" t="str">
        <f t="shared" ca="1" si="29"/>
        <v>Best men took only 8 throws</v>
      </c>
      <c r="M382" s="65" t="s">
        <v>1</v>
      </c>
      <c r="N382" s="65" t="s">
        <v>255</v>
      </c>
      <c r="O382" s="65" t="e">
        <f t="shared" ca="1" si="25"/>
        <v>#VALUE!</v>
      </c>
      <c r="P382" s="65" t="str">
        <f t="shared" ca="1" si="27"/>
        <v/>
      </c>
    </row>
    <row r="383" spans="1:16" s="65" customFormat="1" hidden="1" x14ac:dyDescent="0.25">
      <c r="A383" s="65" t="s">
        <v>383</v>
      </c>
      <c r="B383" s="295" t="str">
        <f>IF(OR(AND(Parameter!$B$4=0,Parameter!$C$5="n"),INDEX(Data!$M$91:$M$190,MATCH("M5",Data!$A$91:$A$190,0))&gt;0,INDEX(Data!$N$91:$N$190,MATCH("M5",Data!$A$91:$A$190,0))&gt;0),"M5","M1")</f>
        <v>M5</v>
      </c>
      <c r="C383" s="65">
        <f>INDEX(Parameter!$9:$9,,MATCH(10,Parameter!$8:$8,0))</f>
        <v>10</v>
      </c>
      <c r="D383" s="65">
        <f>INDEX(Parameter!$B$10:$AB$10,MATCH(C383,Parameter!$B$9:$AB$9,0))</f>
        <v>4</v>
      </c>
      <c r="E383" s="65">
        <f>COUNTIF(Data!$DY$90:$IB$90,Specials!C383)</f>
        <v>2</v>
      </c>
      <c r="F383" s="65">
        <f ca="1">OFFSET(Data!$CS$91,MATCH("M1",Data!$A$91:$A$190,0)-1,MATCH(C383,Data!$CS$90:$DS$90,0)-1)</f>
        <v>7</v>
      </c>
      <c r="G383" s="65">
        <f ca="1">OFFSET(Data!$CS$91,MATCH($B383,Data!$A$91:$A$190,0)-1,MATCH(C383,Data!$CS$90:$DS$90,0)-1)</f>
        <v>10</v>
      </c>
      <c r="H383" s="65">
        <f t="shared" ca="1" si="28"/>
        <v>0</v>
      </c>
      <c r="I383" s="65">
        <f t="array" ref="I383">SUM(IF(Data!$A$91:$A$190=$B383,Data!$J$91:$M$190))-SUM(IF(Data!$A$91:$A$190="M1",Data!$J$91:$M$190))</f>
        <v>8</v>
      </c>
      <c r="K383" s="65" t="str">
        <f>INDEX(Data!$DT$91:$DT$190,MATCH($B383,Data!$A$91:$A$190,0))</f>
        <v>Róbert Furka</v>
      </c>
      <c r="L383" s="65" t="str">
        <f t="shared" ca="1" si="29"/>
        <v>Best men took only 7 throws</v>
      </c>
      <c r="M383" s="65" t="s">
        <v>1</v>
      </c>
      <c r="N383" s="65" t="s">
        <v>255</v>
      </c>
      <c r="O383" s="65" t="e">
        <f t="shared" ca="1" si="25"/>
        <v>#VALUE!</v>
      </c>
      <c r="P383" s="65" t="str">
        <f t="shared" ca="1" si="27"/>
        <v/>
      </c>
    </row>
    <row r="384" spans="1:16" s="65" customFormat="1" hidden="1" x14ac:dyDescent="0.25">
      <c r="A384" s="65" t="s">
        <v>383</v>
      </c>
      <c r="B384" s="295" t="str">
        <f>IF(OR(AND(Parameter!$B$4=0,Parameter!$C$5="n"),INDEX(Data!$M$91:$M$190,MATCH("M5",Data!$A$91:$A$190,0))&gt;0,INDEX(Data!$N$91:$N$190,MATCH("M5",Data!$A$91:$A$190,0))&gt;0),"M5","M1")</f>
        <v>M5</v>
      </c>
      <c r="C384" s="65">
        <f>INDEX(Parameter!$9:$9,,MATCH(11,Parameter!$8:$8,0))</f>
        <v>11</v>
      </c>
      <c r="D384" s="65">
        <f>INDEX(Parameter!$B$10:$AB$10,MATCH(C384,Parameter!$B$9:$AB$9,0))</f>
        <v>4</v>
      </c>
      <c r="E384" s="65">
        <f>COUNTIF(Data!$DY$90:$IB$90,Specials!C384)</f>
        <v>2</v>
      </c>
      <c r="F384" s="65">
        <f ca="1">OFFSET(Data!$CS$91,MATCH("M1",Data!$A$91:$A$190,0)-1,MATCH(C384,Data!$CS$90:$DS$90,0)-1)</f>
        <v>9</v>
      </c>
      <c r="G384" s="65">
        <f ca="1">OFFSET(Data!$CS$91,MATCH($B384,Data!$A$91:$A$190,0)-1,MATCH(C384,Data!$CS$90:$DS$90,0)-1)</f>
        <v>9</v>
      </c>
      <c r="H384" s="65">
        <f t="shared" ca="1" si="28"/>
        <v>0</v>
      </c>
      <c r="I384" s="65">
        <f t="array" ref="I384">SUM(IF(Data!$A$91:$A$190=$B384,Data!$J$91:$M$190))-SUM(IF(Data!$A$91:$A$190="M1",Data!$J$91:$M$190))</f>
        <v>8</v>
      </c>
      <c r="K384" s="65" t="str">
        <f>INDEX(Data!$DT$91:$DT$190,MATCH($B384,Data!$A$91:$A$190,0))</f>
        <v>Róbert Furka</v>
      </c>
      <c r="L384" s="65" t="str">
        <f t="shared" ca="1" si="29"/>
        <v>Best men took only 9 throws</v>
      </c>
      <c r="M384" s="65" t="s">
        <v>1</v>
      </c>
      <c r="N384" s="65" t="s">
        <v>255</v>
      </c>
      <c r="O384" s="65" t="e">
        <f t="shared" ca="1" si="25"/>
        <v>#VALUE!</v>
      </c>
      <c r="P384" s="65" t="str">
        <f t="shared" ca="1" si="27"/>
        <v/>
      </c>
    </row>
    <row r="385" spans="1:16" s="65" customFormat="1" hidden="1" x14ac:dyDescent="0.25">
      <c r="A385" s="65" t="s">
        <v>383</v>
      </c>
      <c r="B385" s="295" t="str">
        <f>IF(OR(AND(Parameter!$B$4=0,Parameter!$C$5="n"),INDEX(Data!$M$91:$M$190,MATCH("M5",Data!$A$91:$A$190,0))&gt;0,INDEX(Data!$N$91:$N$190,MATCH("M5",Data!$A$91:$A$190,0))&gt;0),"M5","M1")</f>
        <v>M5</v>
      </c>
      <c r="C385" s="65" t="str">
        <f>INDEX(Parameter!$9:$9,,MATCH(12,Parameter!$8:$8,0))</f>
        <v>11b</v>
      </c>
      <c r="D385" s="65">
        <f>INDEX(Parameter!$B$10:$AB$10,MATCH(C385,Parameter!$B$9:$AB$9,0))</f>
        <v>3</v>
      </c>
      <c r="E385" s="65">
        <f>COUNTIF(Data!$DY$90:$IB$90,Specials!C385)</f>
        <v>2</v>
      </c>
      <c r="F385" s="65">
        <f ca="1">OFFSET(Data!$CS$91,MATCH("M1",Data!$A$91:$A$190,0)-1,MATCH(C385,Data!$CS$90:$DS$90,0)-1)</f>
        <v>5</v>
      </c>
      <c r="G385" s="65">
        <f ca="1">OFFSET(Data!$CS$91,MATCH($B385,Data!$A$91:$A$190,0)-1,MATCH(C385,Data!$CS$90:$DS$90,0)-1)</f>
        <v>6</v>
      </c>
      <c r="H385" s="65">
        <f t="shared" ca="1" si="28"/>
        <v>0</v>
      </c>
      <c r="I385" s="65">
        <f t="array" ref="I385">SUM(IF(Data!$A$91:$A$190=$B385,Data!$J$91:$M$190))-SUM(IF(Data!$A$91:$A$190="M1",Data!$J$91:$M$190))</f>
        <v>8</v>
      </c>
      <c r="K385" s="65" t="str">
        <f>INDEX(Data!$DT$91:$DT$190,MATCH($B385,Data!$A$91:$A$190,0))</f>
        <v>Róbert Furka</v>
      </c>
      <c r="L385" s="65" t="str">
        <f t="shared" ca="1" si="29"/>
        <v>Best men took only 5 throws</v>
      </c>
      <c r="M385" s="65" t="s">
        <v>1</v>
      </c>
      <c r="N385" s="65" t="s">
        <v>255</v>
      </c>
      <c r="O385" s="65" t="e">
        <f t="shared" ca="1" si="25"/>
        <v>#VALUE!</v>
      </c>
      <c r="P385" s="65" t="str">
        <f t="shared" ca="1" si="27"/>
        <v/>
      </c>
    </row>
    <row r="386" spans="1:16" s="65" customFormat="1" hidden="1" x14ac:dyDescent="0.25">
      <c r="A386" s="65" t="s">
        <v>383</v>
      </c>
      <c r="B386" s="295" t="str">
        <f>IF(OR(AND(Parameter!$B$4=0,Parameter!$C$5="n"),INDEX(Data!$M$91:$M$190,MATCH("M5",Data!$A$91:$A$190,0))&gt;0,INDEX(Data!$N$91:$N$190,MATCH("M5",Data!$A$91:$A$190,0))&gt;0),"M5","M1")</f>
        <v>M5</v>
      </c>
      <c r="C386" s="65">
        <f>INDEX(Parameter!$9:$9,,MATCH(13,Parameter!$8:$8,0))</f>
        <v>12</v>
      </c>
      <c r="D386" s="65">
        <f>INDEX(Parameter!$B$10:$AB$10,MATCH(C386,Parameter!$B$9:$AB$9,0))</f>
        <v>3</v>
      </c>
      <c r="E386" s="65">
        <f>COUNTIF(Data!$DY$90:$IB$90,Specials!C386)</f>
        <v>2</v>
      </c>
      <c r="F386" s="65">
        <f ca="1">OFFSET(Data!$CS$91,MATCH("M1",Data!$A$91:$A$190,0)-1,MATCH(C386,Data!$CS$90:$DS$90,0)-1)</f>
        <v>5</v>
      </c>
      <c r="G386" s="65">
        <f ca="1">OFFSET(Data!$CS$91,MATCH($B386,Data!$A$91:$A$190,0)-1,MATCH(C386,Data!$CS$90:$DS$90,0)-1)</f>
        <v>7</v>
      </c>
      <c r="H386" s="65">
        <f t="shared" ca="1" si="28"/>
        <v>0</v>
      </c>
      <c r="I386" s="65">
        <f t="array" ref="I386">SUM(IF(Data!$A$91:$A$190=$B386,Data!$J$91:$M$190))-SUM(IF(Data!$A$91:$A$190="M1",Data!$J$91:$M$190))</f>
        <v>8</v>
      </c>
      <c r="K386" s="65" t="str">
        <f>INDEX(Data!$DT$91:$DT$190,MATCH($B386,Data!$A$91:$A$190,0))</f>
        <v>Róbert Furka</v>
      </c>
      <c r="L386" s="65" t="str">
        <f t="shared" ca="1" si="29"/>
        <v>Best men took only 5 throws</v>
      </c>
      <c r="M386" s="65" t="s">
        <v>1</v>
      </c>
      <c r="N386" s="65" t="s">
        <v>255</v>
      </c>
      <c r="O386" s="65" t="e">
        <f t="shared" ca="1" si="25"/>
        <v>#VALUE!</v>
      </c>
      <c r="P386" s="65" t="str">
        <f t="shared" ca="1" si="27"/>
        <v/>
      </c>
    </row>
    <row r="387" spans="1:16" s="65" customFormat="1" hidden="1" x14ac:dyDescent="0.25">
      <c r="A387" s="65" t="s">
        <v>383</v>
      </c>
      <c r="B387" s="295" t="str">
        <f>IF(OR(AND(Parameter!$B$4=0,Parameter!$C$5="n"),INDEX(Data!$M$91:$M$190,MATCH("M5",Data!$A$91:$A$190,0))&gt;0,INDEX(Data!$N$91:$N$190,MATCH("M5",Data!$A$91:$A$190,0))&gt;0),"M5","M1")</f>
        <v>M5</v>
      </c>
      <c r="C387" s="65">
        <f>INDEX(Parameter!$9:$9,,MATCH(14,Parameter!$8:$8,0))</f>
        <v>13</v>
      </c>
      <c r="D387" s="65">
        <f>INDEX(Parameter!$B$10:$AB$10,MATCH(C387,Parameter!$B$9:$AB$9,0))</f>
        <v>3</v>
      </c>
      <c r="E387" s="65">
        <f>COUNTIF(Data!$DY$90:$IB$90,Specials!C387)</f>
        <v>2</v>
      </c>
      <c r="F387" s="65">
        <f ca="1">OFFSET(Data!$CS$91,MATCH("M1",Data!$A$91:$A$190,0)-1,MATCH(C387,Data!$CS$90:$DS$90,0)-1)</f>
        <v>6</v>
      </c>
      <c r="G387" s="65">
        <f ca="1">OFFSET(Data!$CS$91,MATCH($B387,Data!$A$91:$A$190,0)-1,MATCH(C387,Data!$CS$90:$DS$90,0)-1)</f>
        <v>5</v>
      </c>
      <c r="H387" s="65">
        <f t="shared" ca="1" si="28"/>
        <v>0</v>
      </c>
      <c r="I387" s="65">
        <f t="array" ref="I387">SUM(IF(Data!$A$91:$A$190=$B387,Data!$J$91:$M$190))-SUM(IF(Data!$A$91:$A$190="M1",Data!$J$91:$M$190))</f>
        <v>8</v>
      </c>
      <c r="K387" s="65" t="str">
        <f>INDEX(Data!$DT$91:$DT$190,MATCH($B387,Data!$A$91:$A$190,0))</f>
        <v>Róbert Furka</v>
      </c>
      <c r="L387" s="65" t="str">
        <f t="shared" ca="1" si="29"/>
        <v>Best men took only 6 throws</v>
      </c>
      <c r="M387" s="65" t="s">
        <v>1</v>
      </c>
      <c r="N387" s="65" t="s">
        <v>255</v>
      </c>
      <c r="O387" s="65" t="e">
        <f t="shared" ca="1" si="25"/>
        <v>#VALUE!</v>
      </c>
      <c r="P387" s="65" t="str">
        <f t="shared" ca="1" si="27"/>
        <v/>
      </c>
    </row>
    <row r="388" spans="1:16" s="65" customFormat="1" hidden="1" x14ac:dyDescent="0.25">
      <c r="A388" s="65" t="s">
        <v>383</v>
      </c>
      <c r="B388" s="295" t="str">
        <f>IF(OR(AND(Parameter!$B$4=0,Parameter!$C$5="n"),INDEX(Data!$M$91:$M$190,MATCH("M5",Data!$A$91:$A$190,0))&gt;0,INDEX(Data!$N$91:$N$190,MATCH("M5",Data!$A$91:$A$190,0))&gt;0),"M5","M1")</f>
        <v>M5</v>
      </c>
      <c r="C388" s="65">
        <f>INDEX(Parameter!$9:$9,,MATCH(15,Parameter!$8:$8,0))</f>
        <v>14</v>
      </c>
      <c r="D388" s="65">
        <f>INDEX(Parameter!$B$10:$AB$10,MATCH(C388,Parameter!$B$9:$AB$9,0))</f>
        <v>3</v>
      </c>
      <c r="E388" s="65">
        <f>COUNTIF(Data!$DY$90:$IB$90,Specials!C388)</f>
        <v>2</v>
      </c>
      <c r="F388" s="65">
        <f ca="1">OFFSET(Data!$CS$91,MATCH("M1",Data!$A$91:$A$190,0)-1,MATCH(C388,Data!$CS$90:$DS$90,0)-1)</f>
        <v>7</v>
      </c>
      <c r="G388" s="65">
        <f ca="1">OFFSET(Data!$CS$91,MATCH($B388,Data!$A$91:$A$190,0)-1,MATCH(C388,Data!$CS$90:$DS$90,0)-1)</f>
        <v>6</v>
      </c>
      <c r="H388" s="65">
        <f t="shared" ca="1" si="28"/>
        <v>0</v>
      </c>
      <c r="I388" s="65">
        <f t="array" ref="I388">SUM(IF(Data!$A$91:$A$190=$B388,Data!$J$91:$M$190))-SUM(IF(Data!$A$91:$A$190="M1",Data!$J$91:$M$190))</f>
        <v>8</v>
      </c>
      <c r="K388" s="65" t="str">
        <f>INDEX(Data!$DT$91:$DT$190,MATCH($B388,Data!$A$91:$A$190,0))</f>
        <v>Róbert Furka</v>
      </c>
      <c r="L388" s="65" t="str">
        <f t="shared" ca="1" si="29"/>
        <v>Best men took only 7 throws</v>
      </c>
      <c r="M388" s="65" t="s">
        <v>1</v>
      </c>
      <c r="N388" s="65" t="s">
        <v>255</v>
      </c>
      <c r="O388" s="65" t="e">
        <f t="shared" ref="O388:O451" ca="1" si="30">IF(AND($P388&lt;&gt;"",$N388="yes"),O387+1,O387)</f>
        <v>#VALUE!</v>
      </c>
      <c r="P388" s="65" t="str">
        <f t="shared" ca="1" si="27"/>
        <v/>
      </c>
    </row>
    <row r="389" spans="1:16" s="65" customFormat="1" hidden="1" x14ac:dyDescent="0.25">
      <c r="A389" s="65" t="s">
        <v>383</v>
      </c>
      <c r="B389" s="295" t="str">
        <f>IF(OR(AND(Parameter!$B$4=0,Parameter!$C$5="n"),INDEX(Data!$M$91:$M$190,MATCH("M5",Data!$A$91:$A$190,0))&gt;0,INDEX(Data!$N$91:$N$190,MATCH("M5",Data!$A$91:$A$190,0))&gt;0),"M5","M1")</f>
        <v>M5</v>
      </c>
      <c r="C389" s="65">
        <f>INDEX(Parameter!$9:$9,,MATCH(16,Parameter!$8:$8,0))</f>
        <v>15</v>
      </c>
      <c r="D389" s="65">
        <f>INDEX(Parameter!$B$10:$AB$10,MATCH(C389,Parameter!$B$9:$AB$9,0))</f>
        <v>3</v>
      </c>
      <c r="E389" s="65">
        <f>COUNTIF(Data!$DY$90:$IB$90,Specials!C389)</f>
        <v>2</v>
      </c>
      <c r="F389" s="65">
        <f ca="1">OFFSET(Data!$CS$91,MATCH("M1",Data!$A$91:$A$190,0)-1,MATCH(C389,Data!$CS$90:$DS$90,0)-1)</f>
        <v>6</v>
      </c>
      <c r="G389" s="65">
        <f ca="1">OFFSET(Data!$CS$91,MATCH($B389,Data!$A$91:$A$190,0)-1,MATCH(C389,Data!$CS$90:$DS$90,0)-1)</f>
        <v>6</v>
      </c>
      <c r="H389" s="65">
        <f t="shared" ca="1" si="28"/>
        <v>0</v>
      </c>
      <c r="I389" s="65">
        <f t="array" ref="I389">SUM(IF(Data!$A$91:$A$190=$B389,Data!$J$91:$M$190))-SUM(IF(Data!$A$91:$A$190="M1",Data!$J$91:$M$190))</f>
        <v>8</v>
      </c>
      <c r="K389" s="65" t="str">
        <f>INDEX(Data!$DT$91:$DT$190,MATCH($B389,Data!$A$91:$A$190,0))</f>
        <v>Róbert Furka</v>
      </c>
      <c r="L389" s="65" t="str">
        <f t="shared" ca="1" si="29"/>
        <v>Best men took only 6 throws</v>
      </c>
      <c r="M389" s="65" t="s">
        <v>1</v>
      </c>
      <c r="N389" s="65" t="s">
        <v>255</v>
      </c>
      <c r="O389" s="65" t="e">
        <f t="shared" ca="1" si="30"/>
        <v>#VALUE!</v>
      </c>
      <c r="P389" s="65" t="str">
        <f t="shared" ref="P389:P400" ca="1" si="31">IF(H389&gt;0,"On hole "&amp;C389&amp;" (par "&amp;D389&amp;") "&amp;K389&amp;" took "&amp;G389&amp;" throws in total ("&amp;$E389&amp;" rounds)","")</f>
        <v/>
      </c>
    </row>
    <row r="390" spans="1:16" s="65" customFormat="1" hidden="1" x14ac:dyDescent="0.25">
      <c r="A390" s="65" t="s">
        <v>383</v>
      </c>
      <c r="B390" s="295" t="str">
        <f>IF(OR(AND(Parameter!$B$4=0,Parameter!$C$5="n"),INDEX(Data!$M$91:$M$190,MATCH("M5",Data!$A$91:$A$190,0))&gt;0,INDEX(Data!$N$91:$N$190,MATCH("M5",Data!$A$91:$A$190,0))&gt;0),"M5","M1")</f>
        <v>M5</v>
      </c>
      <c r="C390" s="65">
        <f>INDEX(Parameter!$9:$9,,MATCH(17,Parameter!$8:$8,0))</f>
        <v>16</v>
      </c>
      <c r="D390" s="65">
        <f>INDEX(Parameter!$B$10:$AB$10,MATCH(C390,Parameter!$B$9:$AB$9,0))</f>
        <v>3</v>
      </c>
      <c r="E390" s="65">
        <f>COUNTIF(Data!$DY$90:$IB$90,Specials!C390)</f>
        <v>2</v>
      </c>
      <c r="F390" s="65">
        <f ca="1">OFFSET(Data!$CS$91,MATCH("M1",Data!$A$91:$A$190,0)-1,MATCH(C390,Data!$CS$90:$DS$90,0)-1)</f>
        <v>4</v>
      </c>
      <c r="G390" s="65">
        <f ca="1">OFFSET(Data!$CS$91,MATCH($B390,Data!$A$91:$A$190,0)-1,MATCH(C390,Data!$CS$90:$DS$90,0)-1)</f>
        <v>6</v>
      </c>
      <c r="H390" s="65">
        <f t="shared" ca="1" si="28"/>
        <v>0</v>
      </c>
      <c r="I390" s="65">
        <f t="array" ref="I390">SUM(IF(Data!$A$91:$A$190=$B390,Data!$J$91:$M$190))-SUM(IF(Data!$A$91:$A$190="M1",Data!$J$91:$M$190))</f>
        <v>8</v>
      </c>
      <c r="K390" s="65" t="str">
        <f>INDEX(Data!$DT$91:$DT$190,MATCH($B390,Data!$A$91:$A$190,0))</f>
        <v>Róbert Furka</v>
      </c>
      <c r="L390" s="65" t="str">
        <f t="shared" ca="1" si="29"/>
        <v>Best men took only 4 throws</v>
      </c>
      <c r="M390" s="65" t="s">
        <v>1</v>
      </c>
      <c r="N390" s="65" t="s">
        <v>255</v>
      </c>
      <c r="O390" s="65" t="e">
        <f t="shared" ca="1" si="30"/>
        <v>#VALUE!</v>
      </c>
      <c r="P390" s="65" t="str">
        <f t="shared" ca="1" si="31"/>
        <v/>
      </c>
    </row>
    <row r="391" spans="1:16" s="65" customFormat="1" hidden="1" x14ac:dyDescent="0.25">
      <c r="A391" s="65" t="s">
        <v>383</v>
      </c>
      <c r="B391" s="295" t="str">
        <f>IF(OR(AND(Parameter!$B$4=0,Parameter!$C$5="n"),INDEX(Data!$M$91:$M$190,MATCH("M5",Data!$A$91:$A$190,0))&gt;0,INDEX(Data!$N$91:$N$190,MATCH("M5",Data!$A$91:$A$190,0))&gt;0),"M5","M1")</f>
        <v>M5</v>
      </c>
      <c r="C391" s="65">
        <f>INDEX(Parameter!$9:$9,,MATCH(18,Parameter!$8:$8,0))</f>
        <v>17</v>
      </c>
      <c r="D391" s="65">
        <f>INDEX(Parameter!$B$10:$AB$10,MATCH(C391,Parameter!$B$9:$AB$9,0))</f>
        <v>3</v>
      </c>
      <c r="E391" s="65">
        <f>COUNTIF(Data!$DY$90:$IB$90,Specials!C391)</f>
        <v>2</v>
      </c>
      <c r="F391" s="65">
        <f ca="1">OFFSET(Data!$CS$91,MATCH("M1",Data!$A$91:$A$190,0)-1,MATCH(C391,Data!$CS$90:$DS$90,0)-1)</f>
        <v>5</v>
      </c>
      <c r="G391" s="65">
        <f ca="1">OFFSET(Data!$CS$91,MATCH($B391,Data!$A$91:$A$190,0)-1,MATCH(C391,Data!$CS$90:$DS$90,0)-1)</f>
        <v>4</v>
      </c>
      <c r="H391" s="65">
        <f t="shared" ca="1" si="28"/>
        <v>0</v>
      </c>
      <c r="I391" s="65">
        <f t="array" ref="I391">SUM(IF(Data!$A$91:$A$190=$B391,Data!$J$91:$M$190))-SUM(IF(Data!$A$91:$A$190="M1",Data!$J$91:$M$190))</f>
        <v>8</v>
      </c>
      <c r="K391" s="65" t="str">
        <f>INDEX(Data!$DT$91:$DT$190,MATCH($B391,Data!$A$91:$A$190,0))</f>
        <v>Róbert Furka</v>
      </c>
      <c r="L391" s="65" t="str">
        <f t="shared" ca="1" si="29"/>
        <v>Best men took only 5 throws</v>
      </c>
      <c r="M391" s="65" t="s">
        <v>1</v>
      </c>
      <c r="N391" s="65" t="s">
        <v>255</v>
      </c>
      <c r="O391" s="65" t="e">
        <f t="shared" ca="1" si="30"/>
        <v>#VALUE!</v>
      </c>
      <c r="P391" s="65" t="str">
        <f t="shared" ca="1" si="31"/>
        <v/>
      </c>
    </row>
    <row r="392" spans="1:16" s="65" customFormat="1" hidden="1" x14ac:dyDescent="0.25">
      <c r="A392" s="65" t="s">
        <v>383</v>
      </c>
      <c r="B392" s="295" t="str">
        <f>IF(OR(AND(Parameter!$B$4=0,Parameter!$C$5="n"),INDEX(Data!$M$91:$M$190,MATCH("M5",Data!$A$91:$A$190,0))&gt;0,INDEX(Data!$N$91:$N$190,MATCH("M5",Data!$A$91:$A$190,0))&gt;0),"M5","M1")</f>
        <v>M5</v>
      </c>
      <c r="C392" s="65">
        <f>INDEX(Parameter!$9:$9,,MATCH(19,Parameter!$8:$8,0))</f>
        <v>18</v>
      </c>
      <c r="D392" s="65">
        <f>INDEX(Parameter!$B$10:$AB$10,MATCH(C392,Parameter!$B$9:$AB$9,0))</f>
        <v>3</v>
      </c>
      <c r="E392" s="65">
        <f>COUNTIF(Data!$DY$90:$IB$90,Specials!C392)</f>
        <v>2</v>
      </c>
      <c r="F392" s="65">
        <f ca="1">OFFSET(Data!$CS$91,MATCH("M1",Data!$A$91:$A$190,0)-1,MATCH(C392,Data!$CS$90:$DS$90,0)-1)</f>
        <v>6</v>
      </c>
      <c r="G392" s="65">
        <f ca="1">OFFSET(Data!$CS$91,MATCH($B392,Data!$A$91:$A$190,0)-1,MATCH(C392,Data!$CS$90:$DS$90,0)-1)</f>
        <v>6</v>
      </c>
      <c r="H392" s="65">
        <f t="shared" ca="1" si="28"/>
        <v>0</v>
      </c>
      <c r="I392" s="65">
        <f t="array" ref="I392">SUM(IF(Data!$A$91:$A$190=$B392,Data!$J$91:$M$190))-SUM(IF(Data!$A$91:$A$190="M1",Data!$J$91:$M$190))</f>
        <v>8</v>
      </c>
      <c r="K392" s="65" t="str">
        <f>INDEX(Data!$DT$91:$DT$190,MATCH($B392,Data!$A$91:$A$190,0))</f>
        <v>Róbert Furka</v>
      </c>
      <c r="L392" s="65" t="str">
        <f t="shared" ca="1" si="29"/>
        <v>Best men took only 6 throws</v>
      </c>
      <c r="M392" s="65" t="s">
        <v>1</v>
      </c>
      <c r="N392" s="65" t="s">
        <v>255</v>
      </c>
      <c r="O392" s="65" t="e">
        <f t="shared" ca="1" si="30"/>
        <v>#VALUE!</v>
      </c>
      <c r="P392" s="65" t="str">
        <f t="shared" ca="1" si="31"/>
        <v/>
      </c>
    </row>
    <row r="393" spans="1:16" s="65" customFormat="1" hidden="1" x14ac:dyDescent="0.25">
      <c r="A393" s="65" t="s">
        <v>383</v>
      </c>
      <c r="B393" s="295" t="str">
        <f>IF(OR(AND(Parameter!$B$4=0,Parameter!$C$5="n"),INDEX(Data!$M$91:$M$190,MATCH("M5",Data!$A$91:$A$190,0))&gt;0,INDEX(Data!$N$91:$N$190,MATCH("M5",Data!$A$91:$A$190,0))&gt;0),"M5","M1")</f>
        <v>M5</v>
      </c>
      <c r="C393" s="65">
        <f>INDEX(Parameter!$9:$9,,MATCH(20,Parameter!$8:$8,0))</f>
        <v>20</v>
      </c>
      <c r="D393" s="65" t="str">
        <f>INDEX(Parameter!$B$10:$AB$10,MATCH(C393,Parameter!$B$9:$AB$9,0))</f>
        <v>no</v>
      </c>
      <c r="E393" s="65">
        <f>COUNTIF(Data!$DY$90:$IB$90,Specials!C393)</f>
        <v>0</v>
      </c>
      <c r="F393" s="65">
        <f ca="1">OFFSET(Data!$CS$91,MATCH("M1",Data!$A$91:$A$190,0)-1,MATCH(C393,Data!$CS$90:$DS$90,0)-1)</f>
        <v>0</v>
      </c>
      <c r="G393" s="65">
        <f ca="1">OFFSET(Data!$CS$91,MATCH($B393,Data!$A$91:$A$190,0)-1,MATCH(C393,Data!$CS$90:$DS$90,0)-1)</f>
        <v>0</v>
      </c>
      <c r="H393" s="65">
        <f t="shared" ca="1" si="28"/>
        <v>0</v>
      </c>
      <c r="I393" s="65">
        <f t="array" ref="I393">SUM(IF(Data!$A$91:$A$190=$B393,Data!$J$91:$M$190))-SUM(IF(Data!$A$91:$A$190="M1",Data!$J$91:$M$190))</f>
        <v>8</v>
      </c>
      <c r="K393" s="65" t="str">
        <f>INDEX(Data!$DT$91:$DT$190,MATCH($B393,Data!$A$91:$A$190,0))</f>
        <v>Róbert Furka</v>
      </c>
      <c r="L393" s="65" t="str">
        <f t="shared" ca="1" si="29"/>
        <v>Best men took only 0 throws</v>
      </c>
      <c r="M393" s="65" t="s">
        <v>1</v>
      </c>
      <c r="N393" s="65" t="s">
        <v>255</v>
      </c>
      <c r="O393" s="65" t="e">
        <f t="shared" ca="1" si="30"/>
        <v>#VALUE!</v>
      </c>
      <c r="P393" s="65" t="str">
        <f t="shared" ca="1" si="31"/>
        <v/>
      </c>
    </row>
    <row r="394" spans="1:16" s="65" customFormat="1" hidden="1" x14ac:dyDescent="0.25">
      <c r="A394" s="65" t="s">
        <v>383</v>
      </c>
      <c r="B394" s="295" t="str">
        <f>IF(OR(AND(Parameter!$B$4=0,Parameter!$C$5="n"),INDEX(Data!$M$91:$M$190,MATCH("M5",Data!$A$91:$A$190,0))&gt;0,INDEX(Data!$N$91:$N$190,MATCH("M5",Data!$A$91:$A$190,0))&gt;0),"M5","M1")</f>
        <v>M5</v>
      </c>
      <c r="C394" s="65">
        <f>INDEX(Parameter!$9:$9,,MATCH(21,Parameter!$8:$8,0))</f>
        <v>21</v>
      </c>
      <c r="D394" s="65" t="str">
        <f>INDEX(Parameter!$B$10:$AB$10,MATCH(C394,Parameter!$B$9:$AB$9,0))</f>
        <v>no</v>
      </c>
      <c r="E394" s="65">
        <f>COUNTIF(Data!$DY$90:$IB$90,Specials!C394)</f>
        <v>0</v>
      </c>
      <c r="F394" s="65">
        <f ca="1">OFFSET(Data!$CS$91,MATCH("M1",Data!$A$91:$A$190,0)-1,MATCH(C394,Data!$CS$90:$DS$90,0)-1)</f>
        <v>0</v>
      </c>
      <c r="G394" s="65">
        <f ca="1">OFFSET(Data!$CS$91,MATCH($B394,Data!$A$91:$A$190,0)-1,MATCH(C394,Data!$CS$90:$DS$90,0)-1)</f>
        <v>0</v>
      </c>
      <c r="H394" s="65">
        <f t="shared" ca="1" si="28"/>
        <v>0</v>
      </c>
      <c r="I394" s="65">
        <f t="array" ref="I394">SUM(IF(Data!$A$91:$A$190=$B394,Data!$J$91:$M$190))-SUM(IF(Data!$A$91:$A$190="M1",Data!$J$91:$M$190))</f>
        <v>8</v>
      </c>
      <c r="K394" s="65" t="str">
        <f>INDEX(Data!$DT$91:$DT$190,MATCH($B394,Data!$A$91:$A$190,0))</f>
        <v>Róbert Furka</v>
      </c>
      <c r="L394" s="65" t="str">
        <f t="shared" ca="1" si="29"/>
        <v>Best men took only 0 throws</v>
      </c>
      <c r="M394" s="65" t="s">
        <v>1</v>
      </c>
      <c r="N394" s="65" t="s">
        <v>255</v>
      </c>
      <c r="O394" s="65" t="e">
        <f t="shared" ca="1" si="30"/>
        <v>#VALUE!</v>
      </c>
      <c r="P394" s="65" t="str">
        <f t="shared" ca="1" si="31"/>
        <v/>
      </c>
    </row>
    <row r="395" spans="1:16" s="65" customFormat="1" hidden="1" x14ac:dyDescent="0.25">
      <c r="A395" s="65" t="s">
        <v>383</v>
      </c>
      <c r="B395" s="295" t="str">
        <f>IF(OR(AND(Parameter!$B$4=0,Parameter!$C$5="n"),INDEX(Data!$M$91:$M$190,MATCH("M5",Data!$A$91:$A$190,0))&gt;0,INDEX(Data!$N$91:$N$190,MATCH("M5",Data!$A$91:$A$190,0))&gt;0),"M5","M1")</f>
        <v>M5</v>
      </c>
      <c r="C395" s="65">
        <f>INDEX(Parameter!$9:$9,,MATCH(22,Parameter!$8:$8,0))</f>
        <v>22</v>
      </c>
      <c r="D395" s="65" t="str">
        <f>INDEX(Parameter!$B$10:$AB$10,MATCH(C395,Parameter!$B$9:$AB$9,0))</f>
        <v>no</v>
      </c>
      <c r="E395" s="65">
        <f>COUNTIF(Data!$DY$90:$IB$90,Specials!C395)</f>
        <v>0</v>
      </c>
      <c r="F395" s="65">
        <f ca="1">OFFSET(Data!$CS$91,MATCH("M1",Data!$A$91:$A$190,0)-1,MATCH(C395,Data!$CS$90:$DS$90,0)-1)</f>
        <v>0</v>
      </c>
      <c r="G395" s="65">
        <f ca="1">OFFSET(Data!$CS$91,MATCH($B395,Data!$A$91:$A$190,0)-1,MATCH(C395,Data!$CS$90:$DS$90,0)-1)</f>
        <v>0</v>
      </c>
      <c r="H395" s="65">
        <f t="shared" ca="1" si="28"/>
        <v>0</v>
      </c>
      <c r="I395" s="65">
        <f t="array" ref="I395">SUM(IF(Data!$A$91:$A$190=$B395,Data!$J$91:$M$190))-SUM(IF(Data!$A$91:$A$190="M1",Data!$J$91:$M$190))</f>
        <v>8</v>
      </c>
      <c r="K395" s="65" t="str">
        <f>INDEX(Data!$DT$91:$DT$190,MATCH($B395,Data!$A$91:$A$190,0))</f>
        <v>Róbert Furka</v>
      </c>
      <c r="L395" s="65" t="str">
        <f t="shared" ca="1" si="29"/>
        <v>Best men took only 0 throws</v>
      </c>
      <c r="M395" s="65" t="s">
        <v>1</v>
      </c>
      <c r="N395" s="65" t="s">
        <v>255</v>
      </c>
      <c r="O395" s="65" t="e">
        <f t="shared" ca="1" si="30"/>
        <v>#VALUE!</v>
      </c>
      <c r="P395" s="65" t="str">
        <f t="shared" ca="1" si="31"/>
        <v/>
      </c>
    </row>
    <row r="396" spans="1:16" s="65" customFormat="1" hidden="1" x14ac:dyDescent="0.25">
      <c r="A396" s="65" t="s">
        <v>383</v>
      </c>
      <c r="B396" s="295" t="str">
        <f>IF(OR(AND(Parameter!$B$4=0,Parameter!$C$5="n"),INDEX(Data!$M$91:$M$190,MATCH("M5",Data!$A$91:$A$190,0))&gt;0,INDEX(Data!$N$91:$N$190,MATCH("M5",Data!$A$91:$A$190,0))&gt;0),"M5","M1")</f>
        <v>M5</v>
      </c>
      <c r="C396" s="65">
        <f>INDEX(Parameter!$9:$9,,MATCH(23,Parameter!$8:$8,0))</f>
        <v>23</v>
      </c>
      <c r="D396" s="65" t="str">
        <f>INDEX(Parameter!$B$10:$AB$10,MATCH(C396,Parameter!$B$9:$AB$9,0))</f>
        <v>no</v>
      </c>
      <c r="E396" s="65">
        <f>COUNTIF(Data!$DY$90:$IB$90,Specials!C396)</f>
        <v>0</v>
      </c>
      <c r="F396" s="65">
        <f ca="1">OFFSET(Data!$CS$91,MATCH("M1",Data!$A$91:$A$190,0)-1,MATCH(C396,Data!$CS$90:$DS$90,0)-1)</f>
        <v>0</v>
      </c>
      <c r="G396" s="65">
        <f ca="1">OFFSET(Data!$CS$91,MATCH($B396,Data!$A$91:$A$190,0)-1,MATCH(C396,Data!$CS$90:$DS$90,0)-1)</f>
        <v>0</v>
      </c>
      <c r="H396" s="65">
        <f t="shared" ca="1" si="28"/>
        <v>0</v>
      </c>
      <c r="I396" s="65">
        <f t="array" ref="I396">SUM(IF(Data!$A$91:$A$190=$B396,Data!$J$91:$M$190))-SUM(IF(Data!$A$91:$A$190="M1",Data!$J$91:$M$190))</f>
        <v>8</v>
      </c>
      <c r="K396" s="65" t="str">
        <f>INDEX(Data!$DT$91:$DT$190,MATCH($B396,Data!$A$91:$A$190,0))</f>
        <v>Róbert Furka</v>
      </c>
      <c r="L396" s="65" t="str">
        <f t="shared" ca="1" si="29"/>
        <v>Best men took only 0 throws</v>
      </c>
      <c r="M396" s="65" t="s">
        <v>1</v>
      </c>
      <c r="N396" s="65" t="s">
        <v>255</v>
      </c>
      <c r="O396" s="65" t="e">
        <f t="shared" ca="1" si="30"/>
        <v>#VALUE!</v>
      </c>
      <c r="P396" s="65" t="str">
        <f t="shared" ca="1" si="31"/>
        <v/>
      </c>
    </row>
    <row r="397" spans="1:16" s="65" customFormat="1" hidden="1" x14ac:dyDescent="0.25">
      <c r="A397" s="65" t="s">
        <v>383</v>
      </c>
      <c r="B397" s="295" t="str">
        <f>IF(OR(AND(Parameter!$B$4=0,Parameter!$C$5="n"),INDEX(Data!$M$91:$M$190,MATCH("M5",Data!$A$91:$A$190,0))&gt;0,INDEX(Data!$N$91:$N$190,MATCH("M5",Data!$A$91:$A$190,0))&gt;0),"M5","M1")</f>
        <v>M5</v>
      </c>
      <c r="C397" s="65">
        <f>INDEX(Parameter!$9:$9,,MATCH(24,Parameter!$8:$8,0))</f>
        <v>24</v>
      </c>
      <c r="D397" s="65" t="str">
        <f>INDEX(Parameter!$B$10:$AB$10,MATCH(C397,Parameter!$B$9:$AB$9,0))</f>
        <v>no</v>
      </c>
      <c r="E397" s="65">
        <f>COUNTIF(Data!$DY$90:$IB$90,Specials!C397)</f>
        <v>0</v>
      </c>
      <c r="F397" s="65">
        <f ca="1">OFFSET(Data!$CS$91,MATCH("M1",Data!$A$91:$A$190,0)-1,MATCH(C397,Data!$CS$90:$DS$90,0)-1)</f>
        <v>0</v>
      </c>
      <c r="G397" s="65">
        <f ca="1">OFFSET(Data!$CS$91,MATCH($B397,Data!$A$91:$A$190,0)-1,MATCH(C397,Data!$CS$90:$DS$90,0)-1)</f>
        <v>0</v>
      </c>
      <c r="H397" s="65">
        <f t="shared" ca="1" si="28"/>
        <v>0</v>
      </c>
      <c r="I397" s="65">
        <f t="array" ref="I397">SUM(IF(Data!$A$91:$A$190=$B397,Data!$J$91:$M$190))-SUM(IF(Data!$A$91:$A$190="M1",Data!$J$91:$M$190))</f>
        <v>8</v>
      </c>
      <c r="K397" s="65" t="str">
        <f>INDEX(Data!$DT$91:$DT$190,MATCH($B397,Data!$A$91:$A$190,0))</f>
        <v>Róbert Furka</v>
      </c>
      <c r="L397" s="65" t="str">
        <f t="shared" ca="1" si="29"/>
        <v>Best men took only 0 throws</v>
      </c>
      <c r="M397" s="65" t="s">
        <v>1</v>
      </c>
      <c r="N397" s="65" t="s">
        <v>255</v>
      </c>
      <c r="O397" s="65" t="e">
        <f t="shared" ca="1" si="30"/>
        <v>#VALUE!</v>
      </c>
      <c r="P397" s="65" t="str">
        <f t="shared" ca="1" si="31"/>
        <v/>
      </c>
    </row>
    <row r="398" spans="1:16" s="65" customFormat="1" hidden="1" x14ac:dyDescent="0.25">
      <c r="A398" s="65" t="s">
        <v>383</v>
      </c>
      <c r="B398" s="295" t="str">
        <f>IF(OR(AND(Parameter!$B$4=0,Parameter!$C$5="n"),INDEX(Data!$M$91:$M$190,MATCH("M5",Data!$A$91:$A$190,0))&gt;0,INDEX(Data!$N$91:$N$190,MATCH("M5",Data!$A$91:$A$190,0))&gt;0),"M5","M1")</f>
        <v>M5</v>
      </c>
      <c r="C398" s="65">
        <f>INDEX(Parameter!$9:$9,,MATCH(25,Parameter!$8:$8,0))</f>
        <v>25</v>
      </c>
      <c r="D398" s="65" t="str">
        <f>INDEX(Parameter!$B$10:$AB$10,MATCH(C398,Parameter!$B$9:$AB$9,0))</f>
        <v>no</v>
      </c>
      <c r="E398" s="65">
        <f>COUNTIF(Data!$DY$90:$IB$90,Specials!C398)</f>
        <v>0</v>
      </c>
      <c r="F398" s="65">
        <f ca="1">OFFSET(Data!$CS$91,MATCH("M1",Data!$A$91:$A$190,0)-1,MATCH(C398,Data!$CS$90:$DS$90,0)-1)</f>
        <v>0</v>
      </c>
      <c r="G398" s="65">
        <f ca="1">OFFSET(Data!$CS$91,MATCH($B398,Data!$A$91:$A$190,0)-1,MATCH(C398,Data!$CS$90:$DS$90,0)-1)</f>
        <v>0</v>
      </c>
      <c r="H398" s="65">
        <f t="shared" ca="1" si="28"/>
        <v>0</v>
      </c>
      <c r="I398" s="65">
        <f t="array" ref="I398">SUM(IF(Data!$A$91:$A$190=$B398,Data!$J$91:$M$190))-SUM(IF(Data!$A$91:$A$190="M1",Data!$J$91:$M$190))</f>
        <v>8</v>
      </c>
      <c r="K398" s="65" t="str">
        <f>INDEX(Data!$DT$91:$DT$190,MATCH($B398,Data!$A$91:$A$190,0))</f>
        <v>Róbert Furka</v>
      </c>
      <c r="L398" s="65" t="str">
        <f t="shared" ca="1" si="29"/>
        <v>Best men took only 0 throws</v>
      </c>
      <c r="M398" s="65" t="s">
        <v>1</v>
      </c>
      <c r="N398" s="65" t="s">
        <v>255</v>
      </c>
      <c r="O398" s="65" t="e">
        <f t="shared" ca="1" si="30"/>
        <v>#VALUE!</v>
      </c>
      <c r="P398" s="65" t="str">
        <f t="shared" ca="1" si="31"/>
        <v/>
      </c>
    </row>
    <row r="399" spans="1:16" s="65" customFormat="1" hidden="1" x14ac:dyDescent="0.25">
      <c r="A399" s="65" t="s">
        <v>383</v>
      </c>
      <c r="B399" s="295" t="str">
        <f>IF(OR(AND(Parameter!$B$4=0,Parameter!$C$5="n"),INDEX(Data!$M$91:$M$190,MATCH("M5",Data!$A$91:$A$190,0))&gt;0,INDEX(Data!$N$91:$N$190,MATCH("M5",Data!$A$91:$A$190,0))&gt;0),"M5","M1")</f>
        <v>M5</v>
      </c>
      <c r="C399" s="65">
        <f>INDEX(Parameter!$9:$9,,MATCH(26,Parameter!$8:$8,0))</f>
        <v>26</v>
      </c>
      <c r="D399" s="65" t="str">
        <f>INDEX(Parameter!$B$10:$AB$10,MATCH(C399,Parameter!$B$9:$AB$9,0))</f>
        <v>no</v>
      </c>
      <c r="E399" s="65">
        <f>COUNTIF(Data!$DY$90:$IB$90,Specials!C399)</f>
        <v>0</v>
      </c>
      <c r="F399" s="65">
        <f ca="1">OFFSET(Data!$CS$91,MATCH("M1",Data!$A$91:$A$190,0)-1,MATCH(C399,Data!$CS$90:$DS$90,0)-1)</f>
        <v>0</v>
      </c>
      <c r="G399" s="65">
        <f ca="1">OFFSET(Data!$CS$91,MATCH($B399,Data!$A$91:$A$190,0)-1,MATCH(C399,Data!$CS$90:$DS$90,0)-1)</f>
        <v>0</v>
      </c>
      <c r="H399" s="65">
        <f t="shared" ca="1" si="28"/>
        <v>0</v>
      </c>
      <c r="I399" s="65">
        <f t="array" ref="I399">SUM(IF(Data!$A$91:$A$190=$B399,Data!$J$91:$M$190))-SUM(IF(Data!$A$91:$A$190="M1",Data!$J$91:$M$190))</f>
        <v>8</v>
      </c>
      <c r="K399" s="65" t="str">
        <f>INDEX(Data!$DT$91:$DT$190,MATCH($B399,Data!$A$91:$A$190,0))</f>
        <v>Róbert Furka</v>
      </c>
      <c r="L399" s="65" t="str">
        <f t="shared" ca="1" si="29"/>
        <v>Best men took only 0 throws</v>
      </c>
      <c r="M399" s="65" t="s">
        <v>1</v>
      </c>
      <c r="N399" s="65" t="s">
        <v>255</v>
      </c>
      <c r="O399" s="65" t="e">
        <f t="shared" ca="1" si="30"/>
        <v>#VALUE!</v>
      </c>
      <c r="P399" s="65" t="str">
        <f t="shared" ca="1" si="31"/>
        <v/>
      </c>
    </row>
    <row r="400" spans="1:16" s="65" customFormat="1" hidden="1" x14ac:dyDescent="0.25">
      <c r="A400" s="65" t="s">
        <v>383</v>
      </c>
      <c r="B400" s="295" t="str">
        <f>IF(OR(AND(Parameter!$B$4=0,Parameter!$C$5="n"),INDEX(Data!$M$91:$M$190,MATCH("M5",Data!$A$91:$A$190,0))&gt;0,INDEX(Data!$N$91:$N$190,MATCH("M5",Data!$A$91:$A$190,0))&gt;0),"M5","M1")</f>
        <v>M5</v>
      </c>
      <c r="C400" s="65">
        <f>INDEX(Parameter!$9:$9,,MATCH(27,Parameter!$8:$8,0))</f>
        <v>27</v>
      </c>
      <c r="D400" s="65" t="str">
        <f>INDEX(Parameter!$B$10:$AB$10,MATCH(C400,Parameter!$B$9:$AB$9,0))</f>
        <v>no</v>
      </c>
      <c r="E400" s="65">
        <f>COUNTIF(Data!$DY$90:$IB$90,Specials!C400)</f>
        <v>0</v>
      </c>
      <c r="F400" s="65">
        <f ca="1">OFFSET(Data!$CS$91,MATCH("M1",Data!$A$91:$A$190,0)-1,MATCH(C400,Data!$CS$90:$DS$90,0)-1)</f>
        <v>0</v>
      </c>
      <c r="G400" s="65">
        <f ca="1">OFFSET(Data!$CS$91,MATCH($B400,Data!$A$91:$A$190,0)-1,MATCH(C400,Data!$CS$90:$DS$90,0)-1)</f>
        <v>0</v>
      </c>
      <c r="H400" s="65">
        <f t="shared" ca="1" si="28"/>
        <v>0</v>
      </c>
      <c r="I400" s="65">
        <f t="array" ref="I400">SUM(IF(Data!$A$91:$A$190=$B400,Data!$J$91:$M$190))-SUM(IF(Data!$A$91:$A$190="M1",Data!$J$91:$M$190))</f>
        <v>8</v>
      </c>
      <c r="K400" s="65" t="str">
        <f>INDEX(Data!$DT$91:$DT$190,MATCH($B400,Data!$A$91:$A$190,0))</f>
        <v>Róbert Furka</v>
      </c>
      <c r="L400" s="65" t="str">
        <f t="shared" ca="1" si="29"/>
        <v>Best men took only 0 throws</v>
      </c>
      <c r="M400" s="65" t="s">
        <v>1</v>
      </c>
      <c r="N400" s="65" t="s">
        <v>255</v>
      </c>
      <c r="O400" s="65" t="e">
        <f t="shared" ca="1" si="30"/>
        <v>#VALUE!</v>
      </c>
      <c r="P400" s="65" t="str">
        <f t="shared" ca="1" si="31"/>
        <v/>
      </c>
    </row>
    <row r="401" spans="1:16" s="78" customFormat="1" ht="15" hidden="1" customHeight="1" x14ac:dyDescent="0.25">
      <c r="A401" s="78" t="s">
        <v>379</v>
      </c>
      <c r="B401" s="297"/>
      <c r="C401" s="78">
        <f>INDEX(Parameter!$9:$9,,MATCH(1,Parameter!$8:$8,0))</f>
        <v>1</v>
      </c>
      <c r="D401" s="78">
        <f>INDEX(Parameter!$B$10:$AB$10,MATCH(C401,Parameter!$B$9:$AB$9,0))</f>
        <v>3</v>
      </c>
      <c r="E401" s="78">
        <f>COUNTIF(Data!$DY$90:$IB$90,Specials!C401)</f>
        <v>2</v>
      </c>
      <c r="F401" s="78">
        <f ca="1">OFFSET(Data!$CS$91,MATCH("M1",Data!$A$91:$A$190,0)-1,MATCH(C401,Data!$CS$90:$DS$90,0)-1)</f>
        <v>5</v>
      </c>
      <c r="G401" s="78">
        <f t="array" aca="1" ref="G401" ca="1">SMALL(IF((Data!$AM$91:$AM$190&lt;&gt;0)*(Data!$DW$91:$DW$190="M")*(IF(Parameter!$B$4&gt;0,Data!$M$91:$M$190&lt;999,1)),OFFSET(Data!$CS$91:$CS$190,,MATCH(C401,Data!$CS$90:$DS$90,0)-1)),1)</f>
        <v>4</v>
      </c>
      <c r="H401" s="78">
        <f t="array" aca="1" ref="H401" ca="1">IF(AND(G401&lt;=F401-E401*1,G401&lt;&gt;0),SUM(IF((OFFSET(Data!$CS$91:$CS$190,,MATCH(C401,Data!$CS$90:$DS$90,0)-1)=Specials!G401)*(Data!$DW$91:$DW$190="M"),1)),0)</f>
        <v>0</v>
      </c>
      <c r="K401" s="78" t="str">
        <f t="array" aca="1" ref="K401" ca="1">IF(H401=1,INDEX(Data!$DT$91:$DT$190,MATCH(G401,(OFFSET(Data!$CS$91:$CS$190,,MATCH(C401,Data!$CS$90:$DS$90,0)-1))*(Data!$DW$91:$DW$190="M"),0)),H401&amp;" Players")</f>
        <v>0 Players</v>
      </c>
      <c r="L401" s="78" t="str">
        <f ca="1">"Best men took "&amp;F401&amp;" throws"</f>
        <v>Best men took 5 throws</v>
      </c>
      <c r="M401" s="78" t="s">
        <v>1</v>
      </c>
      <c r="N401" s="78" t="s">
        <v>255</v>
      </c>
      <c r="O401" s="78" t="e">
        <f t="shared" ca="1" si="30"/>
        <v>#VALUE!</v>
      </c>
      <c r="P401" s="78" t="str">
        <f t="shared" ref="P401:P427" ca="1" si="32">IF(H401=1,"On hole "&amp;C401&amp;" (par "&amp;D401&amp;") "&amp;K401&amp;" played "&amp;F401-G401&amp;" throws better than best men ("&amp;$E401&amp;" rounds)","")</f>
        <v/>
      </c>
    </row>
    <row r="402" spans="1:16" s="78" customFormat="1" x14ac:dyDescent="0.25">
      <c r="A402" s="78" t="s">
        <v>63</v>
      </c>
      <c r="B402" s="297" t="s">
        <v>240</v>
      </c>
      <c r="C402" s="78" t="s">
        <v>36</v>
      </c>
      <c r="D402" s="78" t="s">
        <v>241</v>
      </c>
      <c r="E402" s="78" t="s">
        <v>242</v>
      </c>
      <c r="F402" s="78" t="s">
        <v>243</v>
      </c>
      <c r="G402" s="78" t="s">
        <v>244</v>
      </c>
      <c r="H402" s="78" t="s">
        <v>245</v>
      </c>
      <c r="I402" s="78" t="s">
        <v>246</v>
      </c>
      <c r="J402" s="78" t="s">
        <v>247</v>
      </c>
      <c r="L402" s="78" t="s">
        <v>248</v>
      </c>
      <c r="M402" s="78" t="s">
        <v>249</v>
      </c>
      <c r="N402" s="78" t="s">
        <v>250</v>
      </c>
      <c r="O402" s="78" t="s">
        <v>251</v>
      </c>
      <c r="P402" s="78" t="s">
        <v>252</v>
      </c>
    </row>
    <row r="403" spans="1:16" s="78" customFormat="1" hidden="1" x14ac:dyDescent="0.25">
      <c r="A403" s="78" t="s">
        <v>379</v>
      </c>
      <c r="B403" s="297"/>
      <c r="C403" s="78">
        <f>INDEX(Parameter!$9:$9,,MATCH(3,Parameter!$8:$8,0))</f>
        <v>3</v>
      </c>
      <c r="D403" s="78">
        <f>INDEX(Parameter!$B$10:$AB$10,MATCH(C403,Parameter!$B$9:$AB$9,0))</f>
        <v>3</v>
      </c>
      <c r="E403" s="78">
        <f>COUNTIF(Data!$DY$90:$IB$90,Specials!C403)</f>
        <v>2</v>
      </c>
      <c r="F403" s="78">
        <f ca="1">OFFSET(Data!$CS$91,MATCH("M1",Data!$A$91:$A$190,0)-1,MATCH(C403,Data!$CS$90:$DS$90,0)-1)</f>
        <v>5</v>
      </c>
      <c r="G403" s="78">
        <f t="array" aca="1" ref="G403" ca="1">SMALL(IF((Data!$AM$91:$AM$190&lt;&gt;0)*(Data!$DW$91:$DW$190="M")*(IF(Parameter!$B$4&gt;0,Data!$M$91:$M$190&lt;999,1)),OFFSET(Data!$CS$91:$CS$190,,MATCH(C403,Data!$CS$90:$DS$90,0)-1)),1)</f>
        <v>4</v>
      </c>
      <c r="H403" s="78">
        <f t="array" aca="1" ref="H403" ca="1">IF(AND(G403&lt;=F403-E403*1,G403&lt;&gt;0),SUM(IF((OFFSET(Data!$CS$91:$CS$190,,MATCH(C403,Data!$CS$90:$DS$90,0)-1)=Specials!G403)*(Data!$DW$91:$DW$190="M"),1)),0)</f>
        <v>0</v>
      </c>
      <c r="K403" s="78" t="str">
        <f t="array" aca="1" ref="K403" ca="1">IF(H403=1,INDEX(Data!$DT$91:$DT$190,MATCH(G403,(OFFSET(Data!$CS$91:$CS$190,,MATCH(C403,Data!$CS$90:$DS$90,0)-1))*(Data!$DW$91:$DW$190="M"),0)),H403&amp;" Players")</f>
        <v>0 Players</v>
      </c>
      <c r="L403" s="78" t="str">
        <f t="shared" ref="L402:L427" ca="1" si="33">"Best men took "&amp;F403&amp;" throws"</f>
        <v>Best men took 5 throws</v>
      </c>
      <c r="M403" s="78" t="s">
        <v>1</v>
      </c>
      <c r="N403" s="78" t="s">
        <v>255</v>
      </c>
      <c r="O403" s="78" t="str">
        <f t="shared" ca="1" si="30"/>
        <v>#</v>
      </c>
      <c r="P403" s="78" t="str">
        <f t="shared" ca="1" si="32"/>
        <v/>
      </c>
    </row>
    <row r="404" spans="1:16" s="78" customFormat="1" hidden="1" x14ac:dyDescent="0.25">
      <c r="A404" s="78" t="s">
        <v>379</v>
      </c>
      <c r="B404" s="297"/>
      <c r="C404" s="78">
        <f>INDEX(Parameter!$9:$9,,MATCH(4,Parameter!$8:$8,0))</f>
        <v>4</v>
      </c>
      <c r="D404" s="78">
        <f>INDEX(Parameter!$B$10:$AB$10,MATCH(C404,Parameter!$B$9:$AB$9,0))</f>
        <v>3</v>
      </c>
      <c r="E404" s="78">
        <f>COUNTIF(Data!$DY$90:$IB$90,Specials!C404)</f>
        <v>2</v>
      </c>
      <c r="F404" s="78">
        <f ca="1">OFFSET(Data!$CS$91,MATCH("M1",Data!$A$91:$A$190,0)-1,MATCH(C404,Data!$CS$90:$DS$90,0)-1)</f>
        <v>6</v>
      </c>
      <c r="G404" s="78">
        <f t="array" aca="1" ref="G404" ca="1">SMALL(IF((Data!$AM$91:$AM$190&lt;&gt;0)*(Data!$DW$91:$DW$190="M")*(IF(Parameter!$B$4&gt;0,Data!$M$91:$M$190&lt;999,1)),OFFSET(Data!$CS$91:$CS$190,,MATCH(C404,Data!$CS$90:$DS$90,0)-1)),1)</f>
        <v>4</v>
      </c>
      <c r="H404" s="78">
        <f t="array" aca="1" ref="H404" ca="1">IF(AND(G404&lt;=F404-E404*1,G404&lt;&gt;0),SUM(IF((OFFSET(Data!$CS$91:$CS$190,,MATCH(C404,Data!$CS$90:$DS$90,0)-1)=Specials!G404)*(Data!$DW$91:$DW$190="M"),1)),0)</f>
        <v>1</v>
      </c>
      <c r="K404" s="78" t="str">
        <f t="array" aca="1" ref="K404" ca="1">IF(H404=1,INDEX(Data!$DT$91:$DT$190,MATCH(G404,(OFFSET(Data!$CS$91:$CS$190,,MATCH(C404,Data!$CS$90:$DS$90,0)-1))*(Data!$DW$91:$DW$190="M"),0)),H404&amp;" Players")</f>
        <v>Michal Kúdela</v>
      </c>
      <c r="L404" s="78" t="str">
        <f t="shared" ca="1" si="33"/>
        <v>Best men took 6 throws</v>
      </c>
      <c r="M404" s="78" t="s">
        <v>1</v>
      </c>
      <c r="N404" s="78" t="s">
        <v>255</v>
      </c>
      <c r="O404" s="78" t="e">
        <f t="shared" ca="1" si="30"/>
        <v>#VALUE!</v>
      </c>
      <c r="P404" s="78" t="str">
        <f t="shared" ca="1" si="32"/>
        <v>On hole 4 (par 3) Michal Kúdela played 2 throws better than best men (2 rounds)</v>
      </c>
    </row>
    <row r="405" spans="1:16" s="78" customFormat="1" hidden="1" x14ac:dyDescent="0.25">
      <c r="A405" s="78" t="s">
        <v>379</v>
      </c>
      <c r="B405" s="297"/>
      <c r="C405" s="78">
        <f>INDEX(Parameter!$9:$9,,MATCH(5,Parameter!$8:$8,0))</f>
        <v>5</v>
      </c>
      <c r="D405" s="78">
        <f>INDEX(Parameter!$B$10:$AB$10,MATCH(C405,Parameter!$B$9:$AB$9,0))</f>
        <v>4</v>
      </c>
      <c r="E405" s="78">
        <f>COUNTIF(Data!$DY$90:$IB$90,Specials!C405)</f>
        <v>2</v>
      </c>
      <c r="F405" s="78">
        <f ca="1">OFFSET(Data!$CS$91,MATCH("M1",Data!$A$91:$A$190,0)-1,MATCH(C405,Data!$CS$90:$DS$90,0)-1)</f>
        <v>6</v>
      </c>
      <c r="G405" s="78">
        <f t="array" aca="1" ref="G405" ca="1">SMALL(IF((Data!$AM$91:$AM$190&lt;&gt;0)*(Data!$DW$91:$DW$190="M")*(IF(Parameter!$B$4&gt;0,Data!$M$91:$M$190&lt;999,1)),OFFSET(Data!$CS$91:$CS$190,,MATCH(C405,Data!$CS$90:$DS$90,0)-1)),1)</f>
        <v>6</v>
      </c>
      <c r="H405" s="78">
        <f t="array" aca="1" ref="H405" ca="1">IF(AND(G405&lt;=F405-E405*1,G405&lt;&gt;0),SUM(IF((OFFSET(Data!$CS$91:$CS$190,,MATCH(C405,Data!$CS$90:$DS$90,0)-1)=Specials!G405)*(Data!$DW$91:$DW$190="M"),1)),0)</f>
        <v>0</v>
      </c>
      <c r="K405" s="78" t="str">
        <f t="array" aca="1" ref="K405" ca="1">IF(H405=1,INDEX(Data!$DT$91:$DT$190,MATCH(G405,(OFFSET(Data!$CS$91:$CS$190,,MATCH(C405,Data!$CS$90:$DS$90,0)-1))*(Data!$DW$91:$DW$190="M"),0)),H405&amp;" Players")</f>
        <v>0 Players</v>
      </c>
      <c r="L405" s="78" t="str">
        <f t="shared" ca="1" si="33"/>
        <v>Best men took 6 throws</v>
      </c>
      <c r="M405" s="78" t="s">
        <v>1</v>
      </c>
      <c r="N405" s="78" t="s">
        <v>255</v>
      </c>
      <c r="O405" s="78" t="e">
        <f t="shared" ca="1" si="30"/>
        <v>#VALUE!</v>
      </c>
      <c r="P405" s="78" t="str">
        <f t="shared" ca="1" si="32"/>
        <v/>
      </c>
    </row>
    <row r="406" spans="1:16" s="78" customFormat="1" hidden="1" x14ac:dyDescent="0.25">
      <c r="A406" s="78" t="s">
        <v>379</v>
      </c>
      <c r="B406" s="297"/>
      <c r="C406" s="78">
        <f>INDEX(Parameter!$9:$9,,MATCH(6,Parameter!$8:$8,0))</f>
        <v>6</v>
      </c>
      <c r="D406" s="78">
        <f>INDEX(Parameter!$B$10:$AB$10,MATCH(C406,Parameter!$B$9:$AB$9,0))</f>
        <v>3</v>
      </c>
      <c r="E406" s="78">
        <f>COUNTIF(Data!$DY$90:$IB$90,Specials!C406)</f>
        <v>2</v>
      </c>
      <c r="F406" s="78">
        <f ca="1">OFFSET(Data!$CS$91,MATCH("M1",Data!$A$91:$A$190,0)-1,MATCH(C406,Data!$CS$90:$DS$90,0)-1)</f>
        <v>5</v>
      </c>
      <c r="G406" s="78">
        <f t="array" aca="1" ref="G406" ca="1">SMALL(IF((Data!$AM$91:$AM$190&lt;&gt;0)*(Data!$DW$91:$DW$190="M")*(IF(Parameter!$B$4&gt;0,Data!$M$91:$M$190&lt;999,1)),OFFSET(Data!$CS$91:$CS$190,,MATCH(C406,Data!$CS$90:$DS$90,0)-1)),1)</f>
        <v>5</v>
      </c>
      <c r="H406" s="78">
        <f t="array" aca="1" ref="H406" ca="1">IF(AND(G406&lt;=F406-E406*1,G406&lt;&gt;0),SUM(IF((OFFSET(Data!$CS$91:$CS$190,,MATCH(C406,Data!$CS$90:$DS$90,0)-1)=Specials!G406)*(Data!$DW$91:$DW$190="M"),1)),0)</f>
        <v>0</v>
      </c>
      <c r="K406" s="78" t="str">
        <f t="array" aca="1" ref="K406" ca="1">IF(H406=1,INDEX(Data!$DT$91:$DT$190,MATCH(G406,(OFFSET(Data!$CS$91:$CS$190,,MATCH(C406,Data!$CS$90:$DS$90,0)-1))*(Data!$DW$91:$DW$190="M"),0)),H406&amp;" Players")</f>
        <v>0 Players</v>
      </c>
      <c r="L406" s="78" t="str">
        <f t="shared" ca="1" si="33"/>
        <v>Best men took 5 throws</v>
      </c>
      <c r="M406" s="78" t="s">
        <v>1</v>
      </c>
      <c r="N406" s="78" t="s">
        <v>255</v>
      </c>
      <c r="O406" s="78" t="e">
        <f t="shared" ca="1" si="30"/>
        <v>#VALUE!</v>
      </c>
      <c r="P406" s="78" t="str">
        <f t="shared" ca="1" si="32"/>
        <v/>
      </c>
    </row>
    <row r="407" spans="1:16" s="78" customFormat="1" hidden="1" x14ac:dyDescent="0.25">
      <c r="A407" s="78" t="s">
        <v>379</v>
      </c>
      <c r="B407" s="297"/>
      <c r="C407" s="78">
        <f>INDEX(Parameter!$9:$9,,MATCH(7,Parameter!$8:$8,0))</f>
        <v>7</v>
      </c>
      <c r="D407" s="78">
        <f>INDEX(Parameter!$B$10:$AB$10,MATCH(C407,Parameter!$B$9:$AB$9,0))</f>
        <v>3</v>
      </c>
      <c r="E407" s="78">
        <f>COUNTIF(Data!$DY$90:$IB$90,Specials!C407)</f>
        <v>2</v>
      </c>
      <c r="F407" s="78">
        <f ca="1">OFFSET(Data!$CS$91,MATCH("M1",Data!$A$91:$A$190,0)-1,MATCH(C407,Data!$CS$90:$DS$90,0)-1)</f>
        <v>6</v>
      </c>
      <c r="G407" s="78">
        <f t="array" aca="1" ref="G407" ca="1">SMALL(IF((Data!$AM$91:$AM$190&lt;&gt;0)*(Data!$DW$91:$DW$190="M")*(IF(Parameter!$B$4&gt;0,Data!$M$91:$M$190&lt;999,1)),OFFSET(Data!$CS$91:$CS$190,,MATCH(C407,Data!$CS$90:$DS$90,0)-1)),1)</f>
        <v>5</v>
      </c>
      <c r="H407" s="78">
        <f t="array" aca="1" ref="H407" ca="1">IF(AND(G407&lt;=F407-E407*1,G407&lt;&gt;0),SUM(IF((OFFSET(Data!$CS$91:$CS$190,,MATCH(C407,Data!$CS$90:$DS$90,0)-1)=Specials!G407)*(Data!$DW$91:$DW$190="M"),1)),0)</f>
        <v>0</v>
      </c>
      <c r="K407" s="78" t="str">
        <f t="array" aca="1" ref="K407" ca="1">IF(H407=1,INDEX(Data!$DT$91:$DT$190,MATCH(G407,(OFFSET(Data!$CS$91:$CS$190,,MATCH(C407,Data!$CS$90:$DS$90,0)-1))*(Data!$DW$91:$DW$190="M"),0)),H407&amp;" Players")</f>
        <v>0 Players</v>
      </c>
      <c r="L407" s="78" t="str">
        <f t="shared" ca="1" si="33"/>
        <v>Best men took 6 throws</v>
      </c>
      <c r="M407" s="78" t="s">
        <v>1</v>
      </c>
      <c r="N407" s="78" t="s">
        <v>255</v>
      </c>
      <c r="O407" s="78" t="e">
        <f t="shared" ca="1" si="30"/>
        <v>#VALUE!</v>
      </c>
      <c r="P407" s="78" t="str">
        <f t="shared" ca="1" si="32"/>
        <v/>
      </c>
    </row>
    <row r="408" spans="1:16" s="78" customFormat="1" hidden="1" x14ac:dyDescent="0.25">
      <c r="A408" s="78" t="s">
        <v>379</v>
      </c>
      <c r="B408" s="297"/>
      <c r="C408" s="78">
        <f>INDEX(Parameter!$9:$9,,MATCH(8,Parameter!$8:$8,0))</f>
        <v>8</v>
      </c>
      <c r="D408" s="78">
        <f>INDEX(Parameter!$B$10:$AB$10,MATCH(C408,Parameter!$B$9:$AB$9,0))</f>
        <v>3</v>
      </c>
      <c r="E408" s="78">
        <f>COUNTIF(Data!$DY$90:$IB$90,Specials!C408)</f>
        <v>2</v>
      </c>
      <c r="F408" s="78">
        <f ca="1">OFFSET(Data!$CS$91,MATCH("M1",Data!$A$91:$A$190,0)-1,MATCH(C408,Data!$CS$90:$DS$90,0)-1)</f>
        <v>5</v>
      </c>
      <c r="G408" s="78">
        <f t="array" aca="1" ref="G408" ca="1">SMALL(IF((Data!$AM$91:$AM$190&lt;&gt;0)*(Data!$DW$91:$DW$190="M")*(IF(Parameter!$B$4&gt;0,Data!$M$91:$M$190&lt;999,1)),OFFSET(Data!$CS$91:$CS$190,,MATCH(C408,Data!$CS$90:$DS$90,0)-1)),1)</f>
        <v>4</v>
      </c>
      <c r="H408" s="78">
        <f t="array" aca="1" ref="H408" ca="1">IF(AND(G408&lt;=F408-E408*1,G408&lt;&gt;0),SUM(IF((OFFSET(Data!$CS$91:$CS$190,,MATCH(C408,Data!$CS$90:$DS$90,0)-1)=Specials!G408)*(Data!$DW$91:$DW$190="M"),1)),0)</f>
        <v>0</v>
      </c>
      <c r="K408" s="78" t="str">
        <f t="array" aca="1" ref="K408" ca="1">IF(H408=1,INDEX(Data!$DT$91:$DT$190,MATCH(G408,(OFFSET(Data!$CS$91:$CS$190,,MATCH(C408,Data!$CS$90:$DS$90,0)-1))*(Data!$DW$91:$DW$190="M"),0)),H408&amp;" Players")</f>
        <v>0 Players</v>
      </c>
      <c r="L408" s="78" t="str">
        <f t="shared" ca="1" si="33"/>
        <v>Best men took 5 throws</v>
      </c>
      <c r="M408" s="78" t="s">
        <v>1</v>
      </c>
      <c r="N408" s="78" t="s">
        <v>255</v>
      </c>
      <c r="O408" s="78" t="e">
        <f t="shared" ca="1" si="30"/>
        <v>#VALUE!</v>
      </c>
      <c r="P408" s="78" t="str">
        <f t="shared" ca="1" si="32"/>
        <v/>
      </c>
    </row>
    <row r="409" spans="1:16" s="78" customFormat="1" hidden="1" x14ac:dyDescent="0.25">
      <c r="A409" s="78" t="s">
        <v>379</v>
      </c>
      <c r="B409" s="297"/>
      <c r="C409" s="78">
        <f>INDEX(Parameter!$9:$9,,MATCH(9,Parameter!$8:$8,0))</f>
        <v>9</v>
      </c>
      <c r="D409" s="78">
        <f>INDEX(Parameter!$B$10:$AB$10,MATCH(C409,Parameter!$B$9:$AB$9,0))</f>
        <v>4</v>
      </c>
      <c r="E409" s="78">
        <f>COUNTIF(Data!$DY$90:$IB$90,Specials!C409)</f>
        <v>2</v>
      </c>
      <c r="F409" s="78">
        <f ca="1">OFFSET(Data!$CS$91,MATCH("M1",Data!$A$91:$A$190,0)-1,MATCH(C409,Data!$CS$90:$DS$90,0)-1)</f>
        <v>8</v>
      </c>
      <c r="G409" s="78">
        <f t="array" aca="1" ref="G409" ca="1">SMALL(IF((Data!$AM$91:$AM$190&lt;&gt;0)*(Data!$DW$91:$DW$190="M")*(IF(Parameter!$B$4&gt;0,Data!$M$91:$M$190&lt;999,1)),OFFSET(Data!$CS$91:$CS$190,,MATCH(C409,Data!$CS$90:$DS$90,0)-1)),1)</f>
        <v>6</v>
      </c>
      <c r="H409" s="78">
        <f t="array" aca="1" ref="H409" ca="1">IF(AND(G409&lt;=F409-E409*1,G409&lt;&gt;0),SUM(IF((OFFSET(Data!$CS$91:$CS$190,,MATCH(C409,Data!$CS$90:$DS$90,0)-1)=Specials!G409)*(Data!$DW$91:$DW$190="M"),1)),0)</f>
        <v>1</v>
      </c>
      <c r="K409" s="78" t="str">
        <f t="array" aca="1" ref="K409" ca="1">IF(H409=1,INDEX(Data!$DT$91:$DT$190,MATCH(G409,(OFFSET(Data!$CS$91:$CS$190,,MATCH(C409,Data!$CS$90:$DS$90,0)-1))*(Data!$DW$91:$DW$190="M"),0)),H409&amp;" Players")</f>
        <v>Dani Hatvani</v>
      </c>
      <c r="L409" s="78" t="str">
        <f t="shared" ca="1" si="33"/>
        <v>Best men took 8 throws</v>
      </c>
      <c r="M409" s="78" t="s">
        <v>1</v>
      </c>
      <c r="N409" s="78" t="s">
        <v>255</v>
      </c>
      <c r="O409" s="78" t="e">
        <f t="shared" ca="1" si="30"/>
        <v>#VALUE!</v>
      </c>
      <c r="P409" s="78" t="str">
        <f t="shared" ca="1" si="32"/>
        <v>On hole 9 (par 4) Dani Hatvani played 2 throws better than best men (2 rounds)</v>
      </c>
    </row>
    <row r="410" spans="1:16" s="78" customFormat="1" hidden="1" x14ac:dyDescent="0.25">
      <c r="A410" s="78" t="s">
        <v>379</v>
      </c>
      <c r="B410" s="297"/>
      <c r="C410" s="78">
        <f>INDEX(Parameter!$9:$9,,MATCH(10,Parameter!$8:$8,0))</f>
        <v>10</v>
      </c>
      <c r="D410" s="78">
        <f>INDEX(Parameter!$B$10:$AB$10,MATCH(C410,Parameter!$B$9:$AB$9,0))</f>
        <v>4</v>
      </c>
      <c r="E410" s="78">
        <f>COUNTIF(Data!$DY$90:$IB$90,Specials!C410)</f>
        <v>2</v>
      </c>
      <c r="F410" s="78">
        <f ca="1">OFFSET(Data!$CS$91,MATCH("M1",Data!$A$91:$A$190,0)-1,MATCH(C410,Data!$CS$90:$DS$90,0)-1)</f>
        <v>7</v>
      </c>
      <c r="G410" s="78">
        <f t="array" aca="1" ref="G410" ca="1">SMALL(IF((Data!$AM$91:$AM$190&lt;&gt;0)*(Data!$DW$91:$DW$190="M")*(IF(Parameter!$B$4&gt;0,Data!$M$91:$M$190&lt;999,1)),OFFSET(Data!$CS$91:$CS$190,,MATCH(C410,Data!$CS$90:$DS$90,0)-1)),1)</f>
        <v>7</v>
      </c>
      <c r="H410" s="78">
        <f t="array" aca="1" ref="H410" ca="1">IF(AND(G410&lt;=F410-E410*1,G410&lt;&gt;0),SUM(IF((OFFSET(Data!$CS$91:$CS$190,,MATCH(C410,Data!$CS$90:$DS$90,0)-1)=Specials!G410)*(Data!$DW$91:$DW$190="M"),1)),0)</f>
        <v>0</v>
      </c>
      <c r="K410" s="78" t="str">
        <f t="array" aca="1" ref="K410" ca="1">IF(H410=1,INDEX(Data!$DT$91:$DT$190,MATCH(G410,(OFFSET(Data!$CS$91:$CS$190,,MATCH(C410,Data!$CS$90:$DS$90,0)-1))*(Data!$DW$91:$DW$190="M"),0)),H410&amp;" Players")</f>
        <v>0 Players</v>
      </c>
      <c r="L410" s="78" t="str">
        <f t="shared" ca="1" si="33"/>
        <v>Best men took 7 throws</v>
      </c>
      <c r="M410" s="78" t="s">
        <v>1</v>
      </c>
      <c r="N410" s="78" t="s">
        <v>255</v>
      </c>
      <c r="O410" s="78" t="e">
        <f t="shared" ca="1" si="30"/>
        <v>#VALUE!</v>
      </c>
      <c r="P410" s="78" t="str">
        <f t="shared" ca="1" si="32"/>
        <v/>
      </c>
    </row>
    <row r="411" spans="1:16" s="78" customFormat="1" hidden="1" x14ac:dyDescent="0.25">
      <c r="A411" s="78" t="s">
        <v>379</v>
      </c>
      <c r="B411" s="297"/>
      <c r="C411" s="78">
        <f>INDEX(Parameter!$9:$9,,MATCH(11,Parameter!$8:$8,0))</f>
        <v>11</v>
      </c>
      <c r="D411" s="78">
        <f>INDEX(Parameter!$B$10:$AB$10,MATCH(C411,Parameter!$B$9:$AB$9,0))</f>
        <v>4</v>
      </c>
      <c r="E411" s="78">
        <f>COUNTIF(Data!$DY$90:$IB$90,Specials!C411)</f>
        <v>2</v>
      </c>
      <c r="F411" s="78">
        <f ca="1">OFFSET(Data!$CS$91,MATCH("M1",Data!$A$91:$A$190,0)-1,MATCH(C411,Data!$CS$90:$DS$90,0)-1)</f>
        <v>9</v>
      </c>
      <c r="G411" s="78">
        <f t="array" aca="1" ref="G411" ca="1">SMALL(IF((Data!$AM$91:$AM$190&lt;&gt;0)*(Data!$DW$91:$DW$190="M")*(IF(Parameter!$B$4&gt;0,Data!$M$91:$M$190&lt;999,1)),OFFSET(Data!$CS$91:$CS$190,,MATCH(C411,Data!$CS$90:$DS$90,0)-1)),1)</f>
        <v>7</v>
      </c>
      <c r="H411" s="78">
        <f t="array" aca="1" ref="H411" ca="1">IF(AND(G411&lt;=F411-E411*1,G411&lt;&gt;0),SUM(IF((OFFSET(Data!$CS$91:$CS$190,,MATCH(C411,Data!$CS$90:$DS$90,0)-1)=Specials!G411)*(Data!$DW$91:$DW$190="M"),1)),0)</f>
        <v>2</v>
      </c>
      <c r="K411" s="78" t="str">
        <f t="array" aca="1" ref="K411" ca="1">IF(H411=1,INDEX(Data!$DT$91:$DT$190,MATCH(G411,(OFFSET(Data!$CS$91:$CS$190,,MATCH(C411,Data!$CS$90:$DS$90,0)-1))*(Data!$DW$91:$DW$190="M"),0)),H411&amp;" Players")</f>
        <v>2 Players</v>
      </c>
      <c r="L411" s="78" t="str">
        <f t="shared" ca="1" si="33"/>
        <v>Best men took 9 throws</v>
      </c>
      <c r="M411" s="78" t="s">
        <v>1</v>
      </c>
      <c r="N411" s="78" t="s">
        <v>255</v>
      </c>
      <c r="O411" s="78" t="e">
        <f t="shared" ca="1" si="30"/>
        <v>#VALUE!</v>
      </c>
      <c r="P411" s="78" t="str">
        <f t="shared" ca="1" si="32"/>
        <v/>
      </c>
    </row>
    <row r="412" spans="1:16" s="78" customFormat="1" hidden="1" x14ac:dyDescent="0.25">
      <c r="A412" s="78" t="s">
        <v>379</v>
      </c>
      <c r="B412" s="297"/>
      <c r="C412" s="78" t="str">
        <f>INDEX(Parameter!$9:$9,,MATCH(12,Parameter!$8:$8,0))</f>
        <v>11b</v>
      </c>
      <c r="D412" s="78">
        <f>INDEX(Parameter!$B$10:$AB$10,MATCH(C412,Parameter!$B$9:$AB$9,0))</f>
        <v>3</v>
      </c>
      <c r="E412" s="78">
        <f>COUNTIF(Data!$DY$90:$IB$90,Specials!C412)</f>
        <v>2</v>
      </c>
      <c r="F412" s="78">
        <f ca="1">OFFSET(Data!$CS$91,MATCH("M1",Data!$A$91:$A$190,0)-1,MATCH(C412,Data!$CS$90:$DS$90,0)-1)</f>
        <v>5</v>
      </c>
      <c r="G412" s="78">
        <f t="array" aca="1" ref="G412" ca="1">SMALL(IF((Data!$AM$91:$AM$190&lt;&gt;0)*(Data!$DW$91:$DW$190="M")*(IF(Parameter!$B$4&gt;0,Data!$M$91:$M$190&lt;999,1)),OFFSET(Data!$CS$91:$CS$190,,MATCH(C412,Data!$CS$90:$DS$90,0)-1)),1)</f>
        <v>5</v>
      </c>
      <c r="H412" s="78">
        <f t="array" aca="1" ref="H412" ca="1">IF(AND(G412&lt;=F412-E412*1,G412&lt;&gt;0),SUM(IF((OFFSET(Data!$CS$91:$CS$190,,MATCH(C412,Data!$CS$90:$DS$90,0)-1)=Specials!G412)*(Data!$DW$91:$DW$190="M"),1)),0)</f>
        <v>0</v>
      </c>
      <c r="K412" s="78" t="str">
        <f t="array" aca="1" ref="K412" ca="1">IF(H412=1,INDEX(Data!$DT$91:$DT$190,MATCH(G412,(OFFSET(Data!$CS$91:$CS$190,,MATCH(C412,Data!$CS$90:$DS$90,0)-1))*(Data!$DW$91:$DW$190="M"),0)),H412&amp;" Players")</f>
        <v>0 Players</v>
      </c>
      <c r="L412" s="78" t="str">
        <f t="shared" ca="1" si="33"/>
        <v>Best men took 5 throws</v>
      </c>
      <c r="M412" s="78" t="s">
        <v>1</v>
      </c>
      <c r="N412" s="78" t="s">
        <v>255</v>
      </c>
      <c r="O412" s="78" t="e">
        <f t="shared" ca="1" si="30"/>
        <v>#VALUE!</v>
      </c>
      <c r="P412" s="78" t="str">
        <f t="shared" ca="1" si="32"/>
        <v/>
      </c>
    </row>
    <row r="413" spans="1:16" s="78" customFormat="1" hidden="1" x14ac:dyDescent="0.25">
      <c r="A413" s="78" t="s">
        <v>379</v>
      </c>
      <c r="B413" s="297"/>
      <c r="C413" s="78">
        <f>INDEX(Parameter!$9:$9,,MATCH(13,Parameter!$8:$8,0))</f>
        <v>12</v>
      </c>
      <c r="D413" s="78">
        <f>INDEX(Parameter!$B$10:$AB$10,MATCH(C413,Parameter!$B$9:$AB$9,0))</f>
        <v>3</v>
      </c>
      <c r="E413" s="78">
        <f>COUNTIF(Data!$DY$90:$IB$90,Specials!C413)</f>
        <v>2</v>
      </c>
      <c r="F413" s="78">
        <f ca="1">OFFSET(Data!$CS$91,MATCH("M1",Data!$A$91:$A$190,0)-1,MATCH(C413,Data!$CS$90:$DS$90,0)-1)</f>
        <v>5</v>
      </c>
      <c r="G413" s="78">
        <f t="array" aca="1" ref="G413" ca="1">SMALL(IF((Data!$AM$91:$AM$190&lt;&gt;0)*(Data!$DW$91:$DW$190="M")*(IF(Parameter!$B$4&gt;0,Data!$M$91:$M$190&lt;999,1)),OFFSET(Data!$CS$91:$CS$190,,MATCH(C413,Data!$CS$90:$DS$90,0)-1)),1)</f>
        <v>4</v>
      </c>
      <c r="H413" s="78">
        <f t="array" aca="1" ref="H413" ca="1">IF(AND(G413&lt;=F413-E413*1,G413&lt;&gt;0),SUM(IF((OFFSET(Data!$CS$91:$CS$190,,MATCH(C413,Data!$CS$90:$DS$90,0)-1)=Specials!G413)*(Data!$DW$91:$DW$190="M"),1)),0)</f>
        <v>0</v>
      </c>
      <c r="K413" s="78" t="str">
        <f t="array" aca="1" ref="K413" ca="1">IF(H413=1,INDEX(Data!$DT$91:$DT$190,MATCH(G413,(OFFSET(Data!$CS$91:$CS$190,,MATCH(C413,Data!$CS$90:$DS$90,0)-1))*(Data!$DW$91:$DW$190="M"),0)),H413&amp;" Players")</f>
        <v>0 Players</v>
      </c>
      <c r="L413" s="78" t="str">
        <f t="shared" ca="1" si="33"/>
        <v>Best men took 5 throws</v>
      </c>
      <c r="M413" s="78" t="s">
        <v>1</v>
      </c>
      <c r="N413" s="78" t="s">
        <v>255</v>
      </c>
      <c r="O413" s="78" t="e">
        <f t="shared" ca="1" si="30"/>
        <v>#VALUE!</v>
      </c>
      <c r="P413" s="78" t="str">
        <f t="shared" ca="1" si="32"/>
        <v/>
      </c>
    </row>
    <row r="414" spans="1:16" s="78" customFormat="1" hidden="1" x14ac:dyDescent="0.25">
      <c r="A414" s="78" t="s">
        <v>379</v>
      </c>
      <c r="B414" s="297"/>
      <c r="C414" s="78">
        <f>INDEX(Parameter!$9:$9,,MATCH(14,Parameter!$8:$8,0))</f>
        <v>13</v>
      </c>
      <c r="D414" s="78">
        <f>INDEX(Parameter!$B$10:$AB$10,MATCH(C414,Parameter!$B$9:$AB$9,0))</f>
        <v>3</v>
      </c>
      <c r="E414" s="78">
        <f>COUNTIF(Data!$DY$90:$IB$90,Specials!C414)</f>
        <v>2</v>
      </c>
      <c r="F414" s="78">
        <f ca="1">OFFSET(Data!$CS$91,MATCH("M1",Data!$A$91:$A$190,0)-1,MATCH(C414,Data!$CS$90:$DS$90,0)-1)</f>
        <v>6</v>
      </c>
      <c r="G414" s="78">
        <f t="array" aca="1" ref="G414" ca="1">SMALL(IF((Data!$AM$91:$AM$190&lt;&gt;0)*(Data!$DW$91:$DW$190="M")*(IF(Parameter!$B$4&gt;0,Data!$M$91:$M$190&lt;999,1)),OFFSET(Data!$CS$91:$CS$190,,MATCH(C414,Data!$CS$90:$DS$90,0)-1)),1)</f>
        <v>5</v>
      </c>
      <c r="H414" s="78">
        <f t="array" aca="1" ref="H414" ca="1">IF(AND(G414&lt;=F414-E414*1,G414&lt;&gt;0),SUM(IF((OFFSET(Data!$CS$91:$CS$190,,MATCH(C414,Data!$CS$90:$DS$90,0)-1)=Specials!G414)*(Data!$DW$91:$DW$190="M"),1)),0)</f>
        <v>0</v>
      </c>
      <c r="K414" s="78" t="str">
        <f t="array" aca="1" ref="K414" ca="1">IF(H414=1,INDEX(Data!$DT$91:$DT$190,MATCH(G414,(OFFSET(Data!$CS$91:$CS$190,,MATCH(C414,Data!$CS$90:$DS$90,0)-1))*(Data!$DW$91:$DW$190="M"),0)),H414&amp;" Players")</f>
        <v>0 Players</v>
      </c>
      <c r="L414" s="78" t="str">
        <f t="shared" ca="1" si="33"/>
        <v>Best men took 6 throws</v>
      </c>
      <c r="M414" s="78" t="s">
        <v>1</v>
      </c>
      <c r="N414" s="78" t="s">
        <v>255</v>
      </c>
      <c r="O414" s="78" t="e">
        <f t="shared" ca="1" si="30"/>
        <v>#VALUE!</v>
      </c>
      <c r="P414" s="78" t="str">
        <f t="shared" ca="1" si="32"/>
        <v/>
      </c>
    </row>
    <row r="415" spans="1:16" s="78" customFormat="1" hidden="1" x14ac:dyDescent="0.25">
      <c r="A415" s="78" t="s">
        <v>379</v>
      </c>
      <c r="B415" s="297"/>
      <c r="C415" s="78">
        <f>INDEX(Parameter!$9:$9,,MATCH(15,Parameter!$8:$8,0))</f>
        <v>14</v>
      </c>
      <c r="D415" s="78">
        <f>INDEX(Parameter!$B$10:$AB$10,MATCH(C415,Parameter!$B$9:$AB$9,0))</f>
        <v>3</v>
      </c>
      <c r="E415" s="78">
        <f>COUNTIF(Data!$DY$90:$IB$90,Specials!C415)</f>
        <v>2</v>
      </c>
      <c r="F415" s="78">
        <f ca="1">OFFSET(Data!$CS$91,MATCH("M1",Data!$A$91:$A$190,0)-1,MATCH(C415,Data!$CS$90:$DS$90,0)-1)</f>
        <v>7</v>
      </c>
      <c r="G415" s="78">
        <f t="array" aca="1" ref="G415" ca="1">SMALL(IF((Data!$AM$91:$AM$190&lt;&gt;0)*(Data!$DW$91:$DW$190="M")*(IF(Parameter!$B$4&gt;0,Data!$M$91:$M$190&lt;999,1)),OFFSET(Data!$CS$91:$CS$190,,MATCH(C415,Data!$CS$90:$DS$90,0)-1)),1)</f>
        <v>4</v>
      </c>
      <c r="H415" s="78">
        <f t="array" aca="1" ref="H415" ca="1">IF(AND(G415&lt;=F415-E415*1,G415&lt;&gt;0),SUM(IF((OFFSET(Data!$CS$91:$CS$190,,MATCH(C415,Data!$CS$90:$DS$90,0)-1)=Specials!G415)*(Data!$DW$91:$DW$190="M"),1)),0)</f>
        <v>3</v>
      </c>
      <c r="K415" s="78" t="str">
        <f t="array" aca="1" ref="K415" ca="1">IF(H415=1,INDEX(Data!$DT$91:$DT$190,MATCH(G415,(OFFSET(Data!$CS$91:$CS$190,,MATCH(C415,Data!$CS$90:$DS$90,0)-1))*(Data!$DW$91:$DW$190="M"),0)),H415&amp;" Players")</f>
        <v>3 Players</v>
      </c>
      <c r="L415" s="78" t="str">
        <f t="shared" ca="1" si="33"/>
        <v>Best men took 7 throws</v>
      </c>
      <c r="M415" s="78" t="s">
        <v>1</v>
      </c>
      <c r="N415" s="78" t="s">
        <v>255</v>
      </c>
      <c r="O415" s="78" t="e">
        <f t="shared" ca="1" si="30"/>
        <v>#VALUE!</v>
      </c>
      <c r="P415" s="78" t="str">
        <f t="shared" ca="1" si="32"/>
        <v/>
      </c>
    </row>
    <row r="416" spans="1:16" s="78" customFormat="1" hidden="1" x14ac:dyDescent="0.25">
      <c r="A416" s="78" t="s">
        <v>379</v>
      </c>
      <c r="B416" s="297"/>
      <c r="C416" s="78">
        <f>INDEX(Parameter!$9:$9,,MATCH(16,Parameter!$8:$8,0))</f>
        <v>15</v>
      </c>
      <c r="D416" s="78">
        <f>INDEX(Parameter!$B$10:$AB$10,MATCH(C416,Parameter!$B$9:$AB$9,0))</f>
        <v>3</v>
      </c>
      <c r="E416" s="78">
        <f>COUNTIF(Data!$DY$90:$IB$90,Specials!C416)</f>
        <v>2</v>
      </c>
      <c r="F416" s="78">
        <f ca="1">OFFSET(Data!$CS$91,MATCH("M1",Data!$A$91:$A$190,0)-1,MATCH(C416,Data!$CS$90:$DS$90,0)-1)</f>
        <v>6</v>
      </c>
      <c r="G416" s="78">
        <f t="array" aca="1" ref="G416" ca="1">SMALL(IF((Data!$AM$91:$AM$190&lt;&gt;0)*(Data!$DW$91:$DW$190="M")*(IF(Parameter!$B$4&gt;0,Data!$M$91:$M$190&lt;999,1)),OFFSET(Data!$CS$91:$CS$190,,MATCH(C416,Data!$CS$90:$DS$90,0)-1)),1)</f>
        <v>4</v>
      </c>
      <c r="H416" s="78">
        <f t="array" aca="1" ref="H416" ca="1">IF(AND(G416&lt;=F416-E416*1,G416&lt;&gt;0),SUM(IF((OFFSET(Data!$CS$91:$CS$190,,MATCH(C416,Data!$CS$90:$DS$90,0)-1)=Specials!G416)*(Data!$DW$91:$DW$190="M"),1)),0)</f>
        <v>5</v>
      </c>
      <c r="K416" s="78" t="str">
        <f t="array" aca="1" ref="K416" ca="1">IF(H416=1,INDEX(Data!$DT$91:$DT$190,MATCH(G416,(OFFSET(Data!$CS$91:$CS$190,,MATCH(C416,Data!$CS$90:$DS$90,0)-1))*(Data!$DW$91:$DW$190="M"),0)),H416&amp;" Players")</f>
        <v>5 Players</v>
      </c>
      <c r="L416" s="78" t="str">
        <f t="shared" ca="1" si="33"/>
        <v>Best men took 6 throws</v>
      </c>
      <c r="M416" s="78" t="s">
        <v>1</v>
      </c>
      <c r="N416" s="78" t="s">
        <v>255</v>
      </c>
      <c r="O416" s="78" t="e">
        <f t="shared" ca="1" si="30"/>
        <v>#VALUE!</v>
      </c>
      <c r="P416" s="78" t="str">
        <f t="shared" ca="1" si="32"/>
        <v/>
      </c>
    </row>
    <row r="417" spans="1:16" s="78" customFormat="1" hidden="1" x14ac:dyDescent="0.25">
      <c r="A417" s="78" t="s">
        <v>379</v>
      </c>
      <c r="B417" s="297"/>
      <c r="C417" s="78">
        <f>INDEX(Parameter!$9:$9,,MATCH(17,Parameter!$8:$8,0))</f>
        <v>16</v>
      </c>
      <c r="D417" s="78">
        <f>INDEX(Parameter!$B$10:$AB$10,MATCH(C417,Parameter!$B$9:$AB$9,0))</f>
        <v>3</v>
      </c>
      <c r="E417" s="78">
        <f>COUNTIF(Data!$DY$90:$IB$90,Specials!C417)</f>
        <v>2</v>
      </c>
      <c r="F417" s="78">
        <f ca="1">OFFSET(Data!$CS$91,MATCH("M1",Data!$A$91:$A$190,0)-1,MATCH(C417,Data!$CS$90:$DS$90,0)-1)</f>
        <v>4</v>
      </c>
      <c r="G417" s="78">
        <f t="array" aca="1" ref="G417" ca="1">SMALL(IF((Data!$AM$91:$AM$190&lt;&gt;0)*(Data!$DW$91:$DW$190="M")*(IF(Parameter!$B$4&gt;0,Data!$M$91:$M$190&lt;999,1)),OFFSET(Data!$CS$91:$CS$190,,MATCH(C417,Data!$CS$90:$DS$90,0)-1)),1)</f>
        <v>4</v>
      </c>
      <c r="H417" s="78">
        <f t="array" aca="1" ref="H417" ca="1">IF(AND(G417&lt;=F417-E417*1,G417&lt;&gt;0),SUM(IF((OFFSET(Data!$CS$91:$CS$190,,MATCH(C417,Data!$CS$90:$DS$90,0)-1)=Specials!G417)*(Data!$DW$91:$DW$190="M"),1)),0)</f>
        <v>0</v>
      </c>
      <c r="K417" s="78" t="str">
        <f t="array" aca="1" ref="K417" ca="1">IF(H417=1,INDEX(Data!$DT$91:$DT$190,MATCH(G417,(OFFSET(Data!$CS$91:$CS$190,,MATCH(C417,Data!$CS$90:$DS$90,0)-1))*(Data!$DW$91:$DW$190="M"),0)),H417&amp;" Players")</f>
        <v>0 Players</v>
      </c>
      <c r="L417" s="78" t="str">
        <f t="shared" ca="1" si="33"/>
        <v>Best men took 4 throws</v>
      </c>
      <c r="M417" s="78" t="s">
        <v>1</v>
      </c>
      <c r="N417" s="78" t="s">
        <v>255</v>
      </c>
      <c r="O417" s="78" t="e">
        <f t="shared" ca="1" si="30"/>
        <v>#VALUE!</v>
      </c>
      <c r="P417" s="78" t="str">
        <f t="shared" ca="1" si="32"/>
        <v/>
      </c>
    </row>
    <row r="418" spans="1:16" s="78" customFormat="1" hidden="1" x14ac:dyDescent="0.25">
      <c r="A418" s="78" t="s">
        <v>379</v>
      </c>
      <c r="B418" s="297"/>
      <c r="C418" s="78">
        <f>INDEX(Parameter!$9:$9,,MATCH(18,Parameter!$8:$8,0))</f>
        <v>17</v>
      </c>
      <c r="D418" s="78">
        <f>INDEX(Parameter!$B$10:$AB$10,MATCH(C418,Parameter!$B$9:$AB$9,0))</f>
        <v>3</v>
      </c>
      <c r="E418" s="78">
        <f>COUNTIF(Data!$DY$90:$IB$90,Specials!C418)</f>
        <v>2</v>
      </c>
      <c r="F418" s="78">
        <f ca="1">OFFSET(Data!$CS$91,MATCH("M1",Data!$A$91:$A$190,0)-1,MATCH(C418,Data!$CS$90:$DS$90,0)-1)</f>
        <v>5</v>
      </c>
      <c r="G418" s="78">
        <f t="array" aca="1" ref="G418" ca="1">SMALL(IF((Data!$AM$91:$AM$190&lt;&gt;0)*(Data!$DW$91:$DW$190="M")*(IF(Parameter!$B$4&gt;0,Data!$M$91:$M$190&lt;999,1)),OFFSET(Data!$CS$91:$CS$190,,MATCH(C418,Data!$CS$90:$DS$90,0)-1)),1)</f>
        <v>4</v>
      </c>
      <c r="H418" s="78">
        <f t="array" aca="1" ref="H418" ca="1">IF(AND(G418&lt;=F418-E418*1,G418&lt;&gt;0),SUM(IF((OFFSET(Data!$CS$91:$CS$190,,MATCH(C418,Data!$CS$90:$DS$90,0)-1)=Specials!G418)*(Data!$DW$91:$DW$190="M"),1)),0)</f>
        <v>0</v>
      </c>
      <c r="K418" s="78" t="str">
        <f t="array" aca="1" ref="K418" ca="1">IF(H418=1,INDEX(Data!$DT$91:$DT$190,MATCH(G418,(OFFSET(Data!$CS$91:$CS$190,,MATCH(C418,Data!$CS$90:$DS$90,0)-1))*(Data!$DW$91:$DW$190="M"),0)),H418&amp;" Players")</f>
        <v>0 Players</v>
      </c>
      <c r="L418" s="78" t="str">
        <f t="shared" ca="1" si="33"/>
        <v>Best men took 5 throws</v>
      </c>
      <c r="M418" s="78" t="s">
        <v>1</v>
      </c>
      <c r="N418" s="78" t="s">
        <v>255</v>
      </c>
      <c r="O418" s="78" t="e">
        <f t="shared" ca="1" si="30"/>
        <v>#VALUE!</v>
      </c>
      <c r="P418" s="78" t="str">
        <f t="shared" ca="1" si="32"/>
        <v/>
      </c>
    </row>
    <row r="419" spans="1:16" s="78" customFormat="1" hidden="1" x14ac:dyDescent="0.25">
      <c r="A419" s="78" t="s">
        <v>379</v>
      </c>
      <c r="B419" s="297"/>
      <c r="C419" s="78">
        <f>INDEX(Parameter!$9:$9,,MATCH(19,Parameter!$8:$8,0))</f>
        <v>18</v>
      </c>
      <c r="D419" s="78">
        <f>INDEX(Parameter!$B$10:$AB$10,MATCH(C419,Parameter!$B$9:$AB$9,0))</f>
        <v>3</v>
      </c>
      <c r="E419" s="78">
        <f>COUNTIF(Data!$DY$90:$IB$90,Specials!C419)</f>
        <v>2</v>
      </c>
      <c r="F419" s="78">
        <f ca="1">OFFSET(Data!$CS$91,MATCH("M1",Data!$A$91:$A$190,0)-1,MATCH(C419,Data!$CS$90:$DS$90,0)-1)</f>
        <v>6</v>
      </c>
      <c r="G419" s="78">
        <f t="array" aca="1" ref="G419" ca="1">SMALL(IF((Data!$AM$91:$AM$190&lt;&gt;0)*(Data!$DW$91:$DW$190="M")*(IF(Parameter!$B$4&gt;0,Data!$M$91:$M$190&lt;999,1)),OFFSET(Data!$CS$91:$CS$190,,MATCH(C419,Data!$CS$90:$DS$90,0)-1)),1)</f>
        <v>5</v>
      </c>
      <c r="H419" s="78">
        <f t="array" aca="1" ref="H419" ca="1">IF(AND(G419&lt;=F419-E419*1,G419&lt;&gt;0),SUM(IF((OFFSET(Data!$CS$91:$CS$190,,MATCH(C419,Data!$CS$90:$DS$90,0)-1)=Specials!G419)*(Data!$DW$91:$DW$190="M"),1)),0)</f>
        <v>0</v>
      </c>
      <c r="K419" s="78" t="str">
        <f t="array" aca="1" ref="K419" ca="1">IF(H419=1,INDEX(Data!$DT$91:$DT$190,MATCH(G419,(OFFSET(Data!$CS$91:$CS$190,,MATCH(C419,Data!$CS$90:$DS$90,0)-1))*(Data!$DW$91:$DW$190="M"),0)),H419&amp;" Players")</f>
        <v>0 Players</v>
      </c>
      <c r="L419" s="78" t="str">
        <f t="shared" ca="1" si="33"/>
        <v>Best men took 6 throws</v>
      </c>
      <c r="M419" s="78" t="s">
        <v>1</v>
      </c>
      <c r="N419" s="78" t="s">
        <v>255</v>
      </c>
      <c r="O419" s="78" t="e">
        <f t="shared" ca="1" si="30"/>
        <v>#VALUE!</v>
      </c>
      <c r="P419" s="78" t="str">
        <f t="shared" ca="1" si="32"/>
        <v/>
      </c>
    </row>
    <row r="420" spans="1:16" s="78" customFormat="1" hidden="1" x14ac:dyDescent="0.25">
      <c r="A420" s="78" t="s">
        <v>379</v>
      </c>
      <c r="B420" s="297"/>
      <c r="C420" s="78">
        <f>INDEX(Parameter!$9:$9,,MATCH(20,Parameter!$8:$8,0))</f>
        <v>20</v>
      </c>
      <c r="D420" s="78" t="str">
        <f>INDEX(Parameter!$B$10:$AB$10,MATCH(C420,Parameter!$B$9:$AB$9,0))</f>
        <v>no</v>
      </c>
      <c r="E420" s="78">
        <f>COUNTIF(Data!$DY$90:$IB$90,Specials!C420)</f>
        <v>0</v>
      </c>
      <c r="F420" s="78">
        <f ca="1">OFFSET(Data!$CS$91,MATCH("M1",Data!$A$91:$A$190,0)-1,MATCH(C420,Data!$CS$90:$DS$90,0)-1)</f>
        <v>0</v>
      </c>
      <c r="G420" s="78">
        <f t="array" aca="1" ref="G420" ca="1">SMALL(IF((Data!$AM$91:$AM$190&lt;&gt;0)*(Data!$DW$91:$DW$190="M")*(IF(Parameter!$B$4&gt;0,Data!$M$91:$M$190&lt;999,1)),OFFSET(Data!$CS$91:$CS$190,,MATCH(C420,Data!$CS$90:$DS$90,0)-1)),1)</f>
        <v>0</v>
      </c>
      <c r="H420" s="78">
        <f t="array" aca="1" ref="H420" ca="1">IF(AND(G420&lt;=F420-E420*1,G420&lt;&gt;0),SUM(IF((OFFSET(Data!$CS$91:$CS$190,,MATCH(C420,Data!$CS$90:$DS$90,0)-1)=Specials!G420)*(Data!$DW$91:$DW$190="M"),1)),0)</f>
        <v>0</v>
      </c>
      <c r="K420" s="78" t="str">
        <f t="array" aca="1" ref="K420" ca="1">IF(H420=1,INDEX(Data!$DT$91:$DT$190,MATCH(G420,(OFFSET(Data!$CS$91:$CS$190,,MATCH(C420,Data!$CS$90:$DS$90,0)-1))*(Data!$DW$91:$DW$190="M"),0)),H420&amp;" Players")</f>
        <v>0 Players</v>
      </c>
      <c r="L420" s="78" t="str">
        <f t="shared" ca="1" si="33"/>
        <v>Best men took 0 throws</v>
      </c>
      <c r="M420" s="78" t="s">
        <v>1</v>
      </c>
      <c r="N420" s="78" t="s">
        <v>255</v>
      </c>
      <c r="O420" s="78" t="e">
        <f t="shared" ca="1" si="30"/>
        <v>#VALUE!</v>
      </c>
      <c r="P420" s="78" t="str">
        <f t="shared" ca="1" si="32"/>
        <v/>
      </c>
    </row>
    <row r="421" spans="1:16" s="78" customFormat="1" hidden="1" x14ac:dyDescent="0.25">
      <c r="A421" s="78" t="s">
        <v>379</v>
      </c>
      <c r="B421" s="297"/>
      <c r="C421" s="78">
        <f>INDEX(Parameter!$9:$9,,MATCH(21,Parameter!$8:$8,0))</f>
        <v>21</v>
      </c>
      <c r="D421" s="78" t="str">
        <f>INDEX(Parameter!$B$10:$AB$10,MATCH(C421,Parameter!$B$9:$AB$9,0))</f>
        <v>no</v>
      </c>
      <c r="E421" s="78">
        <f>COUNTIF(Data!$DY$90:$IB$90,Specials!C421)</f>
        <v>0</v>
      </c>
      <c r="F421" s="78">
        <f ca="1">OFFSET(Data!$CS$91,MATCH("M1",Data!$A$91:$A$190,0)-1,MATCH(C421,Data!$CS$90:$DS$90,0)-1)</f>
        <v>0</v>
      </c>
      <c r="G421" s="78">
        <f t="array" aca="1" ref="G421" ca="1">SMALL(IF((Data!$AM$91:$AM$190&lt;&gt;0)*(Data!$DW$91:$DW$190="M")*(IF(Parameter!$B$4&gt;0,Data!$M$91:$M$190&lt;999,1)),OFFSET(Data!$CS$91:$CS$190,,MATCH(C421,Data!$CS$90:$DS$90,0)-1)),1)</f>
        <v>0</v>
      </c>
      <c r="H421" s="78">
        <f t="array" aca="1" ref="H421" ca="1">IF(AND(G421&lt;=F421-E421*1,G421&lt;&gt;0),SUM(IF((OFFSET(Data!$CS$91:$CS$190,,MATCH(C421,Data!$CS$90:$DS$90,0)-1)=Specials!G421)*(Data!$DW$91:$DW$190="M"),1)),0)</f>
        <v>0</v>
      </c>
      <c r="K421" s="78" t="str">
        <f t="array" aca="1" ref="K421" ca="1">IF(H421=1,INDEX(Data!$DT$91:$DT$190,MATCH(G421,(OFFSET(Data!$CS$91:$CS$190,,MATCH(C421,Data!$CS$90:$DS$90,0)-1))*(Data!$DW$91:$DW$190="M"),0)),H421&amp;" Players")</f>
        <v>0 Players</v>
      </c>
      <c r="L421" s="78" t="str">
        <f t="shared" ca="1" si="33"/>
        <v>Best men took 0 throws</v>
      </c>
      <c r="M421" s="78" t="s">
        <v>1</v>
      </c>
      <c r="N421" s="78" t="s">
        <v>255</v>
      </c>
      <c r="O421" s="78" t="e">
        <f t="shared" ca="1" si="30"/>
        <v>#VALUE!</v>
      </c>
      <c r="P421" s="78" t="str">
        <f t="shared" ca="1" si="32"/>
        <v/>
      </c>
    </row>
    <row r="422" spans="1:16" s="78" customFormat="1" hidden="1" x14ac:dyDescent="0.25">
      <c r="A422" s="78" t="s">
        <v>379</v>
      </c>
      <c r="B422" s="297"/>
      <c r="C422" s="78">
        <f>INDEX(Parameter!$9:$9,,MATCH(22,Parameter!$8:$8,0))</f>
        <v>22</v>
      </c>
      <c r="D422" s="78" t="str">
        <f>INDEX(Parameter!$B$10:$AB$10,MATCH(C422,Parameter!$B$9:$AB$9,0))</f>
        <v>no</v>
      </c>
      <c r="E422" s="78">
        <f>COUNTIF(Data!$DY$90:$IB$90,Specials!C422)</f>
        <v>0</v>
      </c>
      <c r="F422" s="78">
        <f ca="1">OFFSET(Data!$CS$91,MATCH("M1",Data!$A$91:$A$190,0)-1,MATCH(C422,Data!$CS$90:$DS$90,0)-1)</f>
        <v>0</v>
      </c>
      <c r="G422" s="78">
        <f t="array" aca="1" ref="G422" ca="1">SMALL(IF((Data!$AM$91:$AM$190&lt;&gt;0)*(Data!$DW$91:$DW$190="M")*(IF(Parameter!$B$4&gt;0,Data!$M$91:$M$190&lt;999,1)),OFFSET(Data!$CS$91:$CS$190,,MATCH(C422,Data!$CS$90:$DS$90,0)-1)),1)</f>
        <v>0</v>
      </c>
      <c r="H422" s="78">
        <f t="array" aca="1" ref="H422" ca="1">IF(AND(G422&lt;=F422-E422*1,G422&lt;&gt;0),SUM(IF((OFFSET(Data!$CS$91:$CS$190,,MATCH(C422,Data!$CS$90:$DS$90,0)-1)=Specials!G422)*(Data!$DW$91:$DW$190="M"),1)),0)</f>
        <v>0</v>
      </c>
      <c r="K422" s="78" t="str">
        <f t="array" aca="1" ref="K422" ca="1">IF(H422=1,INDEX(Data!$DT$91:$DT$190,MATCH(G422,(OFFSET(Data!$CS$91:$CS$190,,MATCH(C422,Data!$CS$90:$DS$90,0)-1))*(Data!$DW$91:$DW$190="M"),0)),H422&amp;" Players")</f>
        <v>0 Players</v>
      </c>
      <c r="L422" s="78" t="str">
        <f t="shared" ca="1" si="33"/>
        <v>Best men took 0 throws</v>
      </c>
      <c r="M422" s="78" t="s">
        <v>1</v>
      </c>
      <c r="N422" s="78" t="s">
        <v>255</v>
      </c>
      <c r="O422" s="78" t="e">
        <f t="shared" ca="1" si="30"/>
        <v>#VALUE!</v>
      </c>
      <c r="P422" s="78" t="str">
        <f t="shared" ca="1" si="32"/>
        <v/>
      </c>
    </row>
    <row r="423" spans="1:16" s="78" customFormat="1" hidden="1" x14ac:dyDescent="0.25">
      <c r="A423" s="78" t="s">
        <v>379</v>
      </c>
      <c r="B423" s="297"/>
      <c r="C423" s="78">
        <f>INDEX(Parameter!$9:$9,,MATCH(23,Parameter!$8:$8,0))</f>
        <v>23</v>
      </c>
      <c r="D423" s="78" t="str">
        <f>INDEX(Parameter!$B$10:$AB$10,MATCH(C423,Parameter!$B$9:$AB$9,0))</f>
        <v>no</v>
      </c>
      <c r="E423" s="78">
        <f>COUNTIF(Data!$DY$90:$IB$90,Specials!C423)</f>
        <v>0</v>
      </c>
      <c r="F423" s="78">
        <f ca="1">OFFSET(Data!$CS$91,MATCH("M1",Data!$A$91:$A$190,0)-1,MATCH(C423,Data!$CS$90:$DS$90,0)-1)</f>
        <v>0</v>
      </c>
      <c r="G423" s="78">
        <f t="array" aca="1" ref="G423" ca="1">SMALL(IF((Data!$AM$91:$AM$190&lt;&gt;0)*(Data!$DW$91:$DW$190="M")*(IF(Parameter!$B$4&gt;0,Data!$M$91:$M$190&lt;999,1)),OFFSET(Data!$CS$91:$CS$190,,MATCH(C423,Data!$CS$90:$DS$90,0)-1)),1)</f>
        <v>0</v>
      </c>
      <c r="H423" s="78">
        <f t="array" aca="1" ref="H423" ca="1">IF(AND(G423&lt;=F423-E423*1,G423&lt;&gt;0),SUM(IF((OFFSET(Data!$CS$91:$CS$190,,MATCH(C423,Data!$CS$90:$DS$90,0)-1)=Specials!G423)*(Data!$DW$91:$DW$190="M"),1)),0)</f>
        <v>0</v>
      </c>
      <c r="K423" s="78" t="str">
        <f t="array" aca="1" ref="K423" ca="1">IF(H423=1,INDEX(Data!$DT$91:$DT$190,MATCH(G423,(OFFSET(Data!$CS$91:$CS$190,,MATCH(C423,Data!$CS$90:$DS$90,0)-1))*(Data!$DW$91:$DW$190="M"),0)),H423&amp;" Players")</f>
        <v>0 Players</v>
      </c>
      <c r="L423" s="78" t="str">
        <f t="shared" ca="1" si="33"/>
        <v>Best men took 0 throws</v>
      </c>
      <c r="M423" s="78" t="s">
        <v>1</v>
      </c>
      <c r="N423" s="78" t="s">
        <v>255</v>
      </c>
      <c r="O423" s="78" t="e">
        <f t="shared" ca="1" si="30"/>
        <v>#VALUE!</v>
      </c>
      <c r="P423" s="78" t="str">
        <f t="shared" ca="1" si="32"/>
        <v/>
      </c>
    </row>
    <row r="424" spans="1:16" s="78" customFormat="1" hidden="1" x14ac:dyDescent="0.25">
      <c r="A424" s="78" t="s">
        <v>379</v>
      </c>
      <c r="B424" s="297"/>
      <c r="C424" s="78">
        <f>INDEX(Parameter!$9:$9,,MATCH(24,Parameter!$8:$8,0))</f>
        <v>24</v>
      </c>
      <c r="D424" s="78" t="str">
        <f>INDEX(Parameter!$B$10:$AB$10,MATCH(C424,Parameter!$B$9:$AB$9,0))</f>
        <v>no</v>
      </c>
      <c r="E424" s="78">
        <f>COUNTIF(Data!$DY$90:$IB$90,Specials!C424)</f>
        <v>0</v>
      </c>
      <c r="F424" s="78">
        <f ca="1">OFFSET(Data!$CS$91,MATCH("M1",Data!$A$91:$A$190,0)-1,MATCH(C424,Data!$CS$90:$DS$90,0)-1)</f>
        <v>0</v>
      </c>
      <c r="G424" s="78">
        <f t="array" aca="1" ref="G424" ca="1">SMALL(IF((Data!$AM$91:$AM$190&lt;&gt;0)*(Data!$DW$91:$DW$190="M")*(IF(Parameter!$B$4&gt;0,Data!$M$91:$M$190&lt;999,1)),OFFSET(Data!$CS$91:$CS$190,,MATCH(C424,Data!$CS$90:$DS$90,0)-1)),1)</f>
        <v>0</v>
      </c>
      <c r="H424" s="78">
        <f t="array" aca="1" ref="H424" ca="1">IF(AND(G424&lt;=F424-E424*1,G424&lt;&gt;0),SUM(IF((OFFSET(Data!$CS$91:$CS$190,,MATCH(C424,Data!$CS$90:$DS$90,0)-1)=Specials!G424)*(Data!$DW$91:$DW$190="M"),1)),0)</f>
        <v>0</v>
      </c>
      <c r="K424" s="78" t="str">
        <f t="array" aca="1" ref="K424" ca="1">IF(H424=1,INDEX(Data!$DT$91:$DT$190,MATCH(G424,(OFFSET(Data!$CS$91:$CS$190,,MATCH(C424,Data!$CS$90:$DS$90,0)-1))*(Data!$DW$91:$DW$190="M"),0)),H424&amp;" Players")</f>
        <v>0 Players</v>
      </c>
      <c r="L424" s="78" t="str">
        <f t="shared" ca="1" si="33"/>
        <v>Best men took 0 throws</v>
      </c>
      <c r="M424" s="78" t="s">
        <v>1</v>
      </c>
      <c r="N424" s="78" t="s">
        <v>255</v>
      </c>
      <c r="O424" s="78" t="e">
        <f t="shared" ca="1" si="30"/>
        <v>#VALUE!</v>
      </c>
      <c r="P424" s="78" t="str">
        <f t="shared" ca="1" si="32"/>
        <v/>
      </c>
    </row>
    <row r="425" spans="1:16" s="78" customFormat="1" hidden="1" x14ac:dyDescent="0.25">
      <c r="A425" s="78" t="s">
        <v>379</v>
      </c>
      <c r="B425" s="297"/>
      <c r="C425" s="78">
        <f>INDEX(Parameter!$9:$9,,MATCH(25,Parameter!$8:$8,0))</f>
        <v>25</v>
      </c>
      <c r="D425" s="78" t="str">
        <f>INDEX(Parameter!$B$10:$AB$10,MATCH(C425,Parameter!$B$9:$AB$9,0))</f>
        <v>no</v>
      </c>
      <c r="E425" s="78">
        <f>COUNTIF(Data!$DY$90:$IB$90,Specials!C425)</f>
        <v>0</v>
      </c>
      <c r="F425" s="78">
        <f ca="1">OFFSET(Data!$CS$91,MATCH("M1",Data!$A$91:$A$190,0)-1,MATCH(C425,Data!$CS$90:$DS$90,0)-1)</f>
        <v>0</v>
      </c>
      <c r="G425" s="78">
        <f t="array" aca="1" ref="G425" ca="1">SMALL(IF((Data!$AM$91:$AM$190&lt;&gt;0)*(Data!$DW$91:$DW$190="M")*(IF(Parameter!$B$4&gt;0,Data!$M$91:$M$190&lt;999,1)),OFFSET(Data!$CS$91:$CS$190,,MATCH(C425,Data!$CS$90:$DS$90,0)-1)),1)</f>
        <v>0</v>
      </c>
      <c r="H425" s="78">
        <f t="array" aca="1" ref="H425" ca="1">IF(AND(G425&lt;=F425-E425*1,G425&lt;&gt;0),SUM(IF((OFFSET(Data!$CS$91:$CS$190,,MATCH(C425,Data!$CS$90:$DS$90,0)-1)=Specials!G425)*(Data!$DW$91:$DW$190="M"),1)),0)</f>
        <v>0</v>
      </c>
      <c r="K425" s="78" t="str">
        <f t="array" aca="1" ref="K425" ca="1">IF(H425=1,INDEX(Data!$DT$91:$DT$190,MATCH(G425,(OFFSET(Data!$CS$91:$CS$190,,MATCH(C425,Data!$CS$90:$DS$90,0)-1))*(Data!$DW$91:$DW$190="M"),0)),H425&amp;" Players")</f>
        <v>0 Players</v>
      </c>
      <c r="L425" s="78" t="str">
        <f t="shared" ca="1" si="33"/>
        <v>Best men took 0 throws</v>
      </c>
      <c r="M425" s="78" t="s">
        <v>1</v>
      </c>
      <c r="N425" s="78" t="s">
        <v>255</v>
      </c>
      <c r="O425" s="78" t="e">
        <f t="shared" ca="1" si="30"/>
        <v>#VALUE!</v>
      </c>
      <c r="P425" s="78" t="str">
        <f t="shared" ca="1" si="32"/>
        <v/>
      </c>
    </row>
    <row r="426" spans="1:16" s="78" customFormat="1" hidden="1" x14ac:dyDescent="0.25">
      <c r="A426" s="78" t="s">
        <v>379</v>
      </c>
      <c r="B426" s="297"/>
      <c r="C426" s="78">
        <f>INDEX(Parameter!$9:$9,,MATCH(26,Parameter!$8:$8,0))</f>
        <v>26</v>
      </c>
      <c r="D426" s="78" t="str">
        <f>INDEX(Parameter!$B$10:$AB$10,MATCH(C426,Parameter!$B$9:$AB$9,0))</f>
        <v>no</v>
      </c>
      <c r="E426" s="78">
        <f>COUNTIF(Data!$DY$90:$IB$90,Specials!C426)</f>
        <v>0</v>
      </c>
      <c r="F426" s="78">
        <f ca="1">OFFSET(Data!$CS$91,MATCH("M1",Data!$A$91:$A$190,0)-1,MATCH(C426,Data!$CS$90:$DS$90,0)-1)</f>
        <v>0</v>
      </c>
      <c r="G426" s="78">
        <f t="array" aca="1" ref="G426" ca="1">SMALL(IF((Data!$AM$91:$AM$190&lt;&gt;0)*(Data!$DW$91:$DW$190="M")*(IF(Parameter!$B$4&gt;0,Data!$M$91:$M$190&lt;999,1)),OFFSET(Data!$CS$91:$CS$190,,MATCH(C426,Data!$CS$90:$DS$90,0)-1)),1)</f>
        <v>0</v>
      </c>
      <c r="H426" s="78">
        <f t="array" aca="1" ref="H426" ca="1">IF(AND(G426&lt;=F426-E426*1,G426&lt;&gt;0),SUM(IF((OFFSET(Data!$CS$91:$CS$190,,MATCH(C426,Data!$CS$90:$DS$90,0)-1)=Specials!G426)*(Data!$DW$91:$DW$190="M"),1)),0)</f>
        <v>0</v>
      </c>
      <c r="K426" s="78" t="str">
        <f t="array" aca="1" ref="K426" ca="1">IF(H426=1,INDEX(Data!$DT$91:$DT$190,MATCH(G426,(OFFSET(Data!$CS$91:$CS$190,,MATCH(C426,Data!$CS$90:$DS$90,0)-1))*(Data!$DW$91:$DW$190="M"),0)),H426&amp;" Players")</f>
        <v>0 Players</v>
      </c>
      <c r="L426" s="78" t="str">
        <f t="shared" ca="1" si="33"/>
        <v>Best men took 0 throws</v>
      </c>
      <c r="M426" s="78" t="s">
        <v>1</v>
      </c>
      <c r="N426" s="78" t="s">
        <v>255</v>
      </c>
      <c r="O426" s="78" t="e">
        <f t="shared" ca="1" si="30"/>
        <v>#VALUE!</v>
      </c>
      <c r="P426" s="78" t="str">
        <f t="shared" ca="1" si="32"/>
        <v/>
      </c>
    </row>
    <row r="427" spans="1:16" s="78" customFormat="1" hidden="1" x14ac:dyDescent="0.25">
      <c r="A427" s="78" t="s">
        <v>379</v>
      </c>
      <c r="B427" s="297"/>
      <c r="C427" s="78">
        <f>INDEX(Parameter!$9:$9,,MATCH(27,Parameter!$8:$8,0))</f>
        <v>27</v>
      </c>
      <c r="D427" s="78" t="str">
        <f>INDEX(Parameter!$B$10:$AB$10,MATCH(C427,Parameter!$B$9:$AB$9,0))</f>
        <v>no</v>
      </c>
      <c r="E427" s="78">
        <f>COUNTIF(Data!$DY$90:$IB$90,Specials!C427)</f>
        <v>0</v>
      </c>
      <c r="F427" s="78">
        <f ca="1">OFFSET(Data!$CS$91,MATCH("M1",Data!$A$91:$A$190,0)-1,MATCH(C427,Data!$CS$90:$DS$90,0)-1)</f>
        <v>0</v>
      </c>
      <c r="G427" s="78">
        <f t="array" aca="1" ref="G427" ca="1">SMALL(IF((Data!$AM$91:$AM$190&lt;&gt;0)*(Data!$DW$91:$DW$190="M")*(IF(Parameter!$B$4&gt;0,Data!$M$91:$M$190&lt;999,1)),OFFSET(Data!$CS$91:$CS$190,,MATCH(C427,Data!$CS$90:$DS$90,0)-1)),1)</f>
        <v>0</v>
      </c>
      <c r="H427" s="78">
        <f t="array" aca="1" ref="H427" ca="1">IF(AND(G427&lt;=F427-E427*1,G427&lt;&gt;0),SUM(IF((OFFSET(Data!$CS$91:$CS$190,,MATCH(C427,Data!$CS$90:$DS$90,0)-1)=Specials!G427)*(Data!$DW$91:$DW$190="M"),1)),0)</f>
        <v>0</v>
      </c>
      <c r="K427" s="78" t="str">
        <f t="array" aca="1" ref="K427" ca="1">IF(H427=1,INDEX(Data!$DT$91:$DT$190,MATCH(G427,(OFFSET(Data!$CS$91:$CS$190,,MATCH(C427,Data!$CS$90:$DS$90,0)-1))*(Data!$DW$91:$DW$190="M"),0)),H427&amp;" Players")</f>
        <v>0 Players</v>
      </c>
      <c r="L427" s="78" t="str">
        <f t="shared" ca="1" si="33"/>
        <v>Best men took 0 throws</v>
      </c>
      <c r="M427" s="78" t="s">
        <v>1</v>
      </c>
      <c r="N427" s="78" t="s">
        <v>255</v>
      </c>
      <c r="O427" s="78" t="e">
        <f t="shared" ca="1" si="30"/>
        <v>#VALUE!</v>
      </c>
      <c r="P427" s="78" t="str">
        <f t="shared" ca="1" si="32"/>
        <v/>
      </c>
    </row>
    <row r="428" spans="1:16" s="65" customFormat="1" ht="15" hidden="1" customHeight="1" x14ac:dyDescent="0.25">
      <c r="A428" s="289" t="str">
        <f>"# Triple-Bogeys Men Rating &gt; "&amp;Parameter!$B$32</f>
        <v># Triple-Bogeys Men Rating &gt; 850</v>
      </c>
      <c r="B428" s="294">
        <f>MATCH(A428,Data!$DT:$DT,0)</f>
        <v>14</v>
      </c>
      <c r="C428" s="65">
        <f>INDEX(Parameter!$9:$9,,MATCH(1,Parameter!$8:$8,0))</f>
        <v>1</v>
      </c>
      <c r="D428" s="65">
        <f>INDEX(Parameter!$B$10:$AB$10,MATCH(C428,Parameter!$B$9:$AB$9,0))</f>
        <v>3</v>
      </c>
      <c r="H428" s="65">
        <f ca="1">INDEX(OFFSET(Data!$CS$1:$DS$1,B428-1,0),MATCH("Total/"&amp;C428,Data!$CS$1:$DS$1,0))</f>
        <v>0</v>
      </c>
      <c r="I428" s="65" t="str">
        <f t="shared" ref="I428:I454" ca="1" si="34">IF(H428=1,D428+3,"")</f>
        <v/>
      </c>
      <c r="J428" s="65" t="str">
        <f t="array" aca="1" ref="J428" ca="1">IF(H428=1,MATCH(1,(OFFSET(Data!$DY$1:$IB$1,B428-1,0))*(Data!$DY$90:$IB$90=C428),0),"")</f>
        <v/>
      </c>
      <c r="K428" s="65" t="str">
        <f t="array" aca="1" ref="K428" ca="1">IF(H428=1,MATCH(I428,OFFSET(Data!$DX$91:$DX$190,0,Specials!J428)*(Data!$AM$91:$AM$190&gt;Parameter!$B$32)*(Data!$DW$91:$DW$190="M"),0),"")</f>
        <v/>
      </c>
      <c r="L428" s="65" t="str">
        <f ca="1">IF(H428=1,INDEX(Data!$DT$91:$DT$190,$K428)&amp;" / "&amp;OFFSET(Data!$DX$89,0,Specials!J428),"")</f>
        <v/>
      </c>
      <c r="M428" s="65" t="s">
        <v>1</v>
      </c>
      <c r="N428" s="65" t="s">
        <v>255</v>
      </c>
      <c r="O428" s="65" t="e">
        <f t="shared" ca="1" si="30"/>
        <v>#VALUE!</v>
      </c>
      <c r="P428" s="65" t="str">
        <f ca="1">IF(H428=1,"Only 1 Triple-Bogey on hole "&amp;C428&amp;" (par "&amp;D428&amp;")","")</f>
        <v/>
      </c>
    </row>
    <row r="429" spans="1:16" s="65" customFormat="1" hidden="1" x14ac:dyDescent="0.25">
      <c r="A429" s="289" t="str">
        <f>"# Triple-Bogeys Men Rating &gt; "&amp;Parameter!$B$32</f>
        <v># Triple-Bogeys Men Rating &gt; 850</v>
      </c>
      <c r="B429" s="294">
        <f>MATCH(A429,Data!$DT:$DT,0)</f>
        <v>14</v>
      </c>
      <c r="C429" s="65">
        <f>INDEX(Parameter!$9:$9,,MATCH(2,Parameter!$8:$8,0))</f>
        <v>2</v>
      </c>
      <c r="D429" s="65">
        <f>INDEX(Parameter!$B$10:$AB$10,MATCH(C429,Parameter!$B$9:$AB$9,0))</f>
        <v>3</v>
      </c>
      <c r="H429" s="65">
        <f ca="1">INDEX(OFFSET(Data!$CS$1:$DS$1,B429-1,0),MATCH("Total/"&amp;C429,Data!$CS$1:$DS$1,0))</f>
        <v>0</v>
      </c>
      <c r="I429" s="65" t="str">
        <f t="shared" ca="1" si="34"/>
        <v/>
      </c>
      <c r="J429" s="65" t="str">
        <f t="array" aca="1" ref="J429" ca="1">IF(H429=1,MATCH(1,(OFFSET(Data!$DY$1:$IB$1,B429-1,0))*(Data!$DY$90:$IB$90=C429),0),"")</f>
        <v/>
      </c>
      <c r="K429" s="65" t="str">
        <f t="array" aca="1" ref="K429" ca="1">IF(H429=1,MATCH(I429,OFFSET(Data!$DX$91:$DX$190,0,Specials!J429)*(Data!$AM$91:$AM$190&gt;Parameter!$B$32)*(Data!$DW$91:$DW$190="M"),0),"")</f>
        <v/>
      </c>
      <c r="L429" s="65" t="str">
        <f ca="1">IF(H429=1,INDEX(Data!$DT$91:$DT$190,$K429)&amp;" / "&amp;OFFSET(Data!$DX$89,0,Specials!J429),"")</f>
        <v/>
      </c>
      <c r="M429" s="65" t="s">
        <v>1</v>
      </c>
      <c r="N429" s="65" t="s">
        <v>255</v>
      </c>
      <c r="O429" s="65" t="e">
        <f t="shared" ca="1" si="30"/>
        <v>#VALUE!</v>
      </c>
      <c r="P429" s="65" t="str">
        <f t="shared" ref="P429:P453" ca="1" si="35">IF(H429=1,"Only 1 Triple-Bogey on hole "&amp;C429&amp;" (par "&amp;D429&amp;")","")</f>
        <v/>
      </c>
    </row>
    <row r="430" spans="1:16" s="65" customFormat="1" hidden="1" x14ac:dyDescent="0.25">
      <c r="A430" s="289" t="str">
        <f>"# Triple-Bogeys Men Rating &gt; "&amp;Parameter!$B$32</f>
        <v># Triple-Bogeys Men Rating &gt; 850</v>
      </c>
      <c r="B430" s="294">
        <f>MATCH(A430,Data!$DT:$DT,0)</f>
        <v>14</v>
      </c>
      <c r="C430" s="65">
        <f>INDEX(Parameter!$9:$9,,MATCH(3,Parameter!$8:$8,0))</f>
        <v>3</v>
      </c>
      <c r="D430" s="65">
        <f>INDEX(Parameter!$B$10:$AB$10,MATCH(C430,Parameter!$B$9:$AB$9,0))</f>
        <v>3</v>
      </c>
      <c r="H430" s="65">
        <f ca="1">INDEX(OFFSET(Data!$CS$1:$DS$1,B430-1,0),MATCH("Total/"&amp;C430,Data!$CS$1:$DS$1,0))</f>
        <v>0</v>
      </c>
      <c r="I430" s="65" t="str">
        <f t="shared" ca="1" si="34"/>
        <v/>
      </c>
      <c r="J430" s="65" t="str">
        <f t="array" aca="1" ref="J430" ca="1">IF(H430=1,MATCH(1,(OFFSET(Data!$DY$1:$IB$1,B430-1,0))*(Data!$DY$90:$IB$90=C430),0),"")</f>
        <v/>
      </c>
      <c r="K430" s="65" t="str">
        <f t="array" aca="1" ref="K430" ca="1">IF(H430=1,MATCH(I430,OFFSET(Data!$DX$91:$DX$190,0,Specials!J430)*(Data!$AM$91:$AM$190&gt;Parameter!$B$32)*(Data!$DW$91:$DW$190="M"),0),"")</f>
        <v/>
      </c>
      <c r="L430" s="65" t="str">
        <f ca="1">IF(H430=1,INDEX(Data!$DT$91:$DT$190,$K430)&amp;" / "&amp;OFFSET(Data!$DX$89,0,Specials!J430),"")</f>
        <v/>
      </c>
      <c r="M430" s="65" t="s">
        <v>1</v>
      </c>
      <c r="N430" s="65" t="s">
        <v>255</v>
      </c>
      <c r="O430" s="65" t="e">
        <f t="shared" ca="1" si="30"/>
        <v>#VALUE!</v>
      </c>
      <c r="P430" s="65" t="str">
        <f t="shared" ca="1" si="35"/>
        <v/>
      </c>
    </row>
    <row r="431" spans="1:16" s="65" customFormat="1" hidden="1" x14ac:dyDescent="0.25">
      <c r="A431" s="289" t="str">
        <f>"# Triple-Bogeys Men Rating &gt; "&amp;Parameter!$B$32</f>
        <v># Triple-Bogeys Men Rating &gt; 850</v>
      </c>
      <c r="B431" s="294">
        <f>MATCH(A431,Data!$DT:$DT,0)</f>
        <v>14</v>
      </c>
      <c r="C431" s="65">
        <f>INDEX(Parameter!$9:$9,,MATCH(4,Parameter!$8:$8,0))</f>
        <v>4</v>
      </c>
      <c r="D431" s="65">
        <f>INDEX(Parameter!$B$10:$AB$10,MATCH(C431,Parameter!$B$9:$AB$9,0))</f>
        <v>3</v>
      </c>
      <c r="H431" s="65">
        <f ca="1">INDEX(OFFSET(Data!$CS$1:$DS$1,B431-1,0),MATCH("Total/"&amp;C431,Data!$CS$1:$DS$1,0))</f>
        <v>0</v>
      </c>
      <c r="I431" s="65" t="str">
        <f t="shared" ca="1" si="34"/>
        <v/>
      </c>
      <c r="J431" s="65" t="str">
        <f t="array" aca="1" ref="J431" ca="1">IF(H431=1,MATCH(1,(OFFSET(Data!$DY$1:$IB$1,B431-1,0))*(Data!$DY$90:$IB$90=C431),0),"")</f>
        <v/>
      </c>
      <c r="K431" s="65" t="str">
        <f t="array" aca="1" ref="K431" ca="1">IF(H431=1,MATCH(I431,OFFSET(Data!$DX$91:$DX$190,0,Specials!J431)*(Data!$AM$91:$AM$190&gt;Parameter!$B$32)*(Data!$DW$91:$DW$190="M"),0),"")</f>
        <v/>
      </c>
      <c r="L431" s="65" t="str">
        <f ca="1">IF(H431=1,INDEX(Data!$DT$91:$DT$190,$K431)&amp;" / "&amp;OFFSET(Data!$DX$89,0,Specials!J431),"")</f>
        <v/>
      </c>
      <c r="M431" s="65" t="s">
        <v>1</v>
      </c>
      <c r="N431" s="65" t="s">
        <v>255</v>
      </c>
      <c r="O431" s="65" t="e">
        <f t="shared" ca="1" si="30"/>
        <v>#VALUE!</v>
      </c>
      <c r="P431" s="65" t="str">
        <f t="shared" ca="1" si="35"/>
        <v/>
      </c>
    </row>
    <row r="432" spans="1:16" s="65" customFormat="1" hidden="1" x14ac:dyDescent="0.25">
      <c r="A432" s="289" t="str">
        <f>"# Triple-Bogeys Men Rating &gt; "&amp;Parameter!$B$32</f>
        <v># Triple-Bogeys Men Rating &gt; 850</v>
      </c>
      <c r="B432" s="294">
        <f>MATCH(A432,Data!$DT:$DT,0)</f>
        <v>14</v>
      </c>
      <c r="C432" s="65">
        <f>INDEX(Parameter!$9:$9,,MATCH(5,Parameter!$8:$8,0))</f>
        <v>5</v>
      </c>
      <c r="D432" s="65">
        <f>INDEX(Parameter!$B$10:$AB$10,MATCH(C432,Parameter!$B$9:$AB$9,0))</f>
        <v>4</v>
      </c>
      <c r="H432" s="65">
        <f ca="1">INDEX(OFFSET(Data!$CS$1:$DS$1,B432-1,0),MATCH("Total/"&amp;C432,Data!$CS$1:$DS$1,0))</f>
        <v>0</v>
      </c>
      <c r="I432" s="65" t="str">
        <f t="shared" ca="1" si="34"/>
        <v/>
      </c>
      <c r="J432" s="65" t="str">
        <f t="array" aca="1" ref="J432" ca="1">IF(H432=1,MATCH(1,(OFFSET(Data!$DY$1:$IB$1,B432-1,0))*(Data!$DY$90:$IB$90=C432),0),"")</f>
        <v/>
      </c>
      <c r="K432" s="65" t="str">
        <f t="array" aca="1" ref="K432" ca="1">IF(H432=1,MATCH(I432,OFFSET(Data!$DX$91:$DX$190,0,Specials!J432)*(Data!$AM$91:$AM$190&gt;Parameter!$B$32)*(Data!$DW$91:$DW$190="M"),0),"")</f>
        <v/>
      </c>
      <c r="L432" s="65" t="str">
        <f ca="1">IF(H432=1,INDEX(Data!$DT$91:$DT$190,$K432)&amp;" / "&amp;OFFSET(Data!$DX$89,0,Specials!J432),"")</f>
        <v/>
      </c>
      <c r="M432" s="65" t="s">
        <v>1</v>
      </c>
      <c r="N432" s="65" t="s">
        <v>255</v>
      </c>
      <c r="O432" s="65" t="e">
        <f t="shared" ca="1" si="30"/>
        <v>#VALUE!</v>
      </c>
      <c r="P432" s="65" t="str">
        <f t="shared" ca="1" si="35"/>
        <v/>
      </c>
    </row>
    <row r="433" spans="1:16" s="65" customFormat="1" hidden="1" x14ac:dyDescent="0.25">
      <c r="A433" s="289" t="str">
        <f>"# Triple-Bogeys Men Rating &gt; "&amp;Parameter!$B$32</f>
        <v># Triple-Bogeys Men Rating &gt; 850</v>
      </c>
      <c r="B433" s="294">
        <f>MATCH(A433,Data!$DT:$DT,0)</f>
        <v>14</v>
      </c>
      <c r="C433" s="65">
        <f>INDEX(Parameter!$9:$9,,MATCH(6,Parameter!$8:$8,0))</f>
        <v>6</v>
      </c>
      <c r="D433" s="65">
        <f>INDEX(Parameter!$B$10:$AB$10,MATCH(C433,Parameter!$B$9:$AB$9,0))</f>
        <v>3</v>
      </c>
      <c r="H433" s="65">
        <f ca="1">INDEX(OFFSET(Data!$CS$1:$DS$1,B433-1,0),MATCH("Total/"&amp;C433,Data!$CS$1:$DS$1,0))</f>
        <v>0</v>
      </c>
      <c r="I433" s="65" t="str">
        <f t="shared" ca="1" si="34"/>
        <v/>
      </c>
      <c r="J433" s="65" t="str">
        <f t="array" aca="1" ref="J433" ca="1">IF(H433=1,MATCH(1,(OFFSET(Data!$DY$1:$IB$1,B433-1,0))*(Data!$DY$90:$IB$90=C433),0),"")</f>
        <v/>
      </c>
      <c r="K433" s="65" t="str">
        <f t="array" aca="1" ref="K433" ca="1">IF(H433=1,MATCH(I433,OFFSET(Data!$DX$91:$DX$190,0,Specials!J433)*(Data!$AM$91:$AM$190&gt;Parameter!$B$32)*(Data!$DW$91:$DW$190="M"),0),"")</f>
        <v/>
      </c>
      <c r="L433" s="65" t="str">
        <f ca="1">IF(H433=1,INDEX(Data!$DT$91:$DT$190,$K433)&amp;" / "&amp;OFFSET(Data!$DX$89,0,Specials!J433),"")</f>
        <v/>
      </c>
      <c r="M433" s="65" t="s">
        <v>1</v>
      </c>
      <c r="N433" s="65" t="s">
        <v>255</v>
      </c>
      <c r="O433" s="65" t="e">
        <f t="shared" ca="1" si="30"/>
        <v>#VALUE!</v>
      </c>
      <c r="P433" s="65" t="str">
        <f t="shared" ca="1" si="35"/>
        <v/>
      </c>
    </row>
    <row r="434" spans="1:16" s="65" customFormat="1" hidden="1" x14ac:dyDescent="0.25">
      <c r="A434" s="289" t="str">
        <f>"# Triple-Bogeys Men Rating &gt; "&amp;Parameter!$B$32</f>
        <v># Triple-Bogeys Men Rating &gt; 850</v>
      </c>
      <c r="B434" s="294">
        <f>MATCH(A434,Data!$DT:$DT,0)</f>
        <v>14</v>
      </c>
      <c r="C434" s="65">
        <f>INDEX(Parameter!$9:$9,,MATCH(7,Parameter!$8:$8,0))</f>
        <v>7</v>
      </c>
      <c r="D434" s="65">
        <f>INDEX(Parameter!$B$10:$AB$10,MATCH(C434,Parameter!$B$9:$AB$9,0))</f>
        <v>3</v>
      </c>
      <c r="H434" s="65">
        <f ca="1">INDEX(OFFSET(Data!$CS$1:$DS$1,B434-1,0),MATCH("Total/"&amp;C434,Data!$CS$1:$DS$1,0))</f>
        <v>0</v>
      </c>
      <c r="I434" s="65" t="str">
        <f t="shared" ca="1" si="34"/>
        <v/>
      </c>
      <c r="J434" s="65" t="str">
        <f t="array" aca="1" ref="J434" ca="1">IF(H434=1,MATCH(1,(OFFSET(Data!$DY$1:$IB$1,B434-1,0))*(Data!$DY$90:$IB$90=C434),0),"")</f>
        <v/>
      </c>
      <c r="K434" s="65" t="str">
        <f t="array" aca="1" ref="K434" ca="1">IF(H434=1,MATCH(I434,OFFSET(Data!$DX$91:$DX$190,0,Specials!J434)*(Data!$AM$91:$AM$190&gt;Parameter!$B$32)*(Data!$DW$91:$DW$190="M"),0),"")</f>
        <v/>
      </c>
      <c r="L434" s="65" t="str">
        <f ca="1">IF(H434=1,INDEX(Data!$DT$91:$DT$190,$K434)&amp;" / "&amp;OFFSET(Data!$DX$89,0,Specials!J434),"")</f>
        <v/>
      </c>
      <c r="M434" s="65" t="s">
        <v>1</v>
      </c>
      <c r="N434" s="65" t="s">
        <v>255</v>
      </c>
      <c r="O434" s="65" t="e">
        <f t="shared" ca="1" si="30"/>
        <v>#VALUE!</v>
      </c>
      <c r="P434" s="65" t="str">
        <f t="shared" ca="1" si="35"/>
        <v/>
      </c>
    </row>
    <row r="435" spans="1:16" s="65" customFormat="1" hidden="1" x14ac:dyDescent="0.25">
      <c r="A435" s="289" t="str">
        <f>"# Triple-Bogeys Men Rating &gt; "&amp;Parameter!$B$32</f>
        <v># Triple-Bogeys Men Rating &gt; 850</v>
      </c>
      <c r="B435" s="294">
        <f>MATCH(A435,Data!$DT:$DT,0)</f>
        <v>14</v>
      </c>
      <c r="C435" s="65">
        <f>INDEX(Parameter!$9:$9,,MATCH(8,Parameter!$8:$8,0))</f>
        <v>8</v>
      </c>
      <c r="D435" s="65">
        <f>INDEX(Parameter!$B$10:$AB$10,MATCH(C435,Parameter!$B$9:$AB$9,0))</f>
        <v>3</v>
      </c>
      <c r="H435" s="65">
        <f ca="1">INDEX(OFFSET(Data!$CS$1:$DS$1,B435-1,0),MATCH("Total/"&amp;C435,Data!$CS$1:$DS$1,0))</f>
        <v>0</v>
      </c>
      <c r="I435" s="65" t="str">
        <f t="shared" ca="1" si="34"/>
        <v/>
      </c>
      <c r="J435" s="65" t="str">
        <f t="array" aca="1" ref="J435" ca="1">IF(H435=1,MATCH(1,(OFFSET(Data!$DY$1:$IB$1,B435-1,0))*(Data!$DY$90:$IB$90=C435),0),"")</f>
        <v/>
      </c>
      <c r="K435" s="65" t="str">
        <f t="array" aca="1" ref="K435" ca="1">IF(H435=1,MATCH(I435,OFFSET(Data!$DX$91:$DX$190,0,Specials!J435)*(Data!$AM$91:$AM$190&gt;Parameter!$B$32)*(Data!$DW$91:$DW$190="M"),0),"")</f>
        <v/>
      </c>
      <c r="L435" s="65" t="str">
        <f ca="1">IF(H435=1,INDEX(Data!$DT$91:$DT$190,$K435)&amp;" / "&amp;OFFSET(Data!$DX$89,0,Specials!J435),"")</f>
        <v/>
      </c>
      <c r="M435" s="65" t="s">
        <v>1</v>
      </c>
      <c r="N435" s="65" t="s">
        <v>255</v>
      </c>
      <c r="O435" s="65" t="e">
        <f t="shared" ca="1" si="30"/>
        <v>#VALUE!</v>
      </c>
      <c r="P435" s="65" t="str">
        <f t="shared" ca="1" si="35"/>
        <v/>
      </c>
    </row>
    <row r="436" spans="1:16" s="65" customFormat="1" hidden="1" x14ac:dyDescent="0.25">
      <c r="A436" s="289" t="str">
        <f>"# Triple-Bogeys Men Rating &gt; "&amp;Parameter!$B$32</f>
        <v># Triple-Bogeys Men Rating &gt; 850</v>
      </c>
      <c r="B436" s="294">
        <f>MATCH(A436,Data!$DT:$DT,0)</f>
        <v>14</v>
      </c>
      <c r="C436" s="65">
        <f>INDEX(Parameter!$9:$9,,MATCH(9,Parameter!$8:$8,0))</f>
        <v>9</v>
      </c>
      <c r="D436" s="65">
        <f>INDEX(Parameter!$B$10:$AB$10,MATCH(C436,Parameter!$B$9:$AB$9,0))</f>
        <v>4</v>
      </c>
      <c r="H436" s="65">
        <f ca="1">INDEX(OFFSET(Data!$CS$1:$DS$1,B436-1,0),MATCH("Total/"&amp;C436,Data!$CS$1:$DS$1,0))</f>
        <v>0</v>
      </c>
      <c r="I436" s="65" t="str">
        <f t="shared" ca="1" si="34"/>
        <v/>
      </c>
      <c r="J436" s="65" t="str">
        <f t="array" aca="1" ref="J436" ca="1">IF(H436=1,MATCH(1,(OFFSET(Data!$DY$1:$IB$1,B436-1,0))*(Data!$DY$90:$IB$90=C436),0),"")</f>
        <v/>
      </c>
      <c r="K436" s="65" t="str">
        <f t="array" aca="1" ref="K436" ca="1">IF(H436=1,MATCH(I436,OFFSET(Data!$DX$91:$DX$190,0,Specials!J436)*(Data!$AM$91:$AM$190&gt;Parameter!$B$32)*(Data!$DW$91:$DW$190="M"),0),"")</f>
        <v/>
      </c>
      <c r="L436" s="65" t="str">
        <f ca="1">IF(H436=1,INDEX(Data!$DT$91:$DT$190,$K436)&amp;" / "&amp;OFFSET(Data!$DX$89,0,Specials!J436),"")</f>
        <v/>
      </c>
      <c r="M436" s="65" t="s">
        <v>1</v>
      </c>
      <c r="N436" s="65" t="s">
        <v>255</v>
      </c>
      <c r="O436" s="65" t="e">
        <f t="shared" ca="1" si="30"/>
        <v>#VALUE!</v>
      </c>
      <c r="P436" s="65" t="str">
        <f t="shared" ca="1" si="35"/>
        <v/>
      </c>
    </row>
    <row r="437" spans="1:16" s="65" customFormat="1" hidden="1" x14ac:dyDescent="0.25">
      <c r="A437" s="289" t="str">
        <f>"# Triple-Bogeys Men Rating &gt; "&amp;Parameter!$B$32</f>
        <v># Triple-Bogeys Men Rating &gt; 850</v>
      </c>
      <c r="B437" s="294">
        <f>MATCH(A437,Data!$DT:$DT,0)</f>
        <v>14</v>
      </c>
      <c r="C437" s="65">
        <f>INDEX(Parameter!$9:$9,,MATCH(10,Parameter!$8:$8,0))</f>
        <v>10</v>
      </c>
      <c r="D437" s="65">
        <f>INDEX(Parameter!$B$10:$AB$10,MATCH(C437,Parameter!$B$9:$AB$9,0))</f>
        <v>4</v>
      </c>
      <c r="H437" s="65">
        <f ca="1">INDEX(OFFSET(Data!$CS$1:$DS$1,B437-1,0),MATCH("Total/"&amp;C437,Data!$CS$1:$DS$1,0))</f>
        <v>0</v>
      </c>
      <c r="I437" s="65" t="str">
        <f t="shared" ca="1" si="34"/>
        <v/>
      </c>
      <c r="J437" s="65" t="str">
        <f t="array" aca="1" ref="J437" ca="1">IF(H437=1,MATCH(1,(OFFSET(Data!$DY$1:$IB$1,B437-1,0))*(Data!$DY$90:$IB$90=C437),0),"")</f>
        <v/>
      </c>
      <c r="K437" s="65" t="str">
        <f t="array" aca="1" ref="K437" ca="1">IF(H437=1,MATCH(I437,OFFSET(Data!$DX$91:$DX$190,0,Specials!J437)*(Data!$AM$91:$AM$190&gt;Parameter!$B$32)*(Data!$DW$91:$DW$190="M"),0),"")</f>
        <v/>
      </c>
      <c r="L437" s="65" t="str">
        <f ca="1">IF(H437=1,INDEX(Data!$DT$91:$DT$190,$K437)&amp;" / "&amp;OFFSET(Data!$DX$89,0,Specials!J437),"")</f>
        <v/>
      </c>
      <c r="M437" s="65" t="s">
        <v>1</v>
      </c>
      <c r="N437" s="65" t="s">
        <v>255</v>
      </c>
      <c r="O437" s="65" t="e">
        <f t="shared" ca="1" si="30"/>
        <v>#VALUE!</v>
      </c>
      <c r="P437" s="65" t="str">
        <f t="shared" ca="1" si="35"/>
        <v/>
      </c>
    </row>
    <row r="438" spans="1:16" s="65" customFormat="1" hidden="1" x14ac:dyDescent="0.25">
      <c r="A438" s="289" t="str">
        <f>"# Triple-Bogeys Men Rating &gt; "&amp;Parameter!$B$32</f>
        <v># Triple-Bogeys Men Rating &gt; 850</v>
      </c>
      <c r="B438" s="294">
        <f>MATCH(A438,Data!$DT:$DT,0)</f>
        <v>14</v>
      </c>
      <c r="C438" s="65">
        <f>INDEX(Parameter!$9:$9,,MATCH(11,Parameter!$8:$8,0))</f>
        <v>11</v>
      </c>
      <c r="D438" s="65">
        <f>INDEX(Parameter!$B$10:$AB$10,MATCH(C438,Parameter!$B$9:$AB$9,0))</f>
        <v>4</v>
      </c>
      <c r="H438" s="65">
        <f ca="1">INDEX(OFFSET(Data!$CS$1:$DS$1,B438-1,0),MATCH("Total/"&amp;C438,Data!$CS$1:$DS$1,0))</f>
        <v>2</v>
      </c>
      <c r="I438" s="65" t="str">
        <f t="shared" ca="1" si="34"/>
        <v/>
      </c>
      <c r="J438" s="65" t="str">
        <f t="array" aca="1" ref="J438" ca="1">IF(H438=1,MATCH(1,(OFFSET(Data!$DY$1:$IB$1,B438-1,0))*(Data!$DY$90:$IB$90=C438),0),"")</f>
        <v/>
      </c>
      <c r="K438" s="65" t="str">
        <f t="array" aca="1" ref="K438" ca="1">IF(H438=1,MATCH(I438,OFFSET(Data!$DX$91:$DX$190,0,Specials!J438)*(Data!$AM$91:$AM$190&gt;Parameter!$B$32)*(Data!$DW$91:$DW$190="M"),0),"")</f>
        <v/>
      </c>
      <c r="L438" s="65" t="str">
        <f ca="1">IF(H438=1,INDEX(Data!$DT$91:$DT$190,$K438)&amp;" / "&amp;OFFSET(Data!$DX$89,0,Specials!J438),"")</f>
        <v/>
      </c>
      <c r="M438" s="65" t="s">
        <v>1</v>
      </c>
      <c r="N438" s="65" t="s">
        <v>255</v>
      </c>
      <c r="O438" s="65" t="e">
        <f t="shared" ca="1" si="30"/>
        <v>#VALUE!</v>
      </c>
      <c r="P438" s="65" t="str">
        <f t="shared" ca="1" si="35"/>
        <v/>
      </c>
    </row>
    <row r="439" spans="1:16" s="65" customFormat="1" hidden="1" x14ac:dyDescent="0.25">
      <c r="A439" s="289" t="str">
        <f>"# Triple-Bogeys Men Rating &gt; "&amp;Parameter!$B$32</f>
        <v># Triple-Bogeys Men Rating &gt; 850</v>
      </c>
      <c r="B439" s="294">
        <f>MATCH(A439,Data!$DT:$DT,0)</f>
        <v>14</v>
      </c>
      <c r="C439" s="65" t="str">
        <f>INDEX(Parameter!$9:$9,,MATCH(12,Parameter!$8:$8,0))</f>
        <v>11b</v>
      </c>
      <c r="D439" s="65">
        <f>INDEX(Parameter!$B$10:$AB$10,MATCH(C439,Parameter!$B$9:$AB$9,0))</f>
        <v>3</v>
      </c>
      <c r="H439" s="65">
        <f ca="1">INDEX(OFFSET(Data!$CS$1:$DS$1,B439-1,0),MATCH("Total/"&amp;C439,Data!$CS$1:$DS$1,0))</f>
        <v>0</v>
      </c>
      <c r="I439" s="65" t="str">
        <f t="shared" ca="1" si="34"/>
        <v/>
      </c>
      <c r="J439" s="65" t="str">
        <f t="array" aca="1" ref="J439" ca="1">IF(H439=1,MATCH(1,(OFFSET(Data!$DY$1:$IB$1,B439-1,0))*(Data!$DY$90:$IB$90=C439),0),"")</f>
        <v/>
      </c>
      <c r="K439" s="65" t="str">
        <f t="array" aca="1" ref="K439" ca="1">IF(H439=1,MATCH(I439,OFFSET(Data!$DX$91:$DX$190,0,Specials!J439)*(Data!$AM$91:$AM$190&gt;Parameter!$B$32)*(Data!$DW$91:$DW$190="M"),0),"")</f>
        <v/>
      </c>
      <c r="L439" s="65" t="str">
        <f ca="1">IF(H439=1,INDEX(Data!$DT$91:$DT$190,$K439)&amp;" / "&amp;OFFSET(Data!$DX$89,0,Specials!J439),"")</f>
        <v/>
      </c>
      <c r="M439" s="65" t="s">
        <v>1</v>
      </c>
      <c r="N439" s="65" t="s">
        <v>255</v>
      </c>
      <c r="O439" s="65" t="e">
        <f t="shared" ca="1" si="30"/>
        <v>#VALUE!</v>
      </c>
      <c r="P439" s="65" t="str">
        <f t="shared" ca="1" si="35"/>
        <v/>
      </c>
    </row>
    <row r="440" spans="1:16" s="65" customFormat="1" hidden="1" x14ac:dyDescent="0.25">
      <c r="A440" s="289" t="str">
        <f>"# Triple-Bogeys Men Rating &gt; "&amp;Parameter!$B$32</f>
        <v># Triple-Bogeys Men Rating &gt; 850</v>
      </c>
      <c r="B440" s="294">
        <f>MATCH(A440,Data!$DT:$DT,0)</f>
        <v>14</v>
      </c>
      <c r="C440" s="65">
        <f>INDEX(Parameter!$9:$9,,MATCH(13,Parameter!$8:$8,0))</f>
        <v>12</v>
      </c>
      <c r="D440" s="65">
        <f>INDEX(Parameter!$B$10:$AB$10,MATCH(C440,Parameter!$B$9:$AB$9,0))</f>
        <v>3</v>
      </c>
      <c r="H440" s="65">
        <f ca="1">INDEX(OFFSET(Data!$CS$1:$DS$1,B440-1,0),MATCH("Total/"&amp;C440,Data!$CS$1:$DS$1,0))</f>
        <v>0</v>
      </c>
      <c r="I440" s="65" t="str">
        <f t="shared" ca="1" si="34"/>
        <v/>
      </c>
      <c r="J440" s="65" t="str">
        <f t="array" aca="1" ref="J440" ca="1">IF(H440=1,MATCH(1,(OFFSET(Data!$DY$1:$IB$1,B440-1,0))*(Data!$DY$90:$IB$90=C440),0),"")</f>
        <v/>
      </c>
      <c r="K440" s="65" t="str">
        <f t="array" aca="1" ref="K440" ca="1">IF(H440=1,MATCH(I440,OFFSET(Data!$DX$91:$DX$190,0,Specials!J440)*(Data!$AM$91:$AM$190&gt;Parameter!$B$32)*(Data!$DW$91:$DW$190="M"),0),"")</f>
        <v/>
      </c>
      <c r="L440" s="65" t="str">
        <f ca="1">IF(H440=1,INDEX(Data!$DT$91:$DT$190,$K440)&amp;" / "&amp;OFFSET(Data!$DX$89,0,Specials!J440),"")</f>
        <v/>
      </c>
      <c r="M440" s="65" t="s">
        <v>1</v>
      </c>
      <c r="N440" s="65" t="s">
        <v>255</v>
      </c>
      <c r="O440" s="65" t="e">
        <f t="shared" ca="1" si="30"/>
        <v>#VALUE!</v>
      </c>
      <c r="P440" s="65" t="str">
        <f t="shared" ca="1" si="35"/>
        <v/>
      </c>
    </row>
    <row r="441" spans="1:16" s="65" customFormat="1" hidden="1" x14ac:dyDescent="0.25">
      <c r="A441" s="289" t="str">
        <f>"# Triple-Bogeys Men Rating &gt; "&amp;Parameter!$B$32</f>
        <v># Triple-Bogeys Men Rating &gt; 850</v>
      </c>
      <c r="B441" s="294">
        <f>MATCH(A441,Data!$DT:$DT,0)</f>
        <v>14</v>
      </c>
      <c r="C441" s="65">
        <f>INDEX(Parameter!$9:$9,,MATCH(14,Parameter!$8:$8,0))</f>
        <v>13</v>
      </c>
      <c r="D441" s="65">
        <f>INDEX(Parameter!$B$10:$AB$10,MATCH(C441,Parameter!$B$9:$AB$9,0))</f>
        <v>3</v>
      </c>
      <c r="H441" s="65">
        <f ca="1">INDEX(OFFSET(Data!$CS$1:$DS$1,B441-1,0),MATCH("Total/"&amp;C441,Data!$CS$1:$DS$1,0))</f>
        <v>0</v>
      </c>
      <c r="I441" s="65" t="str">
        <f t="shared" ca="1" si="34"/>
        <v/>
      </c>
      <c r="J441" s="65" t="str">
        <f t="array" aca="1" ref="J441" ca="1">IF(H441=1,MATCH(1,(OFFSET(Data!$DY$1:$IB$1,B441-1,0))*(Data!$DY$90:$IB$90=C441),0),"")</f>
        <v/>
      </c>
      <c r="K441" s="65" t="str">
        <f t="array" aca="1" ref="K441" ca="1">IF(H441=1,MATCH(I441,OFFSET(Data!$DX$91:$DX$190,0,Specials!J441)*(Data!$AM$91:$AM$190&gt;Parameter!$B$32)*(Data!$DW$91:$DW$190="M"),0),"")</f>
        <v/>
      </c>
      <c r="L441" s="65" t="str">
        <f ca="1">IF(H441=1,INDEX(Data!$DT$91:$DT$190,$K441)&amp;" / "&amp;OFFSET(Data!$DX$89,0,Specials!J441),"")</f>
        <v/>
      </c>
      <c r="M441" s="65" t="s">
        <v>1</v>
      </c>
      <c r="N441" s="65" t="s">
        <v>255</v>
      </c>
      <c r="O441" s="65" t="e">
        <f t="shared" ca="1" si="30"/>
        <v>#VALUE!</v>
      </c>
      <c r="P441" s="65" t="str">
        <f t="shared" ca="1" si="35"/>
        <v/>
      </c>
    </row>
    <row r="442" spans="1:16" s="65" customFormat="1" hidden="1" x14ac:dyDescent="0.25">
      <c r="A442" s="289" t="str">
        <f>"# Triple-Bogeys Men Rating &gt; "&amp;Parameter!$B$32</f>
        <v># Triple-Bogeys Men Rating &gt; 850</v>
      </c>
      <c r="B442" s="294">
        <f>MATCH(A442,Data!$DT:$DT,0)</f>
        <v>14</v>
      </c>
      <c r="C442" s="65">
        <f>INDEX(Parameter!$9:$9,,MATCH(15,Parameter!$8:$8,0))</f>
        <v>14</v>
      </c>
      <c r="D442" s="65">
        <f>INDEX(Parameter!$B$10:$AB$10,MATCH(C442,Parameter!$B$9:$AB$9,0))</f>
        <v>3</v>
      </c>
      <c r="H442" s="65">
        <f ca="1">INDEX(OFFSET(Data!$CS$1:$DS$1,B442-1,0),MATCH("Total/"&amp;C442,Data!$CS$1:$DS$1,0))</f>
        <v>0</v>
      </c>
      <c r="I442" s="65" t="str">
        <f t="shared" ca="1" si="34"/>
        <v/>
      </c>
      <c r="J442" s="65" t="str">
        <f t="array" aca="1" ref="J442" ca="1">IF(H442=1,MATCH(1,(OFFSET(Data!$DY$1:$IB$1,B442-1,0))*(Data!$DY$90:$IB$90=C442),0),"")</f>
        <v/>
      </c>
      <c r="K442" s="65" t="str">
        <f t="array" aca="1" ref="K442" ca="1">IF(H442=1,MATCH(I442,OFFSET(Data!$DX$91:$DX$190,0,Specials!J442)*(Data!$AM$91:$AM$190&gt;Parameter!$B$32)*(Data!$DW$91:$DW$190="M"),0),"")</f>
        <v/>
      </c>
      <c r="L442" s="65" t="str">
        <f ca="1">IF(H442=1,INDEX(Data!$DT$91:$DT$190,$K442)&amp;" / "&amp;OFFSET(Data!$DX$89,0,Specials!J442),"")</f>
        <v/>
      </c>
      <c r="M442" s="65" t="s">
        <v>1</v>
      </c>
      <c r="N442" s="65" t="s">
        <v>255</v>
      </c>
      <c r="O442" s="65" t="e">
        <f t="shared" ca="1" si="30"/>
        <v>#VALUE!</v>
      </c>
      <c r="P442" s="65" t="str">
        <f t="shared" ca="1" si="35"/>
        <v/>
      </c>
    </row>
    <row r="443" spans="1:16" s="65" customFormat="1" hidden="1" x14ac:dyDescent="0.25">
      <c r="A443" s="289" t="str">
        <f>"# Triple-Bogeys Men Rating &gt; "&amp;Parameter!$B$32</f>
        <v># Triple-Bogeys Men Rating &gt; 850</v>
      </c>
      <c r="B443" s="294">
        <f>MATCH(A443,Data!$DT:$DT,0)</f>
        <v>14</v>
      </c>
      <c r="C443" s="65">
        <f>INDEX(Parameter!$9:$9,,MATCH(16,Parameter!$8:$8,0))</f>
        <v>15</v>
      </c>
      <c r="D443" s="65">
        <f>INDEX(Parameter!$B$10:$AB$10,MATCH(C443,Parameter!$B$9:$AB$9,0))</f>
        <v>3</v>
      </c>
      <c r="H443" s="65">
        <f ca="1">INDEX(OFFSET(Data!$CS$1:$DS$1,B443-1,0),MATCH("Total/"&amp;C443,Data!$CS$1:$DS$1,0))</f>
        <v>0</v>
      </c>
      <c r="I443" s="65" t="str">
        <f t="shared" ca="1" si="34"/>
        <v/>
      </c>
      <c r="J443" s="65" t="str">
        <f t="array" aca="1" ref="J443" ca="1">IF(H443=1,MATCH(1,(OFFSET(Data!$DY$1:$IB$1,B443-1,0))*(Data!$DY$90:$IB$90=C443),0),"")</f>
        <v/>
      </c>
      <c r="K443" s="65" t="str">
        <f t="array" aca="1" ref="K443" ca="1">IF(H443=1,MATCH(I443,OFFSET(Data!$DX$91:$DX$190,0,Specials!J443)*(Data!$AM$91:$AM$190&gt;Parameter!$B$32)*(Data!$DW$91:$DW$190="M"),0),"")</f>
        <v/>
      </c>
      <c r="L443" s="65" t="str">
        <f ca="1">IF(H443=1,INDEX(Data!$DT$91:$DT$190,$K443)&amp;" / "&amp;OFFSET(Data!$DX$89,0,Specials!J443),"")</f>
        <v/>
      </c>
      <c r="M443" s="65" t="s">
        <v>1</v>
      </c>
      <c r="N443" s="65" t="s">
        <v>255</v>
      </c>
      <c r="O443" s="65" t="e">
        <f t="shared" ca="1" si="30"/>
        <v>#VALUE!</v>
      </c>
      <c r="P443" s="65" t="str">
        <f t="shared" ca="1" si="35"/>
        <v/>
      </c>
    </row>
    <row r="444" spans="1:16" s="65" customFormat="1" hidden="1" x14ac:dyDescent="0.25">
      <c r="A444" s="289" t="str">
        <f>"# Triple-Bogeys Men Rating &gt; "&amp;Parameter!$B$32</f>
        <v># Triple-Bogeys Men Rating &gt; 850</v>
      </c>
      <c r="B444" s="294">
        <f>MATCH(A444,Data!$DT:$DT,0)</f>
        <v>14</v>
      </c>
      <c r="C444" s="65">
        <f>INDEX(Parameter!$9:$9,,MATCH(17,Parameter!$8:$8,0))</f>
        <v>16</v>
      </c>
      <c r="D444" s="65">
        <f>INDEX(Parameter!$B$10:$AB$10,MATCH(C444,Parameter!$B$9:$AB$9,0))</f>
        <v>3</v>
      </c>
      <c r="H444" s="65">
        <f ca="1">INDEX(OFFSET(Data!$CS$1:$DS$1,B444-1,0),MATCH("Total/"&amp;C444,Data!$CS$1:$DS$1,0))</f>
        <v>0</v>
      </c>
      <c r="I444" s="65" t="str">
        <f t="shared" ca="1" si="34"/>
        <v/>
      </c>
      <c r="J444" s="65" t="str">
        <f t="array" aca="1" ref="J444" ca="1">IF(H444=1,MATCH(1,(OFFSET(Data!$DY$1:$IB$1,B444-1,0))*(Data!$DY$90:$IB$90=C444),0),"")</f>
        <v/>
      </c>
      <c r="K444" s="65" t="str">
        <f t="array" aca="1" ref="K444" ca="1">IF(H444=1,MATCH(I444,OFFSET(Data!$DX$91:$DX$190,0,Specials!J444)*(Data!$AM$91:$AM$190&gt;Parameter!$B$32)*(Data!$DW$91:$DW$190="M"),0),"")</f>
        <v/>
      </c>
      <c r="L444" s="65" t="str">
        <f ca="1">IF(H444=1,INDEX(Data!$DT$91:$DT$190,$K444)&amp;" / "&amp;OFFSET(Data!$DX$89,0,Specials!J444),"")</f>
        <v/>
      </c>
      <c r="M444" s="65" t="s">
        <v>1</v>
      </c>
      <c r="N444" s="65" t="s">
        <v>255</v>
      </c>
      <c r="O444" s="65" t="e">
        <f t="shared" ca="1" si="30"/>
        <v>#VALUE!</v>
      </c>
      <c r="P444" s="65" t="str">
        <f t="shared" ca="1" si="35"/>
        <v/>
      </c>
    </row>
    <row r="445" spans="1:16" s="65" customFormat="1" hidden="1" x14ac:dyDescent="0.25">
      <c r="A445" s="289" t="str">
        <f>"# Triple-Bogeys Men Rating &gt; "&amp;Parameter!$B$32</f>
        <v># Triple-Bogeys Men Rating &gt; 850</v>
      </c>
      <c r="B445" s="294">
        <f>MATCH(A445,Data!$DT:$DT,0)</f>
        <v>14</v>
      </c>
      <c r="C445" s="65">
        <f>INDEX(Parameter!$9:$9,,MATCH(18,Parameter!$8:$8,0))</f>
        <v>17</v>
      </c>
      <c r="D445" s="65">
        <f>INDEX(Parameter!$B$10:$AB$10,MATCH(C445,Parameter!$B$9:$AB$9,0))</f>
        <v>3</v>
      </c>
      <c r="H445" s="65">
        <f ca="1">INDEX(OFFSET(Data!$CS$1:$DS$1,B445-1,0),MATCH("Total/"&amp;C445,Data!$CS$1:$DS$1,0))</f>
        <v>5</v>
      </c>
      <c r="I445" s="65" t="str">
        <f t="shared" ca="1" si="34"/>
        <v/>
      </c>
      <c r="J445" s="65" t="str">
        <f t="array" aca="1" ref="J445" ca="1">IF(H445=1,MATCH(1,(OFFSET(Data!$DY$1:$IB$1,B445-1,0))*(Data!$DY$90:$IB$90=C445),0),"")</f>
        <v/>
      </c>
      <c r="K445" s="65" t="str">
        <f t="array" aca="1" ref="K445" ca="1">IF(H445=1,MATCH(I445,OFFSET(Data!$DX$91:$DX$190,0,Specials!J445)*(Data!$AM$91:$AM$190&gt;Parameter!$B$32)*(Data!$DW$91:$DW$190="M"),0),"")</f>
        <v/>
      </c>
      <c r="L445" s="65" t="str">
        <f ca="1">IF(H445=1,INDEX(Data!$DT$91:$DT$190,$K445)&amp;" / "&amp;OFFSET(Data!$DX$89,0,Specials!J445),"")</f>
        <v/>
      </c>
      <c r="M445" s="65" t="s">
        <v>1</v>
      </c>
      <c r="N445" s="65" t="s">
        <v>255</v>
      </c>
      <c r="O445" s="65" t="e">
        <f t="shared" ca="1" si="30"/>
        <v>#VALUE!</v>
      </c>
      <c r="P445" s="65" t="str">
        <f t="shared" ca="1" si="35"/>
        <v/>
      </c>
    </row>
    <row r="446" spans="1:16" s="65" customFormat="1" hidden="1" x14ac:dyDescent="0.25">
      <c r="A446" s="289" t="str">
        <f>"# Triple-Bogeys Men Rating &gt; "&amp;Parameter!$B$32</f>
        <v># Triple-Bogeys Men Rating &gt; 850</v>
      </c>
      <c r="B446" s="294">
        <f>MATCH(A446,Data!$DT:$DT,0)</f>
        <v>14</v>
      </c>
      <c r="C446" s="65">
        <f>INDEX(Parameter!$9:$9,,MATCH(19,Parameter!$8:$8,0))</f>
        <v>18</v>
      </c>
      <c r="D446" s="65">
        <f>INDEX(Parameter!$B$10:$AB$10,MATCH(C446,Parameter!$B$9:$AB$9,0))</f>
        <v>3</v>
      </c>
      <c r="H446" s="65">
        <f ca="1">INDEX(OFFSET(Data!$CS$1:$DS$1,B446-1,0),MATCH("Total/"&amp;C446,Data!$CS$1:$DS$1,0))</f>
        <v>0</v>
      </c>
      <c r="I446" s="65" t="str">
        <f t="shared" ca="1" si="34"/>
        <v/>
      </c>
      <c r="J446" s="65" t="str">
        <f t="array" aca="1" ref="J446" ca="1">IF(H446=1,MATCH(1,(OFFSET(Data!$DY$1:$IB$1,B446-1,0))*(Data!$DY$90:$IB$90=C446),0),"")</f>
        <v/>
      </c>
      <c r="K446" s="65" t="str">
        <f t="array" aca="1" ref="K446" ca="1">IF(H446=1,MATCH(I446,OFFSET(Data!$DX$91:$DX$190,0,Specials!J446)*(Data!$AM$91:$AM$190&gt;Parameter!$B$32)*(Data!$DW$91:$DW$190="M"),0),"")</f>
        <v/>
      </c>
      <c r="L446" s="65" t="str">
        <f ca="1">IF(H446=1,INDEX(Data!$DT$91:$DT$190,$K446)&amp;" / "&amp;OFFSET(Data!$DX$89,0,Specials!J446),"")</f>
        <v/>
      </c>
      <c r="M446" s="65" t="s">
        <v>1</v>
      </c>
      <c r="N446" s="65" t="s">
        <v>255</v>
      </c>
      <c r="O446" s="65" t="e">
        <f t="shared" ca="1" si="30"/>
        <v>#VALUE!</v>
      </c>
      <c r="P446" s="65" t="str">
        <f t="shared" ca="1" si="35"/>
        <v/>
      </c>
    </row>
    <row r="447" spans="1:16" s="65" customFormat="1" hidden="1" x14ac:dyDescent="0.25">
      <c r="A447" s="289" t="str">
        <f>"# Triple-Bogeys Men Rating &gt; "&amp;Parameter!$B$32</f>
        <v># Triple-Bogeys Men Rating &gt; 850</v>
      </c>
      <c r="B447" s="294">
        <f>MATCH(A447,Data!$DT:$DT,0)</f>
        <v>14</v>
      </c>
      <c r="C447" s="65">
        <f>INDEX(Parameter!$9:$9,,MATCH(20,Parameter!$8:$8,0))</f>
        <v>20</v>
      </c>
      <c r="D447" s="65" t="str">
        <f>INDEX(Parameter!$B$10:$AB$10,MATCH(C447,Parameter!$B$9:$AB$9,0))</f>
        <v>no</v>
      </c>
      <c r="H447" s="65">
        <f ca="1">INDEX(OFFSET(Data!$CS$1:$DS$1,B447-1,0),MATCH("Total/"&amp;C447,Data!$CS$1:$DS$1,0))</f>
        <v>0</v>
      </c>
      <c r="I447" s="65" t="str">
        <f t="shared" ca="1" si="34"/>
        <v/>
      </c>
      <c r="J447" s="65" t="str">
        <f t="array" aca="1" ref="J447" ca="1">IF(H447=1,MATCH(1,(OFFSET(Data!$DY$1:$IB$1,B447-1,0))*(Data!$DY$90:$IB$90=C447),0),"")</f>
        <v/>
      </c>
      <c r="K447" s="65" t="str">
        <f t="array" aca="1" ref="K447" ca="1">IF(H447=1,MATCH(I447,OFFSET(Data!$DX$91:$DX$190,0,Specials!J447)*(Data!$AM$91:$AM$190&gt;Parameter!$B$32)*(Data!$DW$91:$DW$190="M"),0),"")</f>
        <v/>
      </c>
      <c r="L447" s="65" t="str">
        <f ca="1">IF(H447=1,INDEX(Data!$DT$91:$DT$190,$K447)&amp;" / "&amp;OFFSET(Data!$DX$89,0,Specials!J447),"")</f>
        <v/>
      </c>
      <c r="M447" s="65" t="s">
        <v>1</v>
      </c>
      <c r="N447" s="65" t="s">
        <v>255</v>
      </c>
      <c r="O447" s="65" t="e">
        <f t="shared" ca="1" si="30"/>
        <v>#VALUE!</v>
      </c>
      <c r="P447" s="65" t="str">
        <f t="shared" ca="1" si="35"/>
        <v/>
      </c>
    </row>
    <row r="448" spans="1:16" s="65" customFormat="1" hidden="1" x14ac:dyDescent="0.25">
      <c r="A448" s="289" t="str">
        <f>"# Triple-Bogeys Men Rating &gt; "&amp;Parameter!$B$32</f>
        <v># Triple-Bogeys Men Rating &gt; 850</v>
      </c>
      <c r="B448" s="294">
        <f>MATCH(A448,Data!$DT:$DT,0)</f>
        <v>14</v>
      </c>
      <c r="C448" s="65">
        <f>INDEX(Parameter!$9:$9,,MATCH(21,Parameter!$8:$8,0))</f>
        <v>21</v>
      </c>
      <c r="D448" s="65" t="str">
        <f>INDEX(Parameter!$B$10:$AB$10,MATCH(C448,Parameter!$B$9:$AB$9,0))</f>
        <v>no</v>
      </c>
      <c r="H448" s="65">
        <f ca="1">INDEX(OFFSET(Data!$CS$1:$DS$1,B448-1,0),MATCH("Total/"&amp;C448,Data!$CS$1:$DS$1,0))</f>
        <v>0</v>
      </c>
      <c r="I448" s="65" t="str">
        <f t="shared" ca="1" si="34"/>
        <v/>
      </c>
      <c r="J448" s="65" t="str">
        <f t="array" aca="1" ref="J448" ca="1">IF(H448=1,MATCH(1,(OFFSET(Data!$DY$1:$IB$1,B448-1,0))*(Data!$DY$90:$IB$90=C448),0),"")</f>
        <v/>
      </c>
      <c r="K448" s="65" t="str">
        <f t="array" aca="1" ref="K448" ca="1">IF(H448=1,MATCH(I448,OFFSET(Data!$DX$91:$DX$190,0,Specials!J448)*(Data!$AM$91:$AM$190&gt;Parameter!$B$32)*(Data!$DW$91:$DW$190="M"),0),"")</f>
        <v/>
      </c>
      <c r="L448" s="65" t="str">
        <f ca="1">IF(H448=1,INDEX(Data!$DT$91:$DT$190,$K448)&amp;" / "&amp;OFFSET(Data!$DX$89,0,Specials!J448),"")</f>
        <v/>
      </c>
      <c r="M448" s="65" t="s">
        <v>1</v>
      </c>
      <c r="N448" s="65" t="s">
        <v>255</v>
      </c>
      <c r="O448" s="65" t="e">
        <f t="shared" ca="1" si="30"/>
        <v>#VALUE!</v>
      </c>
      <c r="P448" s="65" t="str">
        <f t="shared" ca="1" si="35"/>
        <v/>
      </c>
    </row>
    <row r="449" spans="1:16" s="65" customFormat="1" hidden="1" x14ac:dyDescent="0.25">
      <c r="A449" s="289" t="str">
        <f>"# Triple-Bogeys Men Rating &gt; "&amp;Parameter!$B$32</f>
        <v># Triple-Bogeys Men Rating &gt; 850</v>
      </c>
      <c r="B449" s="294">
        <f>MATCH(A449,Data!$DT:$DT,0)</f>
        <v>14</v>
      </c>
      <c r="C449" s="65">
        <f>INDEX(Parameter!$9:$9,,MATCH(22,Parameter!$8:$8,0))</f>
        <v>22</v>
      </c>
      <c r="D449" s="65" t="str">
        <f>INDEX(Parameter!$B$10:$AB$10,MATCH(C449,Parameter!$B$9:$AB$9,0))</f>
        <v>no</v>
      </c>
      <c r="H449" s="65">
        <f ca="1">INDEX(OFFSET(Data!$CS$1:$DS$1,B449-1,0),MATCH("Total/"&amp;C449,Data!$CS$1:$DS$1,0))</f>
        <v>0</v>
      </c>
      <c r="I449" s="65" t="str">
        <f t="shared" ca="1" si="34"/>
        <v/>
      </c>
      <c r="J449" s="65" t="str">
        <f t="array" aca="1" ref="J449" ca="1">IF(H449=1,MATCH(1,(OFFSET(Data!$DY$1:$IB$1,B449-1,0))*(Data!$DY$90:$IB$90=C449),0),"")</f>
        <v/>
      </c>
      <c r="K449" s="65" t="str">
        <f t="array" aca="1" ref="K449" ca="1">IF(H449=1,MATCH(I449,OFFSET(Data!$DX$91:$DX$190,0,Specials!J449)*(Data!$AM$91:$AM$190&gt;Parameter!$B$32)*(Data!$DW$91:$DW$190="M"),0),"")</f>
        <v/>
      </c>
      <c r="L449" s="65" t="str">
        <f ca="1">IF(H449=1,INDEX(Data!$DT$91:$DT$190,$K449)&amp;" / "&amp;OFFSET(Data!$DX$89,0,Specials!J449),"")</f>
        <v/>
      </c>
      <c r="M449" s="65" t="s">
        <v>1</v>
      </c>
      <c r="N449" s="65" t="s">
        <v>255</v>
      </c>
      <c r="O449" s="65" t="e">
        <f t="shared" ca="1" si="30"/>
        <v>#VALUE!</v>
      </c>
      <c r="P449" s="65" t="str">
        <f t="shared" ca="1" si="35"/>
        <v/>
      </c>
    </row>
    <row r="450" spans="1:16" s="65" customFormat="1" hidden="1" x14ac:dyDescent="0.25">
      <c r="A450" s="289" t="str">
        <f>"# Triple-Bogeys Men Rating &gt; "&amp;Parameter!$B$32</f>
        <v># Triple-Bogeys Men Rating &gt; 850</v>
      </c>
      <c r="B450" s="294">
        <f>MATCH(A450,Data!$DT:$DT,0)</f>
        <v>14</v>
      </c>
      <c r="C450" s="65">
        <f>INDEX(Parameter!$9:$9,,MATCH(23,Parameter!$8:$8,0))</f>
        <v>23</v>
      </c>
      <c r="D450" s="65" t="str">
        <f>INDEX(Parameter!$B$10:$AB$10,MATCH(C450,Parameter!$B$9:$AB$9,0))</f>
        <v>no</v>
      </c>
      <c r="H450" s="65">
        <f ca="1">INDEX(OFFSET(Data!$CS$1:$DS$1,B450-1,0),MATCH("Total/"&amp;C450,Data!$CS$1:$DS$1,0))</f>
        <v>0</v>
      </c>
      <c r="I450" s="65" t="str">
        <f t="shared" ca="1" si="34"/>
        <v/>
      </c>
      <c r="J450" s="65" t="str">
        <f t="array" aca="1" ref="J450" ca="1">IF(H450=1,MATCH(1,(OFFSET(Data!$DY$1:$IB$1,B450-1,0))*(Data!$DY$90:$IB$90=C450),0),"")</f>
        <v/>
      </c>
      <c r="K450" s="65" t="str">
        <f t="array" aca="1" ref="K450" ca="1">IF(H450=1,MATCH(I450,OFFSET(Data!$DX$91:$DX$190,0,Specials!J450)*(Data!$AM$91:$AM$190&gt;Parameter!$B$32)*(Data!$DW$91:$DW$190="M"),0),"")</f>
        <v/>
      </c>
      <c r="L450" s="65" t="str">
        <f ca="1">IF(H450=1,INDEX(Data!$DT$91:$DT$190,$K450)&amp;" / "&amp;OFFSET(Data!$DX$89,0,Specials!J450),"")</f>
        <v/>
      </c>
      <c r="M450" s="65" t="s">
        <v>1</v>
      </c>
      <c r="N450" s="65" t="s">
        <v>255</v>
      </c>
      <c r="O450" s="65" t="e">
        <f t="shared" ca="1" si="30"/>
        <v>#VALUE!</v>
      </c>
      <c r="P450" s="65" t="str">
        <f t="shared" ca="1" si="35"/>
        <v/>
      </c>
    </row>
    <row r="451" spans="1:16" s="65" customFormat="1" hidden="1" x14ac:dyDescent="0.25">
      <c r="A451" s="289" t="str">
        <f>"# Triple-Bogeys Men Rating &gt; "&amp;Parameter!$B$32</f>
        <v># Triple-Bogeys Men Rating &gt; 850</v>
      </c>
      <c r="B451" s="294">
        <f>MATCH(A451,Data!$DT:$DT,0)</f>
        <v>14</v>
      </c>
      <c r="C451" s="65">
        <f>INDEX(Parameter!$9:$9,,MATCH(24,Parameter!$8:$8,0))</f>
        <v>24</v>
      </c>
      <c r="D451" s="65" t="str">
        <f>INDEX(Parameter!$B$10:$AB$10,MATCH(C451,Parameter!$B$9:$AB$9,0))</f>
        <v>no</v>
      </c>
      <c r="H451" s="65">
        <f ca="1">INDEX(OFFSET(Data!$CS$1:$DS$1,B451-1,0),MATCH("Total/"&amp;C451,Data!$CS$1:$DS$1,0))</f>
        <v>0</v>
      </c>
      <c r="I451" s="65" t="str">
        <f t="shared" ca="1" si="34"/>
        <v/>
      </c>
      <c r="J451" s="65" t="str">
        <f t="array" aca="1" ref="J451" ca="1">IF(H451=1,MATCH(1,(OFFSET(Data!$DY$1:$IB$1,B451-1,0))*(Data!$DY$90:$IB$90=C451),0),"")</f>
        <v/>
      </c>
      <c r="K451" s="65" t="str">
        <f t="array" aca="1" ref="K451" ca="1">IF(H451=1,MATCH(I451,OFFSET(Data!$DX$91:$DX$190,0,Specials!J451)*(Data!$AM$91:$AM$190&gt;Parameter!$B$32)*(Data!$DW$91:$DW$190="M"),0),"")</f>
        <v/>
      </c>
      <c r="L451" s="65" t="str">
        <f ca="1">IF(H451=1,INDEX(Data!$DT$91:$DT$190,$K451)&amp;" / "&amp;OFFSET(Data!$DX$89,0,Specials!J451),"")</f>
        <v/>
      </c>
      <c r="M451" s="65" t="s">
        <v>1</v>
      </c>
      <c r="N451" s="65" t="s">
        <v>255</v>
      </c>
      <c r="O451" s="65" t="e">
        <f t="shared" ca="1" si="30"/>
        <v>#VALUE!</v>
      </c>
      <c r="P451" s="65" t="str">
        <f t="shared" ca="1" si="35"/>
        <v/>
      </c>
    </row>
    <row r="452" spans="1:16" s="65" customFormat="1" hidden="1" x14ac:dyDescent="0.25">
      <c r="A452" s="289" t="str">
        <f>"# Triple-Bogeys Men Rating &gt; "&amp;Parameter!$B$32</f>
        <v># Triple-Bogeys Men Rating &gt; 850</v>
      </c>
      <c r="B452" s="294">
        <f>MATCH(A452,Data!$DT:$DT,0)</f>
        <v>14</v>
      </c>
      <c r="C452" s="65">
        <f>INDEX(Parameter!$9:$9,,MATCH(25,Parameter!$8:$8,0))</f>
        <v>25</v>
      </c>
      <c r="D452" s="65" t="str">
        <f>INDEX(Parameter!$B$10:$AB$10,MATCH(C452,Parameter!$B$9:$AB$9,0))</f>
        <v>no</v>
      </c>
      <c r="H452" s="65">
        <f ca="1">INDEX(OFFSET(Data!$CS$1:$DS$1,B452-1,0),MATCH("Total/"&amp;C452,Data!$CS$1:$DS$1,0))</f>
        <v>0</v>
      </c>
      <c r="I452" s="65" t="str">
        <f t="shared" ca="1" si="34"/>
        <v/>
      </c>
      <c r="J452" s="65" t="str">
        <f t="array" aca="1" ref="J452" ca="1">IF(H452=1,MATCH(1,(OFFSET(Data!$DY$1:$IB$1,B452-1,0))*(Data!$DY$90:$IB$90=C452),0),"")</f>
        <v/>
      </c>
      <c r="K452" s="65" t="str">
        <f t="array" aca="1" ref="K452" ca="1">IF(H452=1,MATCH(I452,OFFSET(Data!$DX$91:$DX$190,0,Specials!J452)*(Data!$AM$91:$AM$190&gt;Parameter!$B$32)*(Data!$DW$91:$DW$190="M"),0),"")</f>
        <v/>
      </c>
      <c r="L452" s="65" t="str">
        <f ca="1">IF(H452=1,INDEX(Data!$DT$91:$DT$190,$K452)&amp;" / "&amp;OFFSET(Data!$DX$89,0,Specials!J452),"")</f>
        <v/>
      </c>
      <c r="M452" s="65" t="s">
        <v>1</v>
      </c>
      <c r="N452" s="65" t="s">
        <v>255</v>
      </c>
      <c r="O452" s="65" t="e">
        <f t="shared" ref="O452:O515" ca="1" si="36">IF(AND($P452&lt;&gt;"",$N452="yes"),O451+1,O451)</f>
        <v>#VALUE!</v>
      </c>
      <c r="P452" s="65" t="str">
        <f t="shared" ca="1" si="35"/>
        <v/>
      </c>
    </row>
    <row r="453" spans="1:16" s="65" customFormat="1" hidden="1" x14ac:dyDescent="0.25">
      <c r="A453" s="289" t="str">
        <f>"# Triple-Bogeys Men Rating &gt; "&amp;Parameter!$B$32</f>
        <v># Triple-Bogeys Men Rating &gt; 850</v>
      </c>
      <c r="B453" s="294">
        <f>MATCH(A453,Data!$DT:$DT,0)</f>
        <v>14</v>
      </c>
      <c r="C453" s="65">
        <f>INDEX(Parameter!$9:$9,,MATCH(26,Parameter!$8:$8,0))</f>
        <v>26</v>
      </c>
      <c r="D453" s="65" t="str">
        <f>INDEX(Parameter!$B$10:$AB$10,MATCH(C453,Parameter!$B$9:$AB$9,0))</f>
        <v>no</v>
      </c>
      <c r="H453" s="65">
        <f ca="1">INDEX(OFFSET(Data!$CS$1:$DS$1,B453-1,0),MATCH("Total/"&amp;C453,Data!$CS$1:$DS$1,0))</f>
        <v>0</v>
      </c>
      <c r="I453" s="65" t="str">
        <f t="shared" ca="1" si="34"/>
        <v/>
      </c>
      <c r="J453" s="65" t="str">
        <f t="array" aca="1" ref="J453" ca="1">IF(H453=1,MATCH(1,(OFFSET(Data!$DY$1:$IB$1,B453-1,0))*(Data!$DY$90:$IB$90=C453),0),"")</f>
        <v/>
      </c>
      <c r="K453" s="65" t="str">
        <f t="array" aca="1" ref="K453" ca="1">IF(H453=1,MATCH(I453,OFFSET(Data!$DX$91:$DX$190,0,Specials!J453)*(Data!$AM$91:$AM$190&gt;Parameter!$B$32)*(Data!$DW$91:$DW$190="M"),0),"")</f>
        <v/>
      </c>
      <c r="L453" s="65" t="str">
        <f ca="1">IF(H453=1,INDEX(Data!$DT$91:$DT$190,$K453)&amp;" / "&amp;OFFSET(Data!$DX$89,0,Specials!J453),"")</f>
        <v/>
      </c>
      <c r="M453" s="65" t="s">
        <v>1</v>
      </c>
      <c r="N453" s="65" t="s">
        <v>255</v>
      </c>
      <c r="O453" s="65" t="e">
        <f t="shared" ca="1" si="36"/>
        <v>#VALUE!</v>
      </c>
      <c r="P453" s="65" t="str">
        <f t="shared" ca="1" si="35"/>
        <v/>
      </c>
    </row>
    <row r="454" spans="1:16" s="65" customFormat="1" hidden="1" x14ac:dyDescent="0.25">
      <c r="A454" s="289" t="str">
        <f>"# Triple-Bogeys Men Rating &gt; "&amp;Parameter!$B$32</f>
        <v># Triple-Bogeys Men Rating &gt; 850</v>
      </c>
      <c r="B454" s="294">
        <f>MATCH(A454,Data!$DT:$DT,0)</f>
        <v>14</v>
      </c>
      <c r="C454" s="65">
        <f>INDEX(Parameter!$9:$9,,MATCH(27,Parameter!$8:$8,0))</f>
        <v>27</v>
      </c>
      <c r="D454" s="65" t="str">
        <f>INDEX(Parameter!$B$10:$AB$10,MATCH(C454,Parameter!$B$9:$AB$9,0))</f>
        <v>no</v>
      </c>
      <c r="H454" s="65">
        <f ca="1">INDEX(OFFSET(Data!$CS$1:$DS$1,B454-1,0),MATCH("Total/"&amp;C454,Data!$CS$1:$DS$1,0))</f>
        <v>0</v>
      </c>
      <c r="I454" s="65" t="str">
        <f t="shared" ca="1" si="34"/>
        <v/>
      </c>
      <c r="J454" s="65" t="str">
        <f t="array" aca="1" ref="J454" ca="1">IF(H454=1,MATCH(1,(OFFSET(Data!$DY$1:$IB$1,B454-1,0))*(Data!$DY$90:$IB$90=C454),0),"")</f>
        <v/>
      </c>
      <c r="K454" s="65" t="str">
        <f t="array" aca="1" ref="K454" ca="1">IF(H454=1,MATCH(I454,OFFSET(Data!$DX$91:$DX$190,0,Specials!J454)*(Data!$AM$91:$AM$190&gt;Parameter!$B$32)*(Data!$DW$91:$DW$190="M"),0),"")</f>
        <v/>
      </c>
      <c r="L454" s="65" t="str">
        <f ca="1">IF(H454=1,INDEX(Data!$DT$91:$DT$190,$K454)&amp;" / "&amp;OFFSET(Data!$DX$89,0,Specials!J454),"")</f>
        <v/>
      </c>
      <c r="M454" s="65" t="s">
        <v>1</v>
      </c>
      <c r="N454" s="65" t="s">
        <v>255</v>
      </c>
      <c r="O454" s="65" t="e">
        <f t="shared" ca="1" si="36"/>
        <v>#VALUE!</v>
      </c>
      <c r="P454" s="65" t="str">
        <f ca="1">IF(H454=1,"Only 1 Triple-Bogey on hole "&amp;C454&amp;" (par "&amp;D454&amp;")","")</f>
        <v/>
      </c>
    </row>
    <row r="455" spans="1:16" s="78" customFormat="1" ht="15" hidden="1" customHeight="1" x14ac:dyDescent="0.25">
      <c r="A455" s="317" t="str">
        <f>"# Oh dear Men Rating &gt; "&amp;Parameter!$B$32</f>
        <v># Oh dear Men Rating &gt; 850</v>
      </c>
      <c r="B455" s="297">
        <f>MATCH(A455,Data!$DT:$DT,0)</f>
        <v>17</v>
      </c>
      <c r="C455" s="78">
        <f>INDEX(Parameter!$9:$9,,MATCH(1,Parameter!$8:$8,0))</f>
        <v>1</v>
      </c>
      <c r="D455" s="78">
        <f>INDEX(Parameter!$B$10:$AB$10,MATCH(C455,Parameter!$B$9:$AB$9,0))</f>
        <v>3</v>
      </c>
      <c r="H455" s="78">
        <f ca="1">INDEX(OFFSET(Data!$CS$1:$DS$1,B455-1,0),MATCH("Total/"&amp;C455,Data!$CS$1:$DS$1,0))</f>
        <v>0</v>
      </c>
      <c r="I455" s="78" t="str">
        <f ca="1">IF(H455=1,INDEX(Parameter!$B$10:$AB$10,MATCH(C455,Parameter!$B$9:$AB$9,0))+4,"")</f>
        <v/>
      </c>
      <c r="J455" s="78" t="str">
        <f t="array" aca="1" ref="J455" ca="1">IF(H455=1,MATCH(1,(OFFSET(Data!$DY$1:$IB$1,B455-1,0))*(Data!$DY$90:$IB$90=C455),0),"")</f>
        <v/>
      </c>
      <c r="K455" s="78" t="str">
        <f t="array" aca="1" ref="K455" ca="1">IF(H455=1,MATCH(I455,OFFSET(Data!$DX$91:$DX$190,0,Specials!J455)*(Data!$AM$91:$AM$190&gt;Parameter!$B$32)*(Data!$DW$91:$DW$190="M"),0),"")</f>
        <v/>
      </c>
      <c r="L455" s="78" t="str">
        <f ca="1">IF(H455=1,INDEX(Data!$DT$91:$DT$190,$K455)&amp;" / "&amp;OFFSET(Data!$DX$89,0,Specials!J455),"")</f>
        <v/>
      </c>
      <c r="M455" s="78" t="s">
        <v>1</v>
      </c>
      <c r="N455" s="78" t="s">
        <v>255</v>
      </c>
      <c r="O455" s="78" t="e">
        <f t="shared" ca="1" si="36"/>
        <v>#VALUE!</v>
      </c>
      <c r="P455" s="78" t="str">
        <f ca="1">IF(AND(H455=1,ISERROR(K455)=FALSE),"Only 1 Oh Dear on hole "&amp;C455&amp;" (par "&amp;D455&amp;")","")</f>
        <v/>
      </c>
    </row>
    <row r="456" spans="1:16" s="78" customFormat="1" hidden="1" x14ac:dyDescent="0.25">
      <c r="A456" s="317" t="str">
        <f>"# Oh dear Men Rating &gt; "&amp;Parameter!$B$32</f>
        <v># Oh dear Men Rating &gt; 850</v>
      </c>
      <c r="B456" s="297">
        <f>MATCH(A456,Data!$DT:$DT,0)</f>
        <v>17</v>
      </c>
      <c r="C456" s="78">
        <f>INDEX(Parameter!$9:$9,,MATCH(2,Parameter!$8:$8,0))</f>
        <v>2</v>
      </c>
      <c r="D456" s="78">
        <f>INDEX(Parameter!$B$10:$AB$10,MATCH(C456,Parameter!$B$9:$AB$9,0))</f>
        <v>3</v>
      </c>
      <c r="H456" s="78">
        <f ca="1">INDEX(OFFSET(Data!$CS$1:$DS$1,B456-1,0),MATCH("Total/"&amp;C456,Data!$CS$1:$DS$1,0))</f>
        <v>0</v>
      </c>
      <c r="I456" s="78" t="str">
        <f ca="1">IF(H456=1,INDEX(Parameter!$B$10:$AB$10,MATCH(C456,Parameter!$B$9:$AB$9,0))+4,"")</f>
        <v/>
      </c>
      <c r="J456" s="78" t="str">
        <f t="array" aca="1" ref="J456" ca="1">IF(H456=1,MATCH(1,(OFFSET(Data!$DY$1:$IB$1,B456-1,0))*(Data!$DY$90:$IB$90=C456),0),"")</f>
        <v/>
      </c>
      <c r="K456" s="78" t="str">
        <f t="array" aca="1" ref="K456" ca="1">IF(H456=1,MATCH(I456,OFFSET(Data!$DX$91:$DX$190,0,Specials!J456)*(Data!$AM$91:$AM$190&gt;Parameter!$B$32)*(Data!$DW$91:$DW$190="M"),0),"")</f>
        <v/>
      </c>
      <c r="L456" s="78" t="str">
        <f ca="1">IF(H456=1,INDEX(Data!$DT$91:$DT$190,$K456)&amp;" / "&amp;OFFSET(Data!$DX$89,0,Specials!J456),"")</f>
        <v/>
      </c>
      <c r="M456" s="78" t="s">
        <v>1</v>
      </c>
      <c r="N456" s="78" t="s">
        <v>255</v>
      </c>
      <c r="O456" s="78" t="e">
        <f t="shared" ca="1" si="36"/>
        <v>#VALUE!</v>
      </c>
      <c r="P456" s="78" t="str">
        <f t="shared" ref="P456:P519" ca="1" si="37">IF(AND(H456=1,ISERROR(K456)=FALSE),"Only 1 Oh Dear on hole "&amp;C456&amp;" (par "&amp;D456&amp;")","")</f>
        <v/>
      </c>
    </row>
    <row r="457" spans="1:16" s="78" customFormat="1" hidden="1" x14ac:dyDescent="0.25">
      <c r="A457" s="317" t="str">
        <f>"# Oh dear Men Rating &gt; "&amp;Parameter!$B$32</f>
        <v># Oh dear Men Rating &gt; 850</v>
      </c>
      <c r="B457" s="297">
        <f>MATCH(A457,Data!$DT:$DT,0)</f>
        <v>17</v>
      </c>
      <c r="C457" s="78">
        <f>INDEX(Parameter!$9:$9,,MATCH(3,Parameter!$8:$8,0))</f>
        <v>3</v>
      </c>
      <c r="D457" s="78">
        <f>INDEX(Parameter!$B$10:$AB$10,MATCH(C457,Parameter!$B$9:$AB$9,0))</f>
        <v>3</v>
      </c>
      <c r="H457" s="78">
        <f ca="1">INDEX(OFFSET(Data!$CS$1:$DS$1,B457-1,0),MATCH("Total/"&amp;C457,Data!$CS$1:$DS$1,0))</f>
        <v>0</v>
      </c>
      <c r="I457" s="78" t="str">
        <f ca="1">IF(H457=1,INDEX(Parameter!$B$10:$AB$10,MATCH(C457,Parameter!$B$9:$AB$9,0))+4,"")</f>
        <v/>
      </c>
      <c r="J457" s="78" t="str">
        <f t="array" aca="1" ref="J457" ca="1">IF(H457=1,MATCH(1,(OFFSET(Data!$DY$1:$IB$1,B457-1,0))*(Data!$DY$90:$IB$90=C457),0),"")</f>
        <v/>
      </c>
      <c r="K457" s="78" t="str">
        <f t="array" aca="1" ref="K457" ca="1">IF(H457=1,MATCH(I457,OFFSET(Data!$DX$91:$DX$190,0,Specials!J457)*(Data!$AM$91:$AM$190&gt;Parameter!$B$32)*(Data!$DW$91:$DW$190="M"),0),"")</f>
        <v/>
      </c>
      <c r="L457" s="78" t="str">
        <f ca="1">IF(H457=1,INDEX(Data!$DT$91:$DT$190,$K457)&amp;" / "&amp;OFFSET(Data!$DX$89,0,Specials!J457),"")</f>
        <v/>
      </c>
      <c r="M457" s="78" t="s">
        <v>1</v>
      </c>
      <c r="N457" s="78" t="s">
        <v>255</v>
      </c>
      <c r="O457" s="78" t="e">
        <f t="shared" ca="1" si="36"/>
        <v>#VALUE!</v>
      </c>
      <c r="P457" s="78" t="str">
        <f t="shared" ca="1" si="37"/>
        <v/>
      </c>
    </row>
    <row r="458" spans="1:16" s="78" customFormat="1" hidden="1" x14ac:dyDescent="0.25">
      <c r="A458" s="317" t="str">
        <f>"# Oh dear Men Rating &gt; "&amp;Parameter!$B$32</f>
        <v># Oh dear Men Rating &gt; 850</v>
      </c>
      <c r="B458" s="297">
        <f>MATCH(A458,Data!$DT:$DT,0)</f>
        <v>17</v>
      </c>
      <c r="C458" s="78">
        <f>INDEX(Parameter!$9:$9,,MATCH(4,Parameter!$8:$8,0))</f>
        <v>4</v>
      </c>
      <c r="D458" s="78">
        <f>INDEX(Parameter!$B$10:$AB$10,MATCH(C458,Parameter!$B$9:$AB$9,0))</f>
        <v>3</v>
      </c>
      <c r="H458" s="78">
        <f ca="1">INDEX(OFFSET(Data!$CS$1:$DS$1,B458-1,0),MATCH("Total/"&amp;C458,Data!$CS$1:$DS$1,0))</f>
        <v>0</v>
      </c>
      <c r="I458" s="78" t="str">
        <f ca="1">IF(H458=1,INDEX(Parameter!$B$10:$AB$10,MATCH(C458,Parameter!$B$9:$AB$9,0))+4,"")</f>
        <v/>
      </c>
      <c r="J458" s="78" t="str">
        <f t="array" aca="1" ref="J458" ca="1">IF(H458=1,MATCH(1,(OFFSET(Data!$DY$1:$IB$1,B458-1,0))*(Data!$DY$90:$IB$90=C458),0),"")</f>
        <v/>
      </c>
      <c r="K458" s="78" t="str">
        <f t="array" aca="1" ref="K458" ca="1">IF(H458=1,MATCH(I458,OFFSET(Data!$DX$91:$DX$190,0,Specials!J458)*(Data!$AM$91:$AM$190&gt;Parameter!$B$32)*(Data!$DW$91:$DW$190="M"),0),"")</f>
        <v/>
      </c>
      <c r="L458" s="78" t="str">
        <f ca="1">IF(H458=1,INDEX(Data!$DT$91:$DT$190,$K458)&amp;" / "&amp;OFFSET(Data!$DX$89,0,Specials!J458),"")</f>
        <v/>
      </c>
      <c r="M458" s="78" t="s">
        <v>1</v>
      </c>
      <c r="N458" s="78" t="s">
        <v>255</v>
      </c>
      <c r="O458" s="78" t="e">
        <f t="shared" ca="1" si="36"/>
        <v>#VALUE!</v>
      </c>
      <c r="P458" s="78" t="str">
        <f t="shared" ca="1" si="37"/>
        <v/>
      </c>
    </row>
    <row r="459" spans="1:16" s="78" customFormat="1" hidden="1" x14ac:dyDescent="0.25">
      <c r="A459" s="317" t="str">
        <f>"# Oh dear Men Rating &gt; "&amp;Parameter!$B$32</f>
        <v># Oh dear Men Rating &gt; 850</v>
      </c>
      <c r="B459" s="297">
        <f>MATCH(A459,Data!$DT:$DT,0)</f>
        <v>17</v>
      </c>
      <c r="C459" s="78">
        <f>INDEX(Parameter!$9:$9,,MATCH(5,Parameter!$8:$8,0))</f>
        <v>5</v>
      </c>
      <c r="D459" s="78">
        <f>INDEX(Parameter!$B$10:$AB$10,MATCH(C459,Parameter!$B$9:$AB$9,0))</f>
        <v>4</v>
      </c>
      <c r="H459" s="78">
        <f ca="1">INDEX(OFFSET(Data!$CS$1:$DS$1,B459-1,0),MATCH("Total/"&amp;C459,Data!$CS$1:$DS$1,0))</f>
        <v>0</v>
      </c>
      <c r="I459" s="78" t="str">
        <f ca="1">IF(H459=1,INDEX(Parameter!$B$10:$AB$10,MATCH(C459,Parameter!$B$9:$AB$9,0))+4,"")</f>
        <v/>
      </c>
      <c r="J459" s="78" t="str">
        <f t="array" aca="1" ref="J459" ca="1">IF(H459=1,MATCH(1,(OFFSET(Data!$DY$1:$IB$1,B459-1,0))*(Data!$DY$90:$IB$90=C459),0),"")</f>
        <v/>
      </c>
      <c r="K459" s="78" t="str">
        <f t="array" aca="1" ref="K459" ca="1">IF(H459=1,MATCH(I459,OFFSET(Data!$DX$91:$DX$190,0,Specials!J459)*(Data!$AM$91:$AM$190&gt;Parameter!$B$32)*(Data!$DW$91:$DW$190="M"),0),"")</f>
        <v/>
      </c>
      <c r="L459" s="78" t="str">
        <f ca="1">IF(H459=1,INDEX(Data!$DT$91:$DT$190,$K459)&amp;" / "&amp;OFFSET(Data!$DX$89,0,Specials!J459),"")</f>
        <v/>
      </c>
      <c r="M459" s="78" t="s">
        <v>1</v>
      </c>
      <c r="N459" s="78" t="s">
        <v>255</v>
      </c>
      <c r="O459" s="78" t="e">
        <f t="shared" ca="1" si="36"/>
        <v>#VALUE!</v>
      </c>
      <c r="P459" s="78" t="str">
        <f t="shared" ca="1" si="37"/>
        <v/>
      </c>
    </row>
    <row r="460" spans="1:16" s="78" customFormat="1" hidden="1" x14ac:dyDescent="0.25">
      <c r="A460" s="317" t="str">
        <f>"# Oh dear Men Rating &gt; "&amp;Parameter!$B$32</f>
        <v># Oh dear Men Rating &gt; 850</v>
      </c>
      <c r="B460" s="297">
        <f>MATCH(A460,Data!$DT:$DT,0)</f>
        <v>17</v>
      </c>
      <c r="C460" s="78">
        <f>INDEX(Parameter!$9:$9,,MATCH(6,Parameter!$8:$8,0))</f>
        <v>6</v>
      </c>
      <c r="D460" s="78">
        <f>INDEX(Parameter!$B$10:$AB$10,MATCH(C460,Parameter!$B$9:$AB$9,0))</f>
        <v>3</v>
      </c>
      <c r="H460" s="78">
        <f ca="1">INDEX(OFFSET(Data!$CS$1:$DS$1,B460-1,0),MATCH("Total/"&amp;C460,Data!$CS$1:$DS$1,0))</f>
        <v>0</v>
      </c>
      <c r="I460" s="78" t="str">
        <f ca="1">IF(H460=1,INDEX(Parameter!$B$10:$AB$10,MATCH(C460,Parameter!$B$9:$AB$9,0))+4,"")</f>
        <v/>
      </c>
      <c r="J460" s="78" t="str">
        <f t="array" aca="1" ref="J460" ca="1">IF(H460=1,MATCH(1,(OFFSET(Data!$DY$1:$IB$1,B460-1,0))*(Data!$DY$90:$IB$90=C460),0),"")</f>
        <v/>
      </c>
      <c r="K460" s="78" t="str">
        <f t="array" aca="1" ref="K460" ca="1">IF(H460=1,MATCH(I460,OFFSET(Data!$DX$91:$DX$190,0,Specials!J460)*(Data!$AM$91:$AM$190&gt;Parameter!$B$32)*(Data!$DW$91:$DW$190="M"),0),"")</f>
        <v/>
      </c>
      <c r="L460" s="78" t="str">
        <f ca="1">IF(H460=1,INDEX(Data!$DT$91:$DT$190,$K460)&amp;" / "&amp;OFFSET(Data!$DX$89,0,Specials!J460),"")</f>
        <v/>
      </c>
      <c r="M460" s="78" t="s">
        <v>1</v>
      </c>
      <c r="N460" s="78" t="s">
        <v>255</v>
      </c>
      <c r="O460" s="78" t="e">
        <f t="shared" ca="1" si="36"/>
        <v>#VALUE!</v>
      </c>
      <c r="P460" s="78" t="str">
        <f t="shared" ca="1" si="37"/>
        <v/>
      </c>
    </row>
    <row r="461" spans="1:16" s="78" customFormat="1" hidden="1" x14ac:dyDescent="0.25">
      <c r="A461" s="317" t="str">
        <f>"# Oh dear Men Rating &gt; "&amp;Parameter!$B$32</f>
        <v># Oh dear Men Rating &gt; 850</v>
      </c>
      <c r="B461" s="297">
        <f>MATCH(A461,Data!$DT:$DT,0)</f>
        <v>17</v>
      </c>
      <c r="C461" s="78">
        <f>INDEX(Parameter!$9:$9,,MATCH(7,Parameter!$8:$8,0))</f>
        <v>7</v>
      </c>
      <c r="D461" s="78">
        <f>INDEX(Parameter!$B$10:$AB$10,MATCH(C461,Parameter!$B$9:$AB$9,0))</f>
        <v>3</v>
      </c>
      <c r="H461" s="78">
        <f ca="1">INDEX(OFFSET(Data!$CS$1:$DS$1,B461-1,0),MATCH("Total/"&amp;C461,Data!$CS$1:$DS$1,0))</f>
        <v>0</v>
      </c>
      <c r="I461" s="78" t="str">
        <f ca="1">IF(H461=1,INDEX(Parameter!$B$10:$AB$10,MATCH(C461,Parameter!$B$9:$AB$9,0))+4,"")</f>
        <v/>
      </c>
      <c r="J461" s="78" t="str">
        <f t="array" aca="1" ref="J461" ca="1">IF(H461=1,MATCH(1,(OFFSET(Data!$DY$1:$IB$1,B461-1,0))*(Data!$DY$90:$IB$90=C461),0),"")</f>
        <v/>
      </c>
      <c r="K461" s="78" t="str">
        <f t="array" aca="1" ref="K461" ca="1">IF(H461=1,MATCH(I461,OFFSET(Data!$DX$91:$DX$190,0,Specials!J461)*(Data!$AM$91:$AM$190&gt;Parameter!$B$32)*(Data!$DW$91:$DW$190="M"),0),"")</f>
        <v/>
      </c>
      <c r="L461" s="78" t="str">
        <f ca="1">IF(H461=1,INDEX(Data!$DT$91:$DT$190,$K461)&amp;" / "&amp;OFFSET(Data!$DX$89,0,Specials!J461),"")</f>
        <v/>
      </c>
      <c r="M461" s="78" t="s">
        <v>1</v>
      </c>
      <c r="N461" s="78" t="s">
        <v>255</v>
      </c>
      <c r="O461" s="78" t="e">
        <f t="shared" ca="1" si="36"/>
        <v>#VALUE!</v>
      </c>
      <c r="P461" s="78" t="str">
        <f t="shared" ca="1" si="37"/>
        <v/>
      </c>
    </row>
    <row r="462" spans="1:16" s="78" customFormat="1" hidden="1" x14ac:dyDescent="0.25">
      <c r="A462" s="317" t="str">
        <f>"# Oh dear Men Rating &gt; "&amp;Parameter!$B$32</f>
        <v># Oh dear Men Rating &gt; 850</v>
      </c>
      <c r="B462" s="297">
        <f>MATCH(A462,Data!$DT:$DT,0)</f>
        <v>17</v>
      </c>
      <c r="C462" s="78">
        <f>INDEX(Parameter!$9:$9,,MATCH(8,Parameter!$8:$8,0))</f>
        <v>8</v>
      </c>
      <c r="D462" s="78">
        <f>INDEX(Parameter!$B$10:$AB$10,MATCH(C462,Parameter!$B$9:$AB$9,0))</f>
        <v>3</v>
      </c>
      <c r="H462" s="78">
        <f ca="1">INDEX(OFFSET(Data!$CS$1:$DS$1,B462-1,0),MATCH("Total/"&amp;C462,Data!$CS$1:$DS$1,0))</f>
        <v>0</v>
      </c>
      <c r="I462" s="78" t="str">
        <f ca="1">IF(H462=1,INDEX(Parameter!$B$10:$AB$10,MATCH(C462,Parameter!$B$9:$AB$9,0))+4,"")</f>
        <v/>
      </c>
      <c r="J462" s="78" t="str">
        <f t="array" aca="1" ref="J462" ca="1">IF(H462=1,MATCH(1,(OFFSET(Data!$DY$1:$IB$1,B462-1,0))*(Data!$DY$90:$IB$90=C462),0),"")</f>
        <v/>
      </c>
      <c r="K462" s="78" t="str">
        <f t="array" aca="1" ref="K462" ca="1">IF(H462=1,MATCH(I462,OFFSET(Data!$DX$91:$DX$190,0,Specials!J462)*(Data!$AM$91:$AM$190&gt;Parameter!$B$32)*(Data!$DW$91:$DW$190="M"),0),"")</f>
        <v/>
      </c>
      <c r="L462" s="78" t="str">
        <f ca="1">IF(H462=1,INDEX(Data!$DT$91:$DT$190,$K462)&amp;" / "&amp;OFFSET(Data!$DX$89,0,Specials!J462),"")</f>
        <v/>
      </c>
      <c r="M462" s="78" t="s">
        <v>1</v>
      </c>
      <c r="N462" s="78" t="s">
        <v>255</v>
      </c>
      <c r="O462" s="78" t="e">
        <f t="shared" ca="1" si="36"/>
        <v>#VALUE!</v>
      </c>
      <c r="P462" s="78" t="str">
        <f t="shared" ca="1" si="37"/>
        <v/>
      </c>
    </row>
    <row r="463" spans="1:16" s="78" customFormat="1" hidden="1" x14ac:dyDescent="0.25">
      <c r="A463" s="317" t="str">
        <f>"# Oh dear Men Rating &gt; "&amp;Parameter!$B$32</f>
        <v># Oh dear Men Rating &gt; 850</v>
      </c>
      <c r="B463" s="297">
        <f>MATCH(A463,Data!$DT:$DT,0)</f>
        <v>17</v>
      </c>
      <c r="C463" s="78">
        <f>INDEX(Parameter!$9:$9,,MATCH(9,Parameter!$8:$8,0))</f>
        <v>9</v>
      </c>
      <c r="D463" s="78">
        <f>INDEX(Parameter!$B$10:$AB$10,MATCH(C463,Parameter!$B$9:$AB$9,0))</f>
        <v>4</v>
      </c>
      <c r="H463" s="78">
        <f ca="1">INDEX(OFFSET(Data!$CS$1:$DS$1,B463-1,0),MATCH("Total/"&amp;C463,Data!$CS$1:$DS$1,0))</f>
        <v>0</v>
      </c>
      <c r="I463" s="78" t="str">
        <f ca="1">IF(H463=1,INDEX(Parameter!$B$10:$AB$10,MATCH(C463,Parameter!$B$9:$AB$9,0))+4,"")</f>
        <v/>
      </c>
      <c r="J463" s="78" t="str">
        <f t="array" aca="1" ref="J463" ca="1">IF(H463=1,MATCH(1,(OFFSET(Data!$DY$1:$IB$1,B463-1,0))*(Data!$DY$90:$IB$90=C463),0),"")</f>
        <v/>
      </c>
      <c r="K463" s="78" t="str">
        <f t="array" aca="1" ref="K463" ca="1">IF(H463=1,MATCH(I463,OFFSET(Data!$DX$91:$DX$190,0,Specials!J463)*(Data!$AM$91:$AM$190&gt;Parameter!$B$32)*(Data!$DW$91:$DW$190="M"),0),"")</f>
        <v/>
      </c>
      <c r="L463" s="78" t="str">
        <f ca="1">IF(H463=1,INDEX(Data!$DT$91:$DT$190,$K463)&amp;" / "&amp;OFFSET(Data!$DX$89,0,Specials!J463),"")</f>
        <v/>
      </c>
      <c r="M463" s="78" t="s">
        <v>1</v>
      </c>
      <c r="N463" s="78" t="s">
        <v>255</v>
      </c>
      <c r="O463" s="78" t="e">
        <f t="shared" ca="1" si="36"/>
        <v>#VALUE!</v>
      </c>
      <c r="P463" s="78" t="str">
        <f t="shared" ca="1" si="37"/>
        <v/>
      </c>
    </row>
    <row r="464" spans="1:16" s="78" customFormat="1" hidden="1" x14ac:dyDescent="0.25">
      <c r="A464" s="317" t="str">
        <f>"# Oh dear Men Rating &gt; "&amp;Parameter!$B$32</f>
        <v># Oh dear Men Rating &gt; 850</v>
      </c>
      <c r="B464" s="297">
        <f>MATCH(A464,Data!$DT:$DT,0)</f>
        <v>17</v>
      </c>
      <c r="C464" s="78">
        <f>INDEX(Parameter!$9:$9,,MATCH(10,Parameter!$8:$8,0))</f>
        <v>10</v>
      </c>
      <c r="D464" s="78">
        <f>INDEX(Parameter!$B$10:$AB$10,MATCH(C464,Parameter!$B$9:$AB$9,0))</f>
        <v>4</v>
      </c>
      <c r="H464" s="78">
        <f ca="1">INDEX(OFFSET(Data!$CS$1:$DS$1,B464-1,0),MATCH("Total/"&amp;C464,Data!$CS$1:$DS$1,0))</f>
        <v>0</v>
      </c>
      <c r="I464" s="78" t="str">
        <f ca="1">IF(H464=1,INDEX(Parameter!$B$10:$AB$10,MATCH(C464,Parameter!$B$9:$AB$9,0))+4,"")</f>
        <v/>
      </c>
      <c r="J464" s="78" t="str">
        <f t="array" aca="1" ref="J464" ca="1">IF(H464=1,MATCH(1,(OFFSET(Data!$DY$1:$IB$1,B464-1,0))*(Data!$DY$90:$IB$90=C464),0),"")</f>
        <v/>
      </c>
      <c r="K464" s="78" t="str">
        <f t="array" aca="1" ref="K464" ca="1">IF(H464=1,MATCH(I464,OFFSET(Data!$DX$91:$DX$190,0,Specials!J464)*(Data!$AM$91:$AM$190&gt;Parameter!$B$32)*(Data!$DW$91:$DW$190="M"),0),"")</f>
        <v/>
      </c>
      <c r="L464" s="78" t="str">
        <f ca="1">IF(H464=1,INDEX(Data!$DT$91:$DT$190,$K464)&amp;" / "&amp;OFFSET(Data!$DX$89,0,Specials!J464),"")</f>
        <v/>
      </c>
      <c r="M464" s="78" t="s">
        <v>1</v>
      </c>
      <c r="N464" s="78" t="s">
        <v>255</v>
      </c>
      <c r="O464" s="78" t="e">
        <f t="shared" ca="1" si="36"/>
        <v>#VALUE!</v>
      </c>
      <c r="P464" s="78" t="str">
        <f t="shared" ca="1" si="37"/>
        <v/>
      </c>
    </row>
    <row r="465" spans="1:16" s="78" customFormat="1" hidden="1" x14ac:dyDescent="0.25">
      <c r="A465" s="317" t="str">
        <f>"# Oh dear Men Rating &gt; "&amp;Parameter!$B$32</f>
        <v># Oh dear Men Rating &gt; 850</v>
      </c>
      <c r="B465" s="297">
        <f>MATCH(A465,Data!$DT:$DT,0)</f>
        <v>17</v>
      </c>
      <c r="C465" s="78">
        <f>INDEX(Parameter!$9:$9,,MATCH(11,Parameter!$8:$8,0))</f>
        <v>11</v>
      </c>
      <c r="D465" s="78">
        <f>INDEX(Parameter!$B$10:$AB$10,MATCH(C465,Parameter!$B$9:$AB$9,0))</f>
        <v>4</v>
      </c>
      <c r="H465" s="78">
        <f ca="1">INDEX(OFFSET(Data!$CS$1:$DS$1,B465-1,0),MATCH("Total/"&amp;C465,Data!$CS$1:$DS$1,0))</f>
        <v>0</v>
      </c>
      <c r="I465" s="78" t="str">
        <f ca="1">IF(H465=1,INDEX(Parameter!$B$10:$AB$10,MATCH(C465,Parameter!$B$9:$AB$9,0))+4,"")</f>
        <v/>
      </c>
      <c r="J465" s="78" t="str">
        <f t="array" aca="1" ref="J465" ca="1">IF(H465=1,MATCH(1,(OFFSET(Data!$DY$1:$IB$1,B465-1,0))*(Data!$DY$90:$IB$90=C465),0),"")</f>
        <v/>
      </c>
      <c r="K465" s="78" t="str">
        <f t="array" aca="1" ref="K465" ca="1">IF(H465=1,MATCH(I465,OFFSET(Data!$DX$91:$DX$190,0,Specials!J465)*(Data!$AM$91:$AM$190&gt;Parameter!$B$32)*(Data!$DW$91:$DW$190="M"),0),"")</f>
        <v/>
      </c>
      <c r="L465" s="78" t="str">
        <f ca="1">IF(H465=1,INDEX(Data!$DT$91:$DT$190,$K465)&amp;" / "&amp;OFFSET(Data!$DX$89,0,Specials!J465),"")</f>
        <v/>
      </c>
      <c r="M465" s="78" t="s">
        <v>1</v>
      </c>
      <c r="N465" s="78" t="s">
        <v>255</v>
      </c>
      <c r="O465" s="78" t="e">
        <f t="shared" ca="1" si="36"/>
        <v>#VALUE!</v>
      </c>
      <c r="P465" s="78" t="str">
        <f t="shared" ca="1" si="37"/>
        <v/>
      </c>
    </row>
    <row r="466" spans="1:16" s="78" customFormat="1" hidden="1" x14ac:dyDescent="0.25">
      <c r="A466" s="317" t="str">
        <f>"# Oh dear Men Rating &gt; "&amp;Parameter!$B$32</f>
        <v># Oh dear Men Rating &gt; 850</v>
      </c>
      <c r="B466" s="297">
        <f>MATCH(A466,Data!$DT:$DT,0)</f>
        <v>17</v>
      </c>
      <c r="C466" s="78" t="str">
        <f>INDEX(Parameter!$9:$9,,MATCH(12,Parameter!$8:$8,0))</f>
        <v>11b</v>
      </c>
      <c r="D466" s="78">
        <f>INDEX(Parameter!$B$10:$AB$10,MATCH(C466,Parameter!$B$9:$AB$9,0))</f>
        <v>3</v>
      </c>
      <c r="H466" s="78">
        <f ca="1">INDEX(OFFSET(Data!$CS$1:$DS$1,B466-1,0),MATCH("Total/"&amp;C466,Data!$CS$1:$DS$1,0))</f>
        <v>0</v>
      </c>
      <c r="I466" s="78" t="str">
        <f ca="1">IF(H466=1,INDEX(Parameter!$B$10:$AB$10,MATCH(C466,Parameter!$B$9:$AB$9,0))+4,"")</f>
        <v/>
      </c>
      <c r="J466" s="78" t="str">
        <f t="array" aca="1" ref="J466" ca="1">IF(H466=1,MATCH(1,(OFFSET(Data!$DY$1:$IB$1,B466-1,0))*(Data!$DY$90:$IB$90=C466),0),"")</f>
        <v/>
      </c>
      <c r="K466" s="78" t="str">
        <f t="array" aca="1" ref="K466" ca="1">IF(H466=1,MATCH(I466,OFFSET(Data!$DX$91:$DX$190,0,Specials!J466)*(Data!$AM$91:$AM$190&gt;Parameter!$B$32)*(Data!$DW$91:$DW$190="M"),0),"")</f>
        <v/>
      </c>
      <c r="L466" s="78" t="str">
        <f ca="1">IF(H466=1,INDEX(Data!$DT$91:$DT$190,$K466)&amp;" / "&amp;OFFSET(Data!$DX$89,0,Specials!J466),"")</f>
        <v/>
      </c>
      <c r="M466" s="78" t="s">
        <v>1</v>
      </c>
      <c r="N466" s="78" t="s">
        <v>255</v>
      </c>
      <c r="O466" s="78" t="e">
        <f t="shared" ca="1" si="36"/>
        <v>#VALUE!</v>
      </c>
      <c r="P466" s="78" t="str">
        <f t="shared" ca="1" si="37"/>
        <v/>
      </c>
    </row>
    <row r="467" spans="1:16" s="78" customFormat="1" hidden="1" x14ac:dyDescent="0.25">
      <c r="A467" s="317" t="str">
        <f>"# Oh dear Men Rating &gt; "&amp;Parameter!$B$32</f>
        <v># Oh dear Men Rating &gt; 850</v>
      </c>
      <c r="B467" s="297">
        <f>MATCH(A467,Data!$DT:$DT,0)</f>
        <v>17</v>
      </c>
      <c r="C467" s="78">
        <f>INDEX(Parameter!$9:$9,,MATCH(13,Parameter!$8:$8,0))</f>
        <v>12</v>
      </c>
      <c r="D467" s="78">
        <f>INDEX(Parameter!$B$10:$AB$10,MATCH(C467,Parameter!$B$9:$AB$9,0))</f>
        <v>3</v>
      </c>
      <c r="H467" s="78">
        <f ca="1">INDEX(OFFSET(Data!$CS$1:$DS$1,B467-1,0),MATCH("Total/"&amp;C467,Data!$CS$1:$DS$1,0))</f>
        <v>0</v>
      </c>
      <c r="I467" s="78" t="str">
        <f ca="1">IF(H467=1,INDEX(Parameter!$B$10:$AB$10,MATCH(C467,Parameter!$B$9:$AB$9,0))+4,"")</f>
        <v/>
      </c>
      <c r="J467" s="78" t="str">
        <f t="array" aca="1" ref="J467" ca="1">IF(H467=1,MATCH(1,(OFFSET(Data!$DY$1:$IB$1,B467-1,0))*(Data!$DY$90:$IB$90=C467),0),"")</f>
        <v/>
      </c>
      <c r="K467" s="78" t="str">
        <f t="array" aca="1" ref="K467" ca="1">IF(H467=1,MATCH(I467,OFFSET(Data!$DX$91:$DX$190,0,Specials!J467)*(Data!$AM$91:$AM$190&gt;Parameter!$B$32)*(Data!$DW$91:$DW$190="M"),0),"")</f>
        <v/>
      </c>
      <c r="L467" s="78" t="str">
        <f ca="1">IF(H467=1,INDEX(Data!$DT$91:$DT$190,$K467)&amp;" / "&amp;OFFSET(Data!$DX$89,0,Specials!J467),"")</f>
        <v/>
      </c>
      <c r="M467" s="78" t="s">
        <v>1</v>
      </c>
      <c r="N467" s="78" t="s">
        <v>255</v>
      </c>
      <c r="O467" s="78" t="e">
        <f t="shared" ca="1" si="36"/>
        <v>#VALUE!</v>
      </c>
      <c r="P467" s="78" t="str">
        <f t="shared" ca="1" si="37"/>
        <v/>
      </c>
    </row>
    <row r="468" spans="1:16" s="78" customFormat="1" hidden="1" x14ac:dyDescent="0.25">
      <c r="A468" s="317" t="str">
        <f>"# Oh dear Men Rating &gt; "&amp;Parameter!$B$32</f>
        <v># Oh dear Men Rating &gt; 850</v>
      </c>
      <c r="B468" s="297">
        <f>MATCH(A468,Data!$DT:$DT,0)</f>
        <v>17</v>
      </c>
      <c r="C468" s="78">
        <f>INDEX(Parameter!$9:$9,,MATCH(14,Parameter!$8:$8,0))</f>
        <v>13</v>
      </c>
      <c r="D468" s="78">
        <f>INDEX(Parameter!$B$10:$AB$10,MATCH(C468,Parameter!$B$9:$AB$9,0))</f>
        <v>3</v>
      </c>
      <c r="H468" s="78">
        <f ca="1">INDEX(OFFSET(Data!$CS$1:$DS$1,B468-1,0),MATCH("Total/"&amp;C468,Data!$CS$1:$DS$1,0))</f>
        <v>0</v>
      </c>
      <c r="I468" s="78" t="str">
        <f ca="1">IF(H468=1,INDEX(Parameter!$B$10:$AB$10,MATCH(C468,Parameter!$B$9:$AB$9,0))+4,"")</f>
        <v/>
      </c>
      <c r="J468" s="78" t="str">
        <f t="array" aca="1" ref="J468" ca="1">IF(H468=1,MATCH(1,(OFFSET(Data!$DY$1:$IB$1,B468-1,0))*(Data!$DY$90:$IB$90=C468),0),"")</f>
        <v/>
      </c>
      <c r="K468" s="78" t="str">
        <f t="array" aca="1" ref="K468" ca="1">IF(H468=1,MATCH(I468,OFFSET(Data!$DX$91:$DX$190,0,Specials!J468)*(Data!$AM$91:$AM$190&gt;Parameter!$B$32)*(Data!$DW$91:$DW$190="M"),0),"")</f>
        <v/>
      </c>
      <c r="L468" s="78" t="str">
        <f ca="1">IF(H468=1,INDEX(Data!$DT$91:$DT$190,$K468)&amp;" / "&amp;OFFSET(Data!$DX$89,0,Specials!J468),"")</f>
        <v/>
      </c>
      <c r="M468" s="78" t="s">
        <v>1</v>
      </c>
      <c r="N468" s="78" t="s">
        <v>255</v>
      </c>
      <c r="O468" s="78" t="e">
        <f t="shared" ca="1" si="36"/>
        <v>#VALUE!</v>
      </c>
      <c r="P468" s="78" t="str">
        <f t="shared" ca="1" si="37"/>
        <v/>
      </c>
    </row>
    <row r="469" spans="1:16" s="78" customFormat="1" hidden="1" x14ac:dyDescent="0.25">
      <c r="A469" s="317" t="str">
        <f>"# Oh dear Men Rating &gt; "&amp;Parameter!$B$32</f>
        <v># Oh dear Men Rating &gt; 850</v>
      </c>
      <c r="B469" s="297">
        <f>MATCH(A469,Data!$DT:$DT,0)</f>
        <v>17</v>
      </c>
      <c r="C469" s="78">
        <f>INDEX(Parameter!$9:$9,,MATCH(15,Parameter!$8:$8,0))</f>
        <v>14</v>
      </c>
      <c r="D469" s="78">
        <f>INDEX(Parameter!$B$10:$AB$10,MATCH(C469,Parameter!$B$9:$AB$9,0))</f>
        <v>3</v>
      </c>
      <c r="H469" s="78">
        <f ca="1">INDEX(OFFSET(Data!$CS$1:$DS$1,B469-1,0),MATCH("Total/"&amp;C469,Data!$CS$1:$DS$1,0))</f>
        <v>0</v>
      </c>
      <c r="I469" s="78" t="str">
        <f ca="1">IF(H469=1,INDEX(Parameter!$B$10:$AB$10,MATCH(C469,Parameter!$B$9:$AB$9,0))+4,"")</f>
        <v/>
      </c>
      <c r="J469" s="78" t="str">
        <f t="array" aca="1" ref="J469" ca="1">IF(H469=1,MATCH(1,(OFFSET(Data!$DY$1:$IB$1,B469-1,0))*(Data!$DY$90:$IB$90=C469),0),"")</f>
        <v/>
      </c>
      <c r="K469" s="78" t="str">
        <f t="array" aca="1" ref="K469" ca="1">IF(H469=1,MATCH(I469,OFFSET(Data!$DX$91:$DX$190,0,Specials!J469)*(Data!$AM$91:$AM$190&gt;Parameter!$B$32)*(Data!$DW$91:$DW$190="M"),0),"")</f>
        <v/>
      </c>
      <c r="L469" s="78" t="str">
        <f ca="1">IF(H469=1,INDEX(Data!$DT$91:$DT$190,$K469)&amp;" / "&amp;OFFSET(Data!$DX$89,0,Specials!J469),"")</f>
        <v/>
      </c>
      <c r="M469" s="78" t="s">
        <v>1</v>
      </c>
      <c r="N469" s="78" t="s">
        <v>255</v>
      </c>
      <c r="O469" s="78" t="e">
        <f t="shared" ca="1" si="36"/>
        <v>#VALUE!</v>
      </c>
      <c r="P469" s="78" t="str">
        <f t="shared" ca="1" si="37"/>
        <v/>
      </c>
    </row>
    <row r="470" spans="1:16" s="78" customFormat="1" hidden="1" x14ac:dyDescent="0.25">
      <c r="A470" s="317" t="str">
        <f>"# Oh dear Men Rating &gt; "&amp;Parameter!$B$32</f>
        <v># Oh dear Men Rating &gt; 850</v>
      </c>
      <c r="B470" s="297">
        <f>MATCH(A470,Data!$DT:$DT,0)</f>
        <v>17</v>
      </c>
      <c r="C470" s="78">
        <f>INDEX(Parameter!$9:$9,,MATCH(16,Parameter!$8:$8,0))</f>
        <v>15</v>
      </c>
      <c r="D470" s="78">
        <f>INDEX(Parameter!$B$10:$AB$10,MATCH(C470,Parameter!$B$9:$AB$9,0))</f>
        <v>3</v>
      </c>
      <c r="H470" s="78">
        <f ca="1">INDEX(OFFSET(Data!$CS$1:$DS$1,B470-1,0),MATCH("Total/"&amp;C470,Data!$CS$1:$DS$1,0))</f>
        <v>0</v>
      </c>
      <c r="I470" s="78" t="str">
        <f ca="1">IF(H470=1,INDEX(Parameter!$B$10:$AB$10,MATCH(C470,Parameter!$B$9:$AB$9,0))+4,"")</f>
        <v/>
      </c>
      <c r="J470" s="78" t="str">
        <f t="array" aca="1" ref="J470" ca="1">IF(H470=1,MATCH(1,(OFFSET(Data!$DY$1:$IB$1,B470-1,0))*(Data!$DY$90:$IB$90=C470),0),"")</f>
        <v/>
      </c>
      <c r="K470" s="78" t="str">
        <f t="array" aca="1" ref="K470" ca="1">IF(H470=1,MATCH(I470,OFFSET(Data!$DX$91:$DX$190,0,Specials!J470)*(Data!$AM$91:$AM$190&gt;Parameter!$B$32)*(Data!$DW$91:$DW$190="M"),0),"")</f>
        <v/>
      </c>
      <c r="L470" s="78" t="str">
        <f ca="1">IF(H470=1,INDEX(Data!$DT$91:$DT$190,$K470)&amp;" / "&amp;OFFSET(Data!$DX$89,0,Specials!J470),"")</f>
        <v/>
      </c>
      <c r="M470" s="78" t="s">
        <v>1</v>
      </c>
      <c r="N470" s="78" t="s">
        <v>255</v>
      </c>
      <c r="O470" s="78" t="e">
        <f t="shared" ca="1" si="36"/>
        <v>#VALUE!</v>
      </c>
      <c r="P470" s="78" t="str">
        <f t="shared" ca="1" si="37"/>
        <v/>
      </c>
    </row>
    <row r="471" spans="1:16" s="78" customFormat="1" hidden="1" x14ac:dyDescent="0.25">
      <c r="A471" s="317" t="str">
        <f>"# Oh dear Men Rating &gt; "&amp;Parameter!$B$32</f>
        <v># Oh dear Men Rating &gt; 850</v>
      </c>
      <c r="B471" s="297">
        <f>MATCH(A471,Data!$DT:$DT,0)</f>
        <v>17</v>
      </c>
      <c r="C471" s="78">
        <f>INDEX(Parameter!$9:$9,,MATCH(17,Parameter!$8:$8,0))</f>
        <v>16</v>
      </c>
      <c r="D471" s="78">
        <f>INDEX(Parameter!$B$10:$AB$10,MATCH(C471,Parameter!$B$9:$AB$9,0))</f>
        <v>3</v>
      </c>
      <c r="H471" s="78">
        <f ca="1">INDEX(OFFSET(Data!$CS$1:$DS$1,B471-1,0),MATCH("Total/"&amp;C471,Data!$CS$1:$DS$1,0))</f>
        <v>0</v>
      </c>
      <c r="I471" s="78" t="str">
        <f ca="1">IF(H471=1,INDEX(Parameter!$B$10:$AB$10,MATCH(C471,Parameter!$B$9:$AB$9,0))+4,"")</f>
        <v/>
      </c>
      <c r="J471" s="78" t="str">
        <f t="array" aca="1" ref="J471" ca="1">IF(H471=1,MATCH(1,(OFFSET(Data!$DY$1:$IB$1,B471-1,0))*(Data!$DY$90:$IB$90=C471),0),"")</f>
        <v/>
      </c>
      <c r="K471" s="78" t="str">
        <f t="array" aca="1" ref="K471" ca="1">IF(H471=1,MATCH(I471,OFFSET(Data!$DX$91:$DX$190,0,Specials!J471)*(Data!$AM$91:$AM$190&gt;Parameter!$B$32)*(Data!$DW$91:$DW$190="M"),0),"")</f>
        <v/>
      </c>
      <c r="L471" s="78" t="str">
        <f ca="1">IF(H471=1,INDEX(Data!$DT$91:$DT$190,$K471)&amp;" / "&amp;OFFSET(Data!$DX$89,0,Specials!J471),"")</f>
        <v/>
      </c>
      <c r="M471" s="78" t="s">
        <v>1</v>
      </c>
      <c r="N471" s="78" t="s">
        <v>255</v>
      </c>
      <c r="O471" s="78" t="e">
        <f t="shared" ca="1" si="36"/>
        <v>#VALUE!</v>
      </c>
      <c r="P471" s="78" t="str">
        <f t="shared" ca="1" si="37"/>
        <v/>
      </c>
    </row>
    <row r="472" spans="1:16" s="78" customFormat="1" hidden="1" x14ac:dyDescent="0.25">
      <c r="A472" s="317" t="str">
        <f>"# Oh dear Men Rating &gt; "&amp;Parameter!$B$32</f>
        <v># Oh dear Men Rating &gt; 850</v>
      </c>
      <c r="B472" s="297">
        <f>MATCH(A472,Data!$DT:$DT,0)</f>
        <v>17</v>
      </c>
      <c r="C472" s="78">
        <f>INDEX(Parameter!$9:$9,,MATCH(18,Parameter!$8:$8,0))</f>
        <v>17</v>
      </c>
      <c r="D472" s="78">
        <f>INDEX(Parameter!$B$10:$AB$10,MATCH(C472,Parameter!$B$9:$AB$9,0))</f>
        <v>3</v>
      </c>
      <c r="H472" s="78">
        <f ca="1">INDEX(OFFSET(Data!$CS$1:$DS$1,B472-1,0),MATCH("Total/"&amp;C472,Data!$CS$1:$DS$1,0))</f>
        <v>0</v>
      </c>
      <c r="I472" s="78" t="str">
        <f ca="1">IF(H472=1,INDEX(Parameter!$B$10:$AB$10,MATCH(C472,Parameter!$B$9:$AB$9,0))+4,"")</f>
        <v/>
      </c>
      <c r="J472" s="78" t="str">
        <f t="array" aca="1" ref="J472" ca="1">IF(H472=1,MATCH(1,(OFFSET(Data!$DY$1:$IB$1,B472-1,0))*(Data!$DY$90:$IB$90=C472),0),"")</f>
        <v/>
      </c>
      <c r="K472" s="78" t="str">
        <f t="array" aca="1" ref="K472" ca="1">IF(H472=1,MATCH(I472,OFFSET(Data!$DX$91:$DX$190,0,Specials!J472)*(Data!$AM$91:$AM$190&gt;Parameter!$B$32)*(Data!$DW$91:$DW$190="M"),0),"")</f>
        <v/>
      </c>
      <c r="L472" s="78" t="str">
        <f ca="1">IF(H472=1,INDEX(Data!$DT$91:$DT$190,$K472)&amp;" / "&amp;OFFSET(Data!$DX$89,0,Specials!J472),"")</f>
        <v/>
      </c>
      <c r="M472" s="78" t="s">
        <v>1</v>
      </c>
      <c r="N472" s="78" t="s">
        <v>255</v>
      </c>
      <c r="O472" s="78" t="e">
        <f t="shared" ca="1" si="36"/>
        <v>#VALUE!</v>
      </c>
      <c r="P472" s="78" t="str">
        <f t="shared" ca="1" si="37"/>
        <v/>
      </c>
    </row>
    <row r="473" spans="1:16" s="78" customFormat="1" hidden="1" x14ac:dyDescent="0.25">
      <c r="A473" s="317" t="str">
        <f>"# Oh dear Men Rating &gt; "&amp;Parameter!$B$32</f>
        <v># Oh dear Men Rating &gt; 850</v>
      </c>
      <c r="B473" s="297">
        <f>MATCH(A473,Data!$DT:$DT,0)</f>
        <v>17</v>
      </c>
      <c r="C473" s="78">
        <f>INDEX(Parameter!$9:$9,,MATCH(19,Parameter!$8:$8,0))</f>
        <v>18</v>
      </c>
      <c r="D473" s="78">
        <f>INDEX(Parameter!$B$10:$AB$10,MATCH(C473,Parameter!$B$9:$AB$9,0))</f>
        <v>3</v>
      </c>
      <c r="H473" s="78">
        <f ca="1">INDEX(OFFSET(Data!$CS$1:$DS$1,B473-1,0),MATCH("Total/"&amp;C473,Data!$CS$1:$DS$1,0))</f>
        <v>0</v>
      </c>
      <c r="I473" s="78" t="str">
        <f ca="1">IF(H473=1,INDEX(Parameter!$B$10:$AB$10,MATCH(C473,Parameter!$B$9:$AB$9,0))+4,"")</f>
        <v/>
      </c>
      <c r="J473" s="78" t="str">
        <f t="array" aca="1" ref="J473" ca="1">IF(H473=1,MATCH(1,(OFFSET(Data!$DY$1:$IB$1,B473-1,0))*(Data!$DY$90:$IB$90=C473),0),"")</f>
        <v/>
      </c>
      <c r="K473" s="78" t="str">
        <f t="array" aca="1" ref="K473" ca="1">IF(H473=1,MATCH(I473,OFFSET(Data!$DX$91:$DX$190,0,Specials!J473)*(Data!$AM$91:$AM$190&gt;Parameter!$B$32)*(Data!$DW$91:$DW$190="M"),0),"")</f>
        <v/>
      </c>
      <c r="L473" s="78" t="str">
        <f ca="1">IF(H473=1,INDEX(Data!$DT$91:$DT$190,$K473)&amp;" / "&amp;OFFSET(Data!$DX$89,0,Specials!J473),"")</f>
        <v/>
      </c>
      <c r="M473" s="78" t="s">
        <v>1</v>
      </c>
      <c r="N473" s="78" t="s">
        <v>255</v>
      </c>
      <c r="O473" s="78" t="e">
        <f t="shared" ca="1" si="36"/>
        <v>#VALUE!</v>
      </c>
      <c r="P473" s="78" t="str">
        <f t="shared" ca="1" si="37"/>
        <v/>
      </c>
    </row>
    <row r="474" spans="1:16" s="78" customFormat="1" hidden="1" x14ac:dyDescent="0.25">
      <c r="A474" s="317" t="str">
        <f>"# Oh dear Men Rating &gt; "&amp;Parameter!$B$32</f>
        <v># Oh dear Men Rating &gt; 850</v>
      </c>
      <c r="B474" s="297">
        <f>MATCH(A474,Data!$DT:$DT,0)</f>
        <v>17</v>
      </c>
      <c r="C474" s="78">
        <f>INDEX(Parameter!$9:$9,,MATCH(20,Parameter!$8:$8,0))</f>
        <v>20</v>
      </c>
      <c r="D474" s="78" t="str">
        <f>INDEX(Parameter!$B$10:$AB$10,MATCH(C474,Parameter!$B$9:$AB$9,0))</f>
        <v>no</v>
      </c>
      <c r="H474" s="78">
        <f ca="1">INDEX(OFFSET(Data!$CS$1:$DS$1,B474-1,0),MATCH("Total/"&amp;C474,Data!$CS$1:$DS$1,0))</f>
        <v>0</v>
      </c>
      <c r="I474" s="78" t="str">
        <f ca="1">IF(H474=1,INDEX(Parameter!$B$10:$AB$10,MATCH(C474,Parameter!$B$9:$AB$9,0))+4,"")</f>
        <v/>
      </c>
      <c r="J474" s="78" t="str">
        <f t="array" aca="1" ref="J474" ca="1">IF(H474=1,MATCH(1,(OFFSET(Data!$DY$1:$IB$1,B474-1,0))*(Data!$DY$90:$IB$90=C474),0),"")</f>
        <v/>
      </c>
      <c r="K474" s="78" t="str">
        <f t="array" aca="1" ref="K474" ca="1">IF(H474=1,MATCH(I474,OFFSET(Data!$DX$91:$DX$190,0,Specials!J474)*(Data!$AM$91:$AM$190&gt;Parameter!$B$32)*(Data!$DW$91:$DW$190="M"),0),"")</f>
        <v/>
      </c>
      <c r="L474" s="78" t="str">
        <f ca="1">IF(H474=1,INDEX(Data!$DT$91:$DT$190,$K474)&amp;" / "&amp;OFFSET(Data!$DX$89,0,Specials!J474),"")</f>
        <v/>
      </c>
      <c r="M474" s="78" t="s">
        <v>1</v>
      </c>
      <c r="N474" s="78" t="s">
        <v>255</v>
      </c>
      <c r="O474" s="78" t="e">
        <f t="shared" ca="1" si="36"/>
        <v>#VALUE!</v>
      </c>
      <c r="P474" s="78" t="str">
        <f t="shared" ca="1" si="37"/>
        <v/>
      </c>
    </row>
    <row r="475" spans="1:16" s="78" customFormat="1" hidden="1" x14ac:dyDescent="0.25">
      <c r="A475" s="317" t="str">
        <f>"# Oh dear Men Rating &gt; "&amp;Parameter!$B$32</f>
        <v># Oh dear Men Rating &gt; 850</v>
      </c>
      <c r="B475" s="297">
        <f>MATCH(A475,Data!$DT:$DT,0)</f>
        <v>17</v>
      </c>
      <c r="C475" s="78">
        <f>INDEX(Parameter!$9:$9,,MATCH(21,Parameter!$8:$8,0))</f>
        <v>21</v>
      </c>
      <c r="D475" s="78" t="str">
        <f>INDEX(Parameter!$B$10:$AB$10,MATCH(C475,Parameter!$B$9:$AB$9,0))</f>
        <v>no</v>
      </c>
      <c r="H475" s="78">
        <f ca="1">INDEX(OFFSET(Data!$CS$1:$DS$1,B475-1,0),MATCH("Total/"&amp;C475,Data!$CS$1:$DS$1,0))</f>
        <v>0</v>
      </c>
      <c r="I475" s="78" t="str">
        <f ca="1">IF(H475=1,INDEX(Parameter!$B$10:$AB$10,MATCH(C475,Parameter!$B$9:$AB$9,0))+4,"")</f>
        <v/>
      </c>
      <c r="J475" s="78" t="str">
        <f t="array" aca="1" ref="J475" ca="1">IF(H475=1,MATCH(1,(OFFSET(Data!$DY$1:$IB$1,B475-1,0))*(Data!$DY$90:$IB$90=C475),0),"")</f>
        <v/>
      </c>
      <c r="K475" s="78" t="str">
        <f t="array" aca="1" ref="K475" ca="1">IF(H475=1,MATCH(I475,OFFSET(Data!$DX$91:$DX$190,0,Specials!J475)*(Data!$AM$91:$AM$190&gt;Parameter!$B$32)*(Data!$DW$91:$DW$190="M"),0),"")</f>
        <v/>
      </c>
      <c r="L475" s="78" t="str">
        <f ca="1">IF(H475=1,INDEX(Data!$DT$91:$DT$190,$K475)&amp;" / "&amp;OFFSET(Data!$DX$89,0,Specials!J475),"")</f>
        <v/>
      </c>
      <c r="M475" s="78" t="s">
        <v>1</v>
      </c>
      <c r="N475" s="78" t="s">
        <v>255</v>
      </c>
      <c r="O475" s="78" t="e">
        <f t="shared" ca="1" si="36"/>
        <v>#VALUE!</v>
      </c>
      <c r="P475" s="78" t="str">
        <f t="shared" ca="1" si="37"/>
        <v/>
      </c>
    </row>
    <row r="476" spans="1:16" s="78" customFormat="1" hidden="1" x14ac:dyDescent="0.25">
      <c r="A476" s="317" t="str">
        <f>"# Oh dear Men Rating &gt; "&amp;Parameter!$B$32</f>
        <v># Oh dear Men Rating &gt; 850</v>
      </c>
      <c r="B476" s="297">
        <f>MATCH(A476,Data!$DT:$DT,0)</f>
        <v>17</v>
      </c>
      <c r="C476" s="78">
        <f>INDEX(Parameter!$9:$9,,MATCH(22,Parameter!$8:$8,0))</f>
        <v>22</v>
      </c>
      <c r="D476" s="78" t="str">
        <f>INDEX(Parameter!$B$10:$AB$10,MATCH(C476,Parameter!$B$9:$AB$9,0))</f>
        <v>no</v>
      </c>
      <c r="H476" s="78">
        <f ca="1">INDEX(OFFSET(Data!$CS$1:$DS$1,B476-1,0),MATCH("Total/"&amp;C476,Data!$CS$1:$DS$1,0))</f>
        <v>0</v>
      </c>
      <c r="I476" s="78" t="str">
        <f ca="1">IF(H476=1,INDEX(Parameter!$B$10:$AB$10,MATCH(C476,Parameter!$B$9:$AB$9,0))+4,"")</f>
        <v/>
      </c>
      <c r="J476" s="78" t="str">
        <f t="array" aca="1" ref="J476" ca="1">IF(H476=1,MATCH(1,(OFFSET(Data!$DY$1:$IB$1,B476-1,0))*(Data!$DY$90:$IB$90=C476),0),"")</f>
        <v/>
      </c>
      <c r="K476" s="78" t="str">
        <f t="array" aca="1" ref="K476" ca="1">IF(H476=1,MATCH(I476,OFFSET(Data!$DX$91:$DX$190,0,Specials!J476)*(Data!$AM$91:$AM$190&gt;Parameter!$B$32)*(Data!$DW$91:$DW$190="M"),0),"")</f>
        <v/>
      </c>
      <c r="L476" s="78" t="str">
        <f ca="1">IF(H476=1,INDEX(Data!$DT$91:$DT$190,$K476)&amp;" / "&amp;OFFSET(Data!$DX$89,0,Specials!J476),"")</f>
        <v/>
      </c>
      <c r="M476" s="78" t="s">
        <v>1</v>
      </c>
      <c r="N476" s="78" t="s">
        <v>255</v>
      </c>
      <c r="O476" s="78" t="e">
        <f t="shared" ca="1" si="36"/>
        <v>#VALUE!</v>
      </c>
      <c r="P476" s="78" t="str">
        <f t="shared" ca="1" si="37"/>
        <v/>
      </c>
    </row>
    <row r="477" spans="1:16" s="78" customFormat="1" hidden="1" x14ac:dyDescent="0.25">
      <c r="A477" s="317" t="str">
        <f>"# Oh dear Men Rating &gt; "&amp;Parameter!$B$32</f>
        <v># Oh dear Men Rating &gt; 850</v>
      </c>
      <c r="B477" s="297">
        <f>MATCH(A477,Data!$DT:$DT,0)</f>
        <v>17</v>
      </c>
      <c r="C477" s="78">
        <f>INDEX(Parameter!$9:$9,,MATCH(23,Parameter!$8:$8,0))</f>
        <v>23</v>
      </c>
      <c r="D477" s="78" t="str">
        <f>INDEX(Parameter!$B$10:$AB$10,MATCH(C477,Parameter!$B$9:$AB$9,0))</f>
        <v>no</v>
      </c>
      <c r="H477" s="78">
        <f ca="1">INDEX(OFFSET(Data!$CS$1:$DS$1,B477-1,0),MATCH("Total/"&amp;C477,Data!$CS$1:$DS$1,0))</f>
        <v>0</v>
      </c>
      <c r="I477" s="78" t="str">
        <f ca="1">IF(H477=1,INDEX(Parameter!$B$10:$AB$10,MATCH(C477,Parameter!$B$9:$AB$9,0))+4,"")</f>
        <v/>
      </c>
      <c r="J477" s="78" t="str">
        <f t="array" aca="1" ref="J477" ca="1">IF(H477=1,MATCH(1,(OFFSET(Data!$DY$1:$IB$1,B477-1,0))*(Data!$DY$90:$IB$90=C477),0),"")</f>
        <v/>
      </c>
      <c r="K477" s="78" t="str">
        <f t="array" aca="1" ref="K477" ca="1">IF(H477=1,MATCH(I477,OFFSET(Data!$DX$91:$DX$190,0,Specials!J477)*(Data!$AM$91:$AM$190&gt;Parameter!$B$32)*(Data!$DW$91:$DW$190="M"),0),"")</f>
        <v/>
      </c>
      <c r="L477" s="78" t="str">
        <f ca="1">IF(H477=1,INDEX(Data!$DT$91:$DT$190,$K477)&amp;" / "&amp;OFFSET(Data!$DX$89,0,Specials!J477),"")</f>
        <v/>
      </c>
      <c r="M477" s="78" t="s">
        <v>1</v>
      </c>
      <c r="N477" s="78" t="s">
        <v>255</v>
      </c>
      <c r="O477" s="78" t="e">
        <f t="shared" ca="1" si="36"/>
        <v>#VALUE!</v>
      </c>
      <c r="P477" s="78" t="str">
        <f t="shared" ca="1" si="37"/>
        <v/>
      </c>
    </row>
    <row r="478" spans="1:16" s="78" customFormat="1" hidden="1" x14ac:dyDescent="0.25">
      <c r="A478" s="317" t="str">
        <f>"# Oh dear Men Rating &gt; "&amp;Parameter!$B$32</f>
        <v># Oh dear Men Rating &gt; 850</v>
      </c>
      <c r="B478" s="297">
        <f>MATCH(A478,Data!$DT:$DT,0)</f>
        <v>17</v>
      </c>
      <c r="C478" s="78">
        <f>INDEX(Parameter!$9:$9,,MATCH(24,Parameter!$8:$8,0))</f>
        <v>24</v>
      </c>
      <c r="D478" s="78" t="str">
        <f>INDEX(Parameter!$B$10:$AB$10,MATCH(C478,Parameter!$B$9:$AB$9,0))</f>
        <v>no</v>
      </c>
      <c r="H478" s="78">
        <f ca="1">INDEX(OFFSET(Data!$CS$1:$DS$1,B478-1,0),MATCH("Total/"&amp;C478,Data!$CS$1:$DS$1,0))</f>
        <v>0</v>
      </c>
      <c r="I478" s="78" t="str">
        <f ca="1">IF(H478=1,INDEX(Parameter!$B$10:$AB$10,MATCH(C478,Parameter!$B$9:$AB$9,0))+4,"")</f>
        <v/>
      </c>
      <c r="J478" s="78" t="str">
        <f t="array" aca="1" ref="J478" ca="1">IF(H478=1,MATCH(1,(OFFSET(Data!$DY$1:$IB$1,B478-1,0))*(Data!$DY$90:$IB$90=C478),0),"")</f>
        <v/>
      </c>
      <c r="K478" s="78" t="str">
        <f t="array" aca="1" ref="K478" ca="1">IF(H478=1,MATCH(I478,OFFSET(Data!$DX$91:$DX$190,0,Specials!J478)*(Data!$AM$91:$AM$190&gt;Parameter!$B$32)*(Data!$DW$91:$DW$190="M"),0),"")</f>
        <v/>
      </c>
      <c r="L478" s="78" t="str">
        <f ca="1">IF(H478=1,INDEX(Data!$DT$91:$DT$190,$K478)&amp;" / "&amp;OFFSET(Data!$DX$89,0,Specials!J478),"")</f>
        <v/>
      </c>
      <c r="M478" s="78" t="s">
        <v>1</v>
      </c>
      <c r="N478" s="78" t="s">
        <v>255</v>
      </c>
      <c r="O478" s="78" t="e">
        <f t="shared" ca="1" si="36"/>
        <v>#VALUE!</v>
      </c>
      <c r="P478" s="78" t="str">
        <f t="shared" ca="1" si="37"/>
        <v/>
      </c>
    </row>
    <row r="479" spans="1:16" s="78" customFormat="1" hidden="1" x14ac:dyDescent="0.25">
      <c r="A479" s="317" t="str">
        <f>"# Oh dear Men Rating &gt; "&amp;Parameter!$B$32</f>
        <v># Oh dear Men Rating &gt; 850</v>
      </c>
      <c r="B479" s="297">
        <f>MATCH(A479,Data!$DT:$DT,0)</f>
        <v>17</v>
      </c>
      <c r="C479" s="78">
        <f>INDEX(Parameter!$9:$9,,MATCH(25,Parameter!$8:$8,0))</f>
        <v>25</v>
      </c>
      <c r="D479" s="78" t="str">
        <f>INDEX(Parameter!$B$10:$AB$10,MATCH(C479,Parameter!$B$9:$AB$9,0))</f>
        <v>no</v>
      </c>
      <c r="H479" s="78">
        <f ca="1">INDEX(OFFSET(Data!$CS$1:$DS$1,B479-1,0),MATCH("Total/"&amp;C479,Data!$CS$1:$DS$1,0))</f>
        <v>0</v>
      </c>
      <c r="I479" s="78" t="str">
        <f ca="1">IF(H479=1,INDEX(Parameter!$B$10:$AB$10,MATCH(C479,Parameter!$B$9:$AB$9,0))+4,"")</f>
        <v/>
      </c>
      <c r="J479" s="78" t="str">
        <f t="array" aca="1" ref="J479" ca="1">IF(H479=1,MATCH(1,(OFFSET(Data!$DY$1:$IB$1,B479-1,0))*(Data!$DY$90:$IB$90=C479),0),"")</f>
        <v/>
      </c>
      <c r="K479" s="78" t="str">
        <f t="array" aca="1" ref="K479" ca="1">IF(H479=1,MATCH(I479,OFFSET(Data!$DX$91:$DX$190,0,Specials!J479)*(Data!$AM$91:$AM$190&gt;Parameter!$B$32)*(Data!$DW$91:$DW$190="M"),0),"")</f>
        <v/>
      </c>
      <c r="L479" s="78" t="str">
        <f ca="1">IF(H479=1,INDEX(Data!$DT$91:$DT$190,$K479)&amp;" / "&amp;OFFSET(Data!$DX$89,0,Specials!J479),"")</f>
        <v/>
      </c>
      <c r="M479" s="78" t="s">
        <v>1</v>
      </c>
      <c r="N479" s="78" t="s">
        <v>255</v>
      </c>
      <c r="O479" s="78" t="e">
        <f t="shared" ca="1" si="36"/>
        <v>#VALUE!</v>
      </c>
      <c r="P479" s="78" t="str">
        <f t="shared" ca="1" si="37"/>
        <v/>
      </c>
    </row>
    <row r="480" spans="1:16" s="78" customFormat="1" hidden="1" x14ac:dyDescent="0.25">
      <c r="A480" s="317" t="str">
        <f>"# Oh dear Men Rating &gt; "&amp;Parameter!$B$32</f>
        <v># Oh dear Men Rating &gt; 850</v>
      </c>
      <c r="B480" s="297">
        <f>MATCH(A480,Data!$DT:$DT,0)</f>
        <v>17</v>
      </c>
      <c r="C480" s="78">
        <f>INDEX(Parameter!$9:$9,,MATCH(26,Parameter!$8:$8,0))</f>
        <v>26</v>
      </c>
      <c r="D480" s="78" t="str">
        <f>INDEX(Parameter!$B$10:$AB$10,MATCH(C480,Parameter!$B$9:$AB$9,0))</f>
        <v>no</v>
      </c>
      <c r="H480" s="78">
        <f ca="1">INDEX(OFFSET(Data!$CS$1:$DS$1,B480-1,0),MATCH("Total/"&amp;C480,Data!$CS$1:$DS$1,0))</f>
        <v>0</v>
      </c>
      <c r="I480" s="78" t="str">
        <f ca="1">IF(H480=1,INDEX(Parameter!$B$10:$AB$10,MATCH(C480,Parameter!$B$9:$AB$9,0))+4,"")</f>
        <v/>
      </c>
      <c r="J480" s="78" t="str">
        <f t="array" aca="1" ref="J480" ca="1">IF(H480=1,MATCH(1,(OFFSET(Data!$DY$1:$IB$1,B480-1,0))*(Data!$DY$90:$IB$90=C480),0),"")</f>
        <v/>
      </c>
      <c r="K480" s="78" t="str">
        <f t="array" aca="1" ref="K480" ca="1">IF(H480=1,MATCH(I480,OFFSET(Data!$DX$91:$DX$190,0,Specials!J480)*(Data!$AM$91:$AM$190&gt;Parameter!$B$32)*(Data!$DW$91:$DW$190="M"),0),"")</f>
        <v/>
      </c>
      <c r="L480" s="78" t="str">
        <f ca="1">IF(H480=1,INDEX(Data!$DT$91:$DT$190,$K480)&amp;" / "&amp;OFFSET(Data!$DX$89,0,Specials!J480),"")</f>
        <v/>
      </c>
      <c r="M480" s="78" t="s">
        <v>1</v>
      </c>
      <c r="N480" s="78" t="s">
        <v>255</v>
      </c>
      <c r="O480" s="78" t="e">
        <f t="shared" ca="1" si="36"/>
        <v>#VALUE!</v>
      </c>
      <c r="P480" s="78" t="str">
        <f t="shared" ca="1" si="37"/>
        <v/>
      </c>
    </row>
    <row r="481" spans="1:16" s="78" customFormat="1" hidden="1" x14ac:dyDescent="0.25">
      <c r="A481" s="317" t="str">
        <f>"# Oh dear Men Rating &gt; "&amp;Parameter!$B$32</f>
        <v># Oh dear Men Rating &gt; 850</v>
      </c>
      <c r="B481" s="297">
        <f>MATCH(A481,Data!$DT:$DT,0)</f>
        <v>17</v>
      </c>
      <c r="C481" s="78">
        <f>INDEX(Parameter!$9:$9,,MATCH(27,Parameter!$8:$8,0))</f>
        <v>27</v>
      </c>
      <c r="D481" s="78" t="str">
        <f>INDEX(Parameter!$B$10:$AB$10,MATCH(C481,Parameter!$B$9:$AB$9,0))</f>
        <v>no</v>
      </c>
      <c r="H481" s="78">
        <f ca="1">INDEX(OFFSET(Data!$CS$1:$DS$1,B481-1,0),MATCH("Total/"&amp;C481,Data!$CS$1:$DS$1,0))</f>
        <v>0</v>
      </c>
      <c r="I481" s="78" t="str">
        <f ca="1">IF(H481=1,INDEX(Parameter!$B$10:$AB$10,MATCH(C481,Parameter!$B$9:$AB$9,0))+4,"")</f>
        <v/>
      </c>
      <c r="J481" s="78" t="str">
        <f t="array" aca="1" ref="J481" ca="1">IF(H481=1,MATCH(1,(OFFSET(Data!$DY$1:$IB$1,B481-1,0))*(Data!$DY$90:$IB$90=C481),0),"")</f>
        <v/>
      </c>
      <c r="K481" s="78" t="str">
        <f t="array" aca="1" ref="K481" ca="1">IF(H481=1,MATCH(I481,OFFSET(Data!$DX$91:$DX$190,0,Specials!J481)*(Data!$AM$91:$AM$190&gt;Parameter!$B$32)*(Data!$DW$91:$DW$190="M"),0),"")</f>
        <v/>
      </c>
      <c r="L481" s="78" t="str">
        <f ca="1">IF(H481=1,INDEX(Data!$DT$91:$DT$190,$K481)&amp;" / "&amp;OFFSET(Data!$DX$89,0,Specials!J481),"")</f>
        <v/>
      </c>
      <c r="M481" s="78" t="s">
        <v>1</v>
      </c>
      <c r="N481" s="78" t="s">
        <v>255</v>
      </c>
      <c r="O481" s="78" t="e">
        <f t="shared" ca="1" si="36"/>
        <v>#VALUE!</v>
      </c>
      <c r="P481" s="78" t="str">
        <f t="shared" ca="1" si="37"/>
        <v/>
      </c>
    </row>
    <row r="482" spans="1:16" s="78" customFormat="1" ht="15" hidden="1" customHeight="1" x14ac:dyDescent="0.25">
      <c r="A482" s="317" t="str">
        <f>"# Oh dear Men Rating &gt; "&amp;Parameter!$B$32</f>
        <v># Oh dear Men Rating &gt; 850</v>
      </c>
      <c r="B482" s="297">
        <f>MATCH(A482,Data!$DT:$DT,0)</f>
        <v>17</v>
      </c>
      <c r="C482" s="78">
        <f>INDEX(Parameter!$9:$9,,MATCH(1,Parameter!$8:$8,0))</f>
        <v>1</v>
      </c>
      <c r="D482" s="78">
        <f>INDEX(Parameter!$B$10:$AB$10,MATCH(C482,Parameter!$B$9:$AB$9,0))</f>
        <v>3</v>
      </c>
      <c r="H482" s="78">
        <f ca="1">INDEX(OFFSET(Data!$CS$1:$DS$1,B482-1,0),MATCH("Total/"&amp;C482,Data!$CS$1:$DS$1,0))</f>
        <v>0</v>
      </c>
      <c r="I482" s="78" t="str">
        <f ca="1">IF(H482=1,INDEX(Parameter!$B$10:$AB$10,MATCH(C482,Parameter!$B$9:$AB$9,0))+5,"")</f>
        <v/>
      </c>
      <c r="J482" s="78" t="str">
        <f t="array" aca="1" ref="J482" ca="1">IF(H482=1,MATCH(1,(OFFSET(Data!$DY$1:$IB$1,B482-1,0))*(Data!$DY$90:$IB$90=C482),0),"")</f>
        <v/>
      </c>
      <c r="K482" s="78" t="str">
        <f t="array" aca="1" ref="K482" ca="1">IF(H482=1,MATCH(I482,OFFSET(Data!$DX$91:$DX$190,0,Specials!J482)*(Data!$AM$91:$AM$190&gt;Parameter!$B$32)*(Data!$DW$91:$DW$190="M"),0),"")</f>
        <v/>
      </c>
      <c r="L482" s="78" t="str">
        <f ca="1">IF(H482=1,INDEX(Data!$DT$91:$DT$190,$K482)&amp;" / "&amp;OFFSET(Data!$DX$89,0,Specials!J482),"")</f>
        <v/>
      </c>
      <c r="M482" s="78" t="s">
        <v>1</v>
      </c>
      <c r="N482" s="78" t="s">
        <v>255</v>
      </c>
      <c r="O482" s="78" t="e">
        <f t="shared" ca="1" si="36"/>
        <v>#VALUE!</v>
      </c>
      <c r="P482" s="78" t="str">
        <f t="shared" ca="1" si="37"/>
        <v/>
      </c>
    </row>
    <row r="483" spans="1:16" s="78" customFormat="1" hidden="1" x14ac:dyDescent="0.25">
      <c r="A483" s="317" t="str">
        <f>"# Oh dear Men Rating &gt; "&amp;Parameter!$B$32</f>
        <v># Oh dear Men Rating &gt; 850</v>
      </c>
      <c r="B483" s="297">
        <f>MATCH(A483,Data!$DT:$DT,0)</f>
        <v>17</v>
      </c>
      <c r="C483" s="78">
        <f>INDEX(Parameter!$9:$9,,MATCH(2,Parameter!$8:$8,0))</f>
        <v>2</v>
      </c>
      <c r="D483" s="78">
        <f>INDEX(Parameter!$B$10:$AB$10,MATCH(C483,Parameter!$B$9:$AB$9,0))</f>
        <v>3</v>
      </c>
      <c r="H483" s="78">
        <f ca="1">INDEX(OFFSET(Data!$CS$1:$DS$1,B483-1,0),MATCH("Total/"&amp;C483,Data!$CS$1:$DS$1,0))</f>
        <v>0</v>
      </c>
      <c r="I483" s="78" t="str">
        <f ca="1">IF(H483=1,INDEX(Parameter!$B$10:$AB$10,MATCH(C483,Parameter!$B$9:$AB$9,0))+5,"")</f>
        <v/>
      </c>
      <c r="J483" s="78" t="str">
        <f t="array" aca="1" ref="J483" ca="1">IF(H483=1,MATCH(1,(OFFSET(Data!$DY$1:$IB$1,B483-1,0))*(Data!$DY$90:$IB$90=C483),0),"")</f>
        <v/>
      </c>
      <c r="K483" s="78" t="str">
        <f t="array" aca="1" ref="K483" ca="1">IF(H483=1,MATCH(I483,OFFSET(Data!$DX$91:$DX$190,0,Specials!J483)*(Data!$AM$91:$AM$190&gt;Parameter!$B$32)*(Data!$DW$91:$DW$190="M"),0),"")</f>
        <v/>
      </c>
      <c r="L483" s="78" t="str">
        <f ca="1">IF(H483=1,INDEX(Data!$DT$91:$DT$190,$K483)&amp;" / "&amp;OFFSET(Data!$DX$89,0,Specials!J483),"")</f>
        <v/>
      </c>
      <c r="M483" s="78" t="s">
        <v>1</v>
      </c>
      <c r="N483" s="78" t="s">
        <v>255</v>
      </c>
      <c r="O483" s="78" t="e">
        <f t="shared" ca="1" si="36"/>
        <v>#VALUE!</v>
      </c>
      <c r="P483" s="78" t="str">
        <f t="shared" ca="1" si="37"/>
        <v/>
      </c>
    </row>
    <row r="484" spans="1:16" s="78" customFormat="1" hidden="1" x14ac:dyDescent="0.25">
      <c r="A484" s="317" t="str">
        <f>"# Oh dear Men Rating &gt; "&amp;Parameter!$B$32</f>
        <v># Oh dear Men Rating &gt; 850</v>
      </c>
      <c r="B484" s="297">
        <f>MATCH(A484,Data!$DT:$DT,0)</f>
        <v>17</v>
      </c>
      <c r="C484" s="78">
        <f>INDEX(Parameter!$9:$9,,MATCH(3,Parameter!$8:$8,0))</f>
        <v>3</v>
      </c>
      <c r="D484" s="78">
        <f>INDEX(Parameter!$B$10:$AB$10,MATCH(C484,Parameter!$B$9:$AB$9,0))</f>
        <v>3</v>
      </c>
      <c r="H484" s="78">
        <f ca="1">INDEX(OFFSET(Data!$CS$1:$DS$1,B484-1,0),MATCH("Total/"&amp;C484,Data!$CS$1:$DS$1,0))</f>
        <v>0</v>
      </c>
      <c r="I484" s="78" t="str">
        <f ca="1">IF(H484=1,INDEX(Parameter!$B$10:$AB$10,MATCH(C484,Parameter!$B$9:$AB$9,0))+5,"")</f>
        <v/>
      </c>
      <c r="J484" s="78" t="str">
        <f t="array" aca="1" ref="J484" ca="1">IF(H484=1,MATCH(1,(OFFSET(Data!$DY$1:$IB$1,B484-1,0))*(Data!$DY$90:$IB$90=C484),0),"")</f>
        <v/>
      </c>
      <c r="K484" s="78" t="str">
        <f t="array" aca="1" ref="K484" ca="1">IF(H484=1,MATCH(I484,OFFSET(Data!$DX$91:$DX$190,0,Specials!J484)*(Data!$AM$91:$AM$190&gt;Parameter!$B$32)*(Data!$DW$91:$DW$190="M"),0),"")</f>
        <v/>
      </c>
      <c r="L484" s="78" t="str">
        <f ca="1">IF(H484=1,INDEX(Data!$DT$91:$DT$190,$K484)&amp;" / "&amp;OFFSET(Data!$DX$89,0,Specials!J484),"")</f>
        <v/>
      </c>
      <c r="M484" s="78" t="s">
        <v>1</v>
      </c>
      <c r="N484" s="78" t="s">
        <v>255</v>
      </c>
      <c r="O484" s="78" t="e">
        <f t="shared" ca="1" si="36"/>
        <v>#VALUE!</v>
      </c>
      <c r="P484" s="78" t="str">
        <f t="shared" ca="1" si="37"/>
        <v/>
      </c>
    </row>
    <row r="485" spans="1:16" s="78" customFormat="1" hidden="1" x14ac:dyDescent="0.25">
      <c r="A485" s="317" t="str">
        <f>"# Oh dear Men Rating &gt; "&amp;Parameter!$B$32</f>
        <v># Oh dear Men Rating &gt; 850</v>
      </c>
      <c r="B485" s="297">
        <f>MATCH(A485,Data!$DT:$DT,0)</f>
        <v>17</v>
      </c>
      <c r="C485" s="78">
        <f>INDEX(Parameter!$9:$9,,MATCH(4,Parameter!$8:$8,0))</f>
        <v>4</v>
      </c>
      <c r="D485" s="78">
        <f>INDEX(Parameter!$B$10:$AB$10,MATCH(C485,Parameter!$B$9:$AB$9,0))</f>
        <v>3</v>
      </c>
      <c r="H485" s="78">
        <f ca="1">INDEX(OFFSET(Data!$CS$1:$DS$1,B485-1,0),MATCH("Total/"&amp;C485,Data!$CS$1:$DS$1,0))</f>
        <v>0</v>
      </c>
      <c r="I485" s="78" t="str">
        <f ca="1">IF(H485=1,INDEX(Parameter!$B$10:$AB$10,MATCH(C485,Parameter!$B$9:$AB$9,0))+5,"")</f>
        <v/>
      </c>
      <c r="J485" s="78" t="str">
        <f t="array" aca="1" ref="J485" ca="1">IF(H485=1,MATCH(1,(OFFSET(Data!$DY$1:$IB$1,B485-1,0))*(Data!$DY$90:$IB$90=C485),0),"")</f>
        <v/>
      </c>
      <c r="K485" s="78" t="str">
        <f t="array" aca="1" ref="K485" ca="1">IF(H485=1,MATCH(I485,OFFSET(Data!$DX$91:$DX$190,0,Specials!J485)*(Data!$AM$91:$AM$190&gt;Parameter!$B$32)*(Data!$DW$91:$DW$190="M"),0),"")</f>
        <v/>
      </c>
      <c r="L485" s="78" t="str">
        <f ca="1">IF(H485=1,INDEX(Data!$DT$91:$DT$190,$K485)&amp;" / "&amp;OFFSET(Data!$DX$89,0,Specials!J485),"")</f>
        <v/>
      </c>
      <c r="M485" s="78" t="s">
        <v>1</v>
      </c>
      <c r="N485" s="78" t="s">
        <v>255</v>
      </c>
      <c r="O485" s="78" t="e">
        <f t="shared" ca="1" si="36"/>
        <v>#VALUE!</v>
      </c>
      <c r="P485" s="78" t="str">
        <f t="shared" ca="1" si="37"/>
        <v/>
      </c>
    </row>
    <row r="486" spans="1:16" s="78" customFormat="1" hidden="1" x14ac:dyDescent="0.25">
      <c r="A486" s="317" t="str">
        <f>"# Oh dear Men Rating &gt; "&amp;Parameter!$B$32</f>
        <v># Oh dear Men Rating &gt; 850</v>
      </c>
      <c r="B486" s="297">
        <f>MATCH(A486,Data!$DT:$DT,0)</f>
        <v>17</v>
      </c>
      <c r="C486" s="78">
        <f>INDEX(Parameter!$9:$9,,MATCH(5,Parameter!$8:$8,0))</f>
        <v>5</v>
      </c>
      <c r="D486" s="78">
        <f>INDEX(Parameter!$B$10:$AB$10,MATCH(C486,Parameter!$B$9:$AB$9,0))</f>
        <v>4</v>
      </c>
      <c r="H486" s="78">
        <f ca="1">INDEX(OFFSET(Data!$CS$1:$DS$1,B486-1,0),MATCH("Total/"&amp;C486,Data!$CS$1:$DS$1,0))</f>
        <v>0</v>
      </c>
      <c r="I486" s="78" t="str">
        <f ca="1">IF(H486=1,INDEX(Parameter!$B$10:$AB$10,MATCH(C486,Parameter!$B$9:$AB$9,0))+5,"")</f>
        <v/>
      </c>
      <c r="J486" s="78" t="str">
        <f t="array" aca="1" ref="J486" ca="1">IF(H486=1,MATCH(1,(OFFSET(Data!$DY$1:$IB$1,B486-1,0))*(Data!$DY$90:$IB$90=C486),0),"")</f>
        <v/>
      </c>
      <c r="K486" s="78" t="str">
        <f t="array" aca="1" ref="K486" ca="1">IF(H486=1,MATCH(I486,OFFSET(Data!$DX$91:$DX$190,0,Specials!J486)*(Data!$AM$91:$AM$190&gt;Parameter!$B$32)*(Data!$DW$91:$DW$190="M"),0),"")</f>
        <v/>
      </c>
      <c r="L486" s="78" t="str">
        <f ca="1">IF(H486=1,INDEX(Data!$DT$91:$DT$190,$K486)&amp;" / "&amp;OFFSET(Data!$DX$89,0,Specials!J486),"")</f>
        <v/>
      </c>
      <c r="M486" s="78" t="s">
        <v>1</v>
      </c>
      <c r="N486" s="78" t="s">
        <v>255</v>
      </c>
      <c r="O486" s="78" t="e">
        <f t="shared" ca="1" si="36"/>
        <v>#VALUE!</v>
      </c>
      <c r="P486" s="78" t="str">
        <f t="shared" ca="1" si="37"/>
        <v/>
      </c>
    </row>
    <row r="487" spans="1:16" s="78" customFormat="1" hidden="1" x14ac:dyDescent="0.25">
      <c r="A487" s="317" t="str">
        <f>"# Oh dear Men Rating &gt; "&amp;Parameter!$B$32</f>
        <v># Oh dear Men Rating &gt; 850</v>
      </c>
      <c r="B487" s="297">
        <f>MATCH(A487,Data!$DT:$DT,0)</f>
        <v>17</v>
      </c>
      <c r="C487" s="78">
        <f>INDEX(Parameter!$9:$9,,MATCH(6,Parameter!$8:$8,0))</f>
        <v>6</v>
      </c>
      <c r="D487" s="78">
        <f>INDEX(Parameter!$B$10:$AB$10,MATCH(C487,Parameter!$B$9:$AB$9,0))</f>
        <v>3</v>
      </c>
      <c r="H487" s="78">
        <f ca="1">INDEX(OFFSET(Data!$CS$1:$DS$1,B487-1,0),MATCH("Total/"&amp;C487,Data!$CS$1:$DS$1,0))</f>
        <v>0</v>
      </c>
      <c r="I487" s="78" t="str">
        <f ca="1">IF(H487=1,INDEX(Parameter!$B$10:$AB$10,MATCH(C487,Parameter!$B$9:$AB$9,0))+5,"")</f>
        <v/>
      </c>
      <c r="J487" s="78" t="str">
        <f t="array" aca="1" ref="J487" ca="1">IF(H487=1,MATCH(1,(OFFSET(Data!$DY$1:$IB$1,B487-1,0))*(Data!$DY$90:$IB$90=C487),0),"")</f>
        <v/>
      </c>
      <c r="K487" s="78" t="str">
        <f t="array" aca="1" ref="K487" ca="1">IF(H487=1,MATCH(I487,OFFSET(Data!$DX$91:$DX$190,0,Specials!J487)*(Data!$AM$91:$AM$190&gt;Parameter!$B$32)*(Data!$DW$91:$DW$190="M"),0),"")</f>
        <v/>
      </c>
      <c r="L487" s="78" t="str">
        <f ca="1">IF(H487=1,INDEX(Data!$DT$91:$DT$190,$K487)&amp;" / "&amp;OFFSET(Data!$DX$89,0,Specials!J487),"")</f>
        <v/>
      </c>
      <c r="M487" s="78" t="s">
        <v>1</v>
      </c>
      <c r="N487" s="78" t="s">
        <v>255</v>
      </c>
      <c r="O487" s="78" t="e">
        <f t="shared" ca="1" si="36"/>
        <v>#VALUE!</v>
      </c>
      <c r="P487" s="78" t="str">
        <f t="shared" ca="1" si="37"/>
        <v/>
      </c>
    </row>
    <row r="488" spans="1:16" s="78" customFormat="1" hidden="1" x14ac:dyDescent="0.25">
      <c r="A488" s="317" t="str">
        <f>"# Oh dear Men Rating &gt; "&amp;Parameter!$B$32</f>
        <v># Oh dear Men Rating &gt; 850</v>
      </c>
      <c r="B488" s="297">
        <f>MATCH(A488,Data!$DT:$DT,0)</f>
        <v>17</v>
      </c>
      <c r="C488" s="78">
        <f>INDEX(Parameter!$9:$9,,MATCH(7,Parameter!$8:$8,0))</f>
        <v>7</v>
      </c>
      <c r="D488" s="78">
        <f>INDEX(Parameter!$B$10:$AB$10,MATCH(C488,Parameter!$B$9:$AB$9,0))</f>
        <v>3</v>
      </c>
      <c r="H488" s="78">
        <f ca="1">INDEX(OFFSET(Data!$CS$1:$DS$1,B488-1,0),MATCH("Total/"&amp;C488,Data!$CS$1:$DS$1,0))</f>
        <v>0</v>
      </c>
      <c r="I488" s="78" t="str">
        <f ca="1">IF(H488=1,INDEX(Parameter!$B$10:$AB$10,MATCH(C488,Parameter!$B$9:$AB$9,0))+5,"")</f>
        <v/>
      </c>
      <c r="J488" s="78" t="str">
        <f t="array" aca="1" ref="J488" ca="1">IF(H488=1,MATCH(1,(OFFSET(Data!$DY$1:$IB$1,B488-1,0))*(Data!$DY$90:$IB$90=C488),0),"")</f>
        <v/>
      </c>
      <c r="K488" s="78" t="str">
        <f t="array" aca="1" ref="K488" ca="1">IF(H488=1,MATCH(I488,OFFSET(Data!$DX$91:$DX$190,0,Specials!J488)*(Data!$AM$91:$AM$190&gt;Parameter!$B$32)*(Data!$DW$91:$DW$190="M"),0),"")</f>
        <v/>
      </c>
      <c r="L488" s="78" t="str">
        <f ca="1">IF(H488=1,INDEX(Data!$DT$91:$DT$190,$K488)&amp;" / "&amp;OFFSET(Data!$DX$89,0,Specials!J488),"")</f>
        <v/>
      </c>
      <c r="M488" s="78" t="s">
        <v>1</v>
      </c>
      <c r="N488" s="78" t="s">
        <v>255</v>
      </c>
      <c r="O488" s="78" t="e">
        <f t="shared" ca="1" si="36"/>
        <v>#VALUE!</v>
      </c>
      <c r="P488" s="78" t="str">
        <f t="shared" ca="1" si="37"/>
        <v/>
      </c>
    </row>
    <row r="489" spans="1:16" s="78" customFormat="1" hidden="1" x14ac:dyDescent="0.25">
      <c r="A489" s="317" t="str">
        <f>"# Oh dear Men Rating &gt; "&amp;Parameter!$B$32</f>
        <v># Oh dear Men Rating &gt; 850</v>
      </c>
      <c r="B489" s="297">
        <f>MATCH(A489,Data!$DT:$DT,0)</f>
        <v>17</v>
      </c>
      <c r="C489" s="78">
        <f>INDEX(Parameter!$9:$9,,MATCH(8,Parameter!$8:$8,0))</f>
        <v>8</v>
      </c>
      <c r="D489" s="78">
        <f>INDEX(Parameter!$B$10:$AB$10,MATCH(C489,Parameter!$B$9:$AB$9,0))</f>
        <v>3</v>
      </c>
      <c r="H489" s="78">
        <f ca="1">INDEX(OFFSET(Data!$CS$1:$DS$1,B489-1,0),MATCH("Total/"&amp;C489,Data!$CS$1:$DS$1,0))</f>
        <v>0</v>
      </c>
      <c r="I489" s="78" t="str">
        <f ca="1">IF(H489=1,INDEX(Parameter!$B$10:$AB$10,MATCH(C489,Parameter!$B$9:$AB$9,0))+5,"")</f>
        <v/>
      </c>
      <c r="J489" s="78" t="str">
        <f t="array" aca="1" ref="J489" ca="1">IF(H489=1,MATCH(1,(OFFSET(Data!$DY$1:$IB$1,B489-1,0))*(Data!$DY$90:$IB$90=C489),0),"")</f>
        <v/>
      </c>
      <c r="K489" s="78" t="str">
        <f t="array" aca="1" ref="K489" ca="1">IF(H489=1,MATCH(I489,OFFSET(Data!$DX$91:$DX$190,0,Specials!J489)*(Data!$AM$91:$AM$190&gt;Parameter!$B$32)*(Data!$DW$91:$DW$190="M"),0),"")</f>
        <v/>
      </c>
      <c r="L489" s="78" t="str">
        <f ca="1">IF(H489=1,INDEX(Data!$DT$91:$DT$190,$K489)&amp;" / "&amp;OFFSET(Data!$DX$89,0,Specials!J489),"")</f>
        <v/>
      </c>
      <c r="M489" s="78" t="s">
        <v>1</v>
      </c>
      <c r="N489" s="78" t="s">
        <v>255</v>
      </c>
      <c r="O489" s="78" t="e">
        <f t="shared" ca="1" si="36"/>
        <v>#VALUE!</v>
      </c>
      <c r="P489" s="78" t="str">
        <f t="shared" ca="1" si="37"/>
        <v/>
      </c>
    </row>
    <row r="490" spans="1:16" s="78" customFormat="1" hidden="1" x14ac:dyDescent="0.25">
      <c r="A490" s="317" t="str">
        <f>"# Oh dear Men Rating &gt; "&amp;Parameter!$B$32</f>
        <v># Oh dear Men Rating &gt; 850</v>
      </c>
      <c r="B490" s="297">
        <f>MATCH(A490,Data!$DT:$DT,0)</f>
        <v>17</v>
      </c>
      <c r="C490" s="78">
        <f>INDEX(Parameter!$9:$9,,MATCH(9,Parameter!$8:$8,0))</f>
        <v>9</v>
      </c>
      <c r="D490" s="78">
        <f>INDEX(Parameter!$B$10:$AB$10,MATCH(C490,Parameter!$B$9:$AB$9,0))</f>
        <v>4</v>
      </c>
      <c r="H490" s="78">
        <f ca="1">INDEX(OFFSET(Data!$CS$1:$DS$1,B490-1,0),MATCH("Total/"&amp;C490,Data!$CS$1:$DS$1,0))</f>
        <v>0</v>
      </c>
      <c r="I490" s="78" t="str">
        <f ca="1">IF(H490=1,INDEX(Parameter!$B$10:$AB$10,MATCH(C490,Parameter!$B$9:$AB$9,0))+5,"")</f>
        <v/>
      </c>
      <c r="J490" s="78" t="str">
        <f t="array" aca="1" ref="J490" ca="1">IF(H490=1,MATCH(1,(OFFSET(Data!$DY$1:$IB$1,B490-1,0))*(Data!$DY$90:$IB$90=C490),0),"")</f>
        <v/>
      </c>
      <c r="K490" s="78" t="str">
        <f t="array" aca="1" ref="K490" ca="1">IF(H490=1,MATCH(I490,OFFSET(Data!$DX$91:$DX$190,0,Specials!J490)*(Data!$AM$91:$AM$190&gt;Parameter!$B$32)*(Data!$DW$91:$DW$190="M"),0),"")</f>
        <v/>
      </c>
      <c r="L490" s="78" t="str">
        <f ca="1">IF(H490=1,INDEX(Data!$DT$91:$DT$190,$K490)&amp;" / "&amp;OFFSET(Data!$DX$89,0,Specials!J490),"")</f>
        <v/>
      </c>
      <c r="M490" s="78" t="s">
        <v>1</v>
      </c>
      <c r="N490" s="78" t="s">
        <v>255</v>
      </c>
      <c r="O490" s="78" t="e">
        <f t="shared" ca="1" si="36"/>
        <v>#VALUE!</v>
      </c>
      <c r="P490" s="78" t="str">
        <f t="shared" ca="1" si="37"/>
        <v/>
      </c>
    </row>
    <row r="491" spans="1:16" s="78" customFormat="1" hidden="1" x14ac:dyDescent="0.25">
      <c r="A491" s="317" t="str">
        <f>"# Oh dear Men Rating &gt; "&amp;Parameter!$B$32</f>
        <v># Oh dear Men Rating &gt; 850</v>
      </c>
      <c r="B491" s="297">
        <f>MATCH(A491,Data!$DT:$DT,0)</f>
        <v>17</v>
      </c>
      <c r="C491" s="78">
        <f>INDEX(Parameter!$9:$9,,MATCH(10,Parameter!$8:$8,0))</f>
        <v>10</v>
      </c>
      <c r="D491" s="78">
        <f>INDEX(Parameter!$B$10:$AB$10,MATCH(C491,Parameter!$B$9:$AB$9,0))</f>
        <v>4</v>
      </c>
      <c r="H491" s="78">
        <f ca="1">INDEX(OFFSET(Data!$CS$1:$DS$1,B491-1,0),MATCH("Total/"&amp;C491,Data!$CS$1:$DS$1,0))</f>
        <v>0</v>
      </c>
      <c r="I491" s="78" t="str">
        <f ca="1">IF(H491=1,INDEX(Parameter!$B$10:$AB$10,MATCH(C491,Parameter!$B$9:$AB$9,0))+5,"")</f>
        <v/>
      </c>
      <c r="J491" s="78" t="str">
        <f t="array" aca="1" ref="J491" ca="1">IF(H491=1,MATCH(1,(OFFSET(Data!$DY$1:$IB$1,B491-1,0))*(Data!$DY$90:$IB$90=C491),0),"")</f>
        <v/>
      </c>
      <c r="K491" s="78" t="str">
        <f t="array" aca="1" ref="K491" ca="1">IF(H491=1,MATCH(I491,OFFSET(Data!$DX$91:$DX$190,0,Specials!J491)*(Data!$AM$91:$AM$190&gt;Parameter!$B$32)*(Data!$DW$91:$DW$190="M"),0),"")</f>
        <v/>
      </c>
      <c r="L491" s="78" t="str">
        <f ca="1">IF(H491=1,INDEX(Data!$DT$91:$DT$190,$K491)&amp;" / "&amp;OFFSET(Data!$DX$89,0,Specials!J491),"")</f>
        <v/>
      </c>
      <c r="M491" s="78" t="s">
        <v>1</v>
      </c>
      <c r="N491" s="78" t="s">
        <v>255</v>
      </c>
      <c r="O491" s="78" t="e">
        <f t="shared" ca="1" si="36"/>
        <v>#VALUE!</v>
      </c>
      <c r="P491" s="78" t="str">
        <f t="shared" ca="1" si="37"/>
        <v/>
      </c>
    </row>
    <row r="492" spans="1:16" s="78" customFormat="1" hidden="1" x14ac:dyDescent="0.25">
      <c r="A492" s="317" t="str">
        <f>"# Oh dear Men Rating &gt; "&amp;Parameter!$B$32</f>
        <v># Oh dear Men Rating &gt; 850</v>
      </c>
      <c r="B492" s="297">
        <f>MATCH(A492,Data!$DT:$DT,0)</f>
        <v>17</v>
      </c>
      <c r="C492" s="78">
        <f>INDEX(Parameter!$9:$9,,MATCH(11,Parameter!$8:$8,0))</f>
        <v>11</v>
      </c>
      <c r="D492" s="78">
        <f>INDEX(Parameter!$B$10:$AB$10,MATCH(C492,Parameter!$B$9:$AB$9,0))</f>
        <v>4</v>
      </c>
      <c r="H492" s="78">
        <f ca="1">INDEX(OFFSET(Data!$CS$1:$DS$1,B492-1,0),MATCH("Total/"&amp;C492,Data!$CS$1:$DS$1,0))</f>
        <v>0</v>
      </c>
      <c r="I492" s="78" t="str">
        <f ca="1">IF(H492=1,INDEX(Parameter!$B$10:$AB$10,MATCH(C492,Parameter!$B$9:$AB$9,0))+5,"")</f>
        <v/>
      </c>
      <c r="J492" s="78" t="str">
        <f t="array" aca="1" ref="J492" ca="1">IF(H492=1,MATCH(1,(OFFSET(Data!$DY$1:$IB$1,B492-1,0))*(Data!$DY$90:$IB$90=C492),0),"")</f>
        <v/>
      </c>
      <c r="K492" s="78" t="str">
        <f t="array" aca="1" ref="K492" ca="1">IF(H492=1,MATCH(I492,OFFSET(Data!$DX$91:$DX$190,0,Specials!J492)*(Data!$AM$91:$AM$190&gt;Parameter!$B$32)*(Data!$DW$91:$DW$190="M"),0),"")</f>
        <v/>
      </c>
      <c r="L492" s="78" t="str">
        <f ca="1">IF(H492=1,INDEX(Data!$DT$91:$DT$190,$K492)&amp;" / "&amp;OFFSET(Data!$DX$89,0,Specials!J492),"")</f>
        <v/>
      </c>
      <c r="M492" s="78" t="s">
        <v>1</v>
      </c>
      <c r="N492" s="78" t="s">
        <v>255</v>
      </c>
      <c r="O492" s="78" t="e">
        <f t="shared" ca="1" si="36"/>
        <v>#VALUE!</v>
      </c>
      <c r="P492" s="78" t="str">
        <f t="shared" ca="1" si="37"/>
        <v/>
      </c>
    </row>
    <row r="493" spans="1:16" s="78" customFormat="1" hidden="1" x14ac:dyDescent="0.25">
      <c r="A493" s="317" t="str">
        <f>"# Oh dear Men Rating &gt; "&amp;Parameter!$B$32</f>
        <v># Oh dear Men Rating &gt; 850</v>
      </c>
      <c r="B493" s="297">
        <f>MATCH(A493,Data!$DT:$DT,0)</f>
        <v>17</v>
      </c>
      <c r="C493" s="78" t="str">
        <f>INDEX(Parameter!$9:$9,,MATCH(12,Parameter!$8:$8,0))</f>
        <v>11b</v>
      </c>
      <c r="D493" s="78">
        <f>INDEX(Parameter!$B$10:$AB$10,MATCH(C493,Parameter!$B$9:$AB$9,0))</f>
        <v>3</v>
      </c>
      <c r="H493" s="78">
        <f ca="1">INDEX(OFFSET(Data!$CS$1:$DS$1,B493-1,0),MATCH("Total/"&amp;C493,Data!$CS$1:$DS$1,0))</f>
        <v>0</v>
      </c>
      <c r="I493" s="78" t="str">
        <f ca="1">IF(H493=1,INDEX(Parameter!$B$10:$AB$10,MATCH(C493,Parameter!$B$9:$AB$9,0))+5,"")</f>
        <v/>
      </c>
      <c r="J493" s="78" t="str">
        <f t="array" aca="1" ref="J493" ca="1">IF(H493=1,MATCH(1,(OFFSET(Data!$DY$1:$IB$1,B493-1,0))*(Data!$DY$90:$IB$90=C493),0),"")</f>
        <v/>
      </c>
      <c r="K493" s="78" t="str">
        <f t="array" aca="1" ref="K493" ca="1">IF(H493=1,MATCH(I493,OFFSET(Data!$DX$91:$DX$190,0,Specials!J493)*(Data!$AM$91:$AM$190&gt;Parameter!$B$32)*(Data!$DW$91:$DW$190="M"),0),"")</f>
        <v/>
      </c>
      <c r="L493" s="78" t="str">
        <f ca="1">IF(H493=1,INDEX(Data!$DT$91:$DT$190,$K493)&amp;" / "&amp;OFFSET(Data!$DX$89,0,Specials!J493),"")</f>
        <v/>
      </c>
      <c r="M493" s="78" t="s">
        <v>1</v>
      </c>
      <c r="N493" s="78" t="s">
        <v>255</v>
      </c>
      <c r="O493" s="78" t="e">
        <f t="shared" ca="1" si="36"/>
        <v>#VALUE!</v>
      </c>
      <c r="P493" s="78" t="str">
        <f t="shared" ca="1" si="37"/>
        <v/>
      </c>
    </row>
    <row r="494" spans="1:16" s="78" customFormat="1" hidden="1" x14ac:dyDescent="0.25">
      <c r="A494" s="317" t="str">
        <f>"# Oh dear Men Rating &gt; "&amp;Parameter!$B$32</f>
        <v># Oh dear Men Rating &gt; 850</v>
      </c>
      <c r="B494" s="297">
        <f>MATCH(A494,Data!$DT:$DT,0)</f>
        <v>17</v>
      </c>
      <c r="C494" s="78">
        <f>INDEX(Parameter!$9:$9,,MATCH(13,Parameter!$8:$8,0))</f>
        <v>12</v>
      </c>
      <c r="D494" s="78">
        <f>INDEX(Parameter!$B$10:$AB$10,MATCH(C494,Parameter!$B$9:$AB$9,0))</f>
        <v>3</v>
      </c>
      <c r="H494" s="78">
        <f ca="1">INDEX(OFFSET(Data!$CS$1:$DS$1,B494-1,0),MATCH("Total/"&amp;C494,Data!$CS$1:$DS$1,0))</f>
        <v>0</v>
      </c>
      <c r="I494" s="78" t="str">
        <f ca="1">IF(H494=1,INDEX(Parameter!$B$10:$AB$10,MATCH(C494,Parameter!$B$9:$AB$9,0))+5,"")</f>
        <v/>
      </c>
      <c r="J494" s="78" t="str">
        <f t="array" aca="1" ref="J494" ca="1">IF(H494=1,MATCH(1,(OFFSET(Data!$DY$1:$IB$1,B494-1,0))*(Data!$DY$90:$IB$90=C494),0),"")</f>
        <v/>
      </c>
      <c r="K494" s="78" t="str">
        <f t="array" aca="1" ref="K494" ca="1">IF(H494=1,MATCH(I494,OFFSET(Data!$DX$91:$DX$190,0,Specials!J494)*(Data!$AM$91:$AM$190&gt;Parameter!$B$32)*(Data!$DW$91:$DW$190="M"),0),"")</f>
        <v/>
      </c>
      <c r="L494" s="78" t="str">
        <f ca="1">IF(H494=1,INDEX(Data!$DT$91:$DT$190,$K494)&amp;" / "&amp;OFFSET(Data!$DX$89,0,Specials!J494),"")</f>
        <v/>
      </c>
      <c r="M494" s="78" t="s">
        <v>1</v>
      </c>
      <c r="N494" s="78" t="s">
        <v>255</v>
      </c>
      <c r="O494" s="78" t="e">
        <f t="shared" ca="1" si="36"/>
        <v>#VALUE!</v>
      </c>
      <c r="P494" s="78" t="str">
        <f t="shared" ca="1" si="37"/>
        <v/>
      </c>
    </row>
    <row r="495" spans="1:16" s="78" customFormat="1" hidden="1" x14ac:dyDescent="0.25">
      <c r="A495" s="317" t="str">
        <f>"# Oh dear Men Rating &gt; "&amp;Parameter!$B$32</f>
        <v># Oh dear Men Rating &gt; 850</v>
      </c>
      <c r="B495" s="297">
        <f>MATCH(A495,Data!$DT:$DT,0)</f>
        <v>17</v>
      </c>
      <c r="C495" s="78">
        <f>INDEX(Parameter!$9:$9,,MATCH(14,Parameter!$8:$8,0))</f>
        <v>13</v>
      </c>
      <c r="D495" s="78">
        <f>INDEX(Parameter!$B$10:$AB$10,MATCH(C495,Parameter!$B$9:$AB$9,0))</f>
        <v>3</v>
      </c>
      <c r="H495" s="78">
        <f ca="1">INDEX(OFFSET(Data!$CS$1:$DS$1,B495-1,0),MATCH("Total/"&amp;C495,Data!$CS$1:$DS$1,0))</f>
        <v>0</v>
      </c>
      <c r="I495" s="78" t="str">
        <f ca="1">IF(H495=1,INDEX(Parameter!$B$10:$AB$10,MATCH(C495,Parameter!$B$9:$AB$9,0))+5,"")</f>
        <v/>
      </c>
      <c r="J495" s="78" t="str">
        <f t="array" aca="1" ref="J495" ca="1">IF(H495=1,MATCH(1,(OFFSET(Data!$DY$1:$IB$1,B495-1,0))*(Data!$DY$90:$IB$90=C495),0),"")</f>
        <v/>
      </c>
      <c r="K495" s="78" t="str">
        <f t="array" aca="1" ref="K495" ca="1">IF(H495=1,MATCH(I495,OFFSET(Data!$DX$91:$DX$190,0,Specials!J495)*(Data!$AM$91:$AM$190&gt;Parameter!$B$32)*(Data!$DW$91:$DW$190="M"),0),"")</f>
        <v/>
      </c>
      <c r="L495" s="78" t="str">
        <f ca="1">IF(H495=1,INDEX(Data!$DT$91:$DT$190,$K495)&amp;" / "&amp;OFFSET(Data!$DX$89,0,Specials!J495),"")</f>
        <v/>
      </c>
      <c r="M495" s="78" t="s">
        <v>1</v>
      </c>
      <c r="N495" s="78" t="s">
        <v>255</v>
      </c>
      <c r="O495" s="78" t="e">
        <f t="shared" ca="1" si="36"/>
        <v>#VALUE!</v>
      </c>
      <c r="P495" s="78" t="str">
        <f t="shared" ca="1" si="37"/>
        <v/>
      </c>
    </row>
    <row r="496" spans="1:16" s="78" customFormat="1" hidden="1" x14ac:dyDescent="0.25">
      <c r="A496" s="317" t="str">
        <f>"# Oh dear Men Rating &gt; "&amp;Parameter!$B$32</f>
        <v># Oh dear Men Rating &gt; 850</v>
      </c>
      <c r="B496" s="297">
        <f>MATCH(A496,Data!$DT:$DT,0)</f>
        <v>17</v>
      </c>
      <c r="C496" s="78">
        <f>INDEX(Parameter!$9:$9,,MATCH(15,Parameter!$8:$8,0))</f>
        <v>14</v>
      </c>
      <c r="D496" s="78">
        <f>INDEX(Parameter!$B$10:$AB$10,MATCH(C496,Parameter!$B$9:$AB$9,0))</f>
        <v>3</v>
      </c>
      <c r="H496" s="78">
        <f ca="1">INDEX(OFFSET(Data!$CS$1:$DS$1,B496-1,0),MATCH("Total/"&amp;C496,Data!$CS$1:$DS$1,0))</f>
        <v>0</v>
      </c>
      <c r="I496" s="78" t="str">
        <f ca="1">IF(H496=1,INDEX(Parameter!$B$10:$AB$10,MATCH(C496,Parameter!$B$9:$AB$9,0))+5,"")</f>
        <v/>
      </c>
      <c r="J496" s="78" t="str">
        <f t="array" aca="1" ref="J496" ca="1">IF(H496=1,MATCH(1,(OFFSET(Data!$DY$1:$IB$1,B496-1,0))*(Data!$DY$90:$IB$90=C496),0),"")</f>
        <v/>
      </c>
      <c r="K496" s="78" t="str">
        <f t="array" aca="1" ref="K496" ca="1">IF(H496=1,MATCH(I496,OFFSET(Data!$DX$91:$DX$190,0,Specials!J496)*(Data!$AM$91:$AM$190&gt;Parameter!$B$32)*(Data!$DW$91:$DW$190="M"),0),"")</f>
        <v/>
      </c>
      <c r="L496" s="78" t="str">
        <f ca="1">IF(H496=1,INDEX(Data!$DT$91:$DT$190,$K496)&amp;" / "&amp;OFFSET(Data!$DX$89,0,Specials!J496),"")</f>
        <v/>
      </c>
      <c r="M496" s="78" t="s">
        <v>1</v>
      </c>
      <c r="N496" s="78" t="s">
        <v>255</v>
      </c>
      <c r="O496" s="78" t="e">
        <f t="shared" ca="1" si="36"/>
        <v>#VALUE!</v>
      </c>
      <c r="P496" s="78" t="str">
        <f t="shared" ca="1" si="37"/>
        <v/>
      </c>
    </row>
    <row r="497" spans="1:16" s="78" customFormat="1" hidden="1" x14ac:dyDescent="0.25">
      <c r="A497" s="317" t="str">
        <f>"# Oh dear Men Rating &gt; "&amp;Parameter!$B$32</f>
        <v># Oh dear Men Rating &gt; 850</v>
      </c>
      <c r="B497" s="297">
        <f>MATCH(A497,Data!$DT:$DT,0)</f>
        <v>17</v>
      </c>
      <c r="C497" s="78">
        <f>INDEX(Parameter!$9:$9,,MATCH(16,Parameter!$8:$8,0))</f>
        <v>15</v>
      </c>
      <c r="D497" s="78">
        <f>INDEX(Parameter!$B$10:$AB$10,MATCH(C497,Parameter!$B$9:$AB$9,0))</f>
        <v>3</v>
      </c>
      <c r="H497" s="78">
        <f ca="1">INDEX(OFFSET(Data!$CS$1:$DS$1,B497-1,0),MATCH("Total/"&amp;C497,Data!$CS$1:$DS$1,0))</f>
        <v>0</v>
      </c>
      <c r="I497" s="78" t="str">
        <f ca="1">IF(H497=1,INDEX(Parameter!$B$10:$AB$10,MATCH(C497,Parameter!$B$9:$AB$9,0))+5,"")</f>
        <v/>
      </c>
      <c r="J497" s="78" t="str">
        <f t="array" aca="1" ref="J497" ca="1">IF(H497=1,MATCH(1,(OFFSET(Data!$DY$1:$IB$1,B497-1,0))*(Data!$DY$90:$IB$90=C497),0),"")</f>
        <v/>
      </c>
      <c r="K497" s="78" t="str">
        <f t="array" aca="1" ref="K497" ca="1">IF(H497=1,MATCH(I497,OFFSET(Data!$DX$91:$DX$190,0,Specials!J497)*(Data!$AM$91:$AM$190&gt;Parameter!$B$32)*(Data!$DW$91:$DW$190="M"),0),"")</f>
        <v/>
      </c>
      <c r="L497" s="78" t="str">
        <f ca="1">IF(H497=1,INDEX(Data!$DT$91:$DT$190,$K497)&amp;" / "&amp;OFFSET(Data!$DX$89,0,Specials!J497),"")</f>
        <v/>
      </c>
      <c r="M497" s="78" t="s">
        <v>1</v>
      </c>
      <c r="N497" s="78" t="s">
        <v>255</v>
      </c>
      <c r="O497" s="78" t="e">
        <f t="shared" ca="1" si="36"/>
        <v>#VALUE!</v>
      </c>
      <c r="P497" s="78" t="str">
        <f t="shared" ca="1" si="37"/>
        <v/>
      </c>
    </row>
    <row r="498" spans="1:16" s="78" customFormat="1" hidden="1" x14ac:dyDescent="0.25">
      <c r="A498" s="317" t="str">
        <f>"# Oh dear Men Rating &gt; "&amp;Parameter!$B$32</f>
        <v># Oh dear Men Rating &gt; 850</v>
      </c>
      <c r="B498" s="297">
        <f>MATCH(A498,Data!$DT:$DT,0)</f>
        <v>17</v>
      </c>
      <c r="C498" s="78">
        <f>INDEX(Parameter!$9:$9,,MATCH(17,Parameter!$8:$8,0))</f>
        <v>16</v>
      </c>
      <c r="D498" s="78">
        <f>INDEX(Parameter!$B$10:$AB$10,MATCH(C498,Parameter!$B$9:$AB$9,0))</f>
        <v>3</v>
      </c>
      <c r="H498" s="78">
        <f ca="1">INDEX(OFFSET(Data!$CS$1:$DS$1,B498-1,0),MATCH("Total/"&amp;C498,Data!$CS$1:$DS$1,0))</f>
        <v>0</v>
      </c>
      <c r="I498" s="78" t="str">
        <f ca="1">IF(H498=1,INDEX(Parameter!$B$10:$AB$10,MATCH(C498,Parameter!$B$9:$AB$9,0))+5,"")</f>
        <v/>
      </c>
      <c r="J498" s="78" t="str">
        <f t="array" aca="1" ref="J498" ca="1">IF(H498=1,MATCH(1,(OFFSET(Data!$DY$1:$IB$1,B498-1,0))*(Data!$DY$90:$IB$90=C498),0),"")</f>
        <v/>
      </c>
      <c r="K498" s="78" t="str">
        <f t="array" aca="1" ref="K498" ca="1">IF(H498=1,MATCH(I498,OFFSET(Data!$DX$91:$DX$190,0,Specials!J498)*(Data!$AM$91:$AM$190&gt;Parameter!$B$32)*(Data!$DW$91:$DW$190="M"),0),"")</f>
        <v/>
      </c>
      <c r="L498" s="78" t="str">
        <f ca="1">IF(H498=1,INDEX(Data!$DT$91:$DT$190,$K498)&amp;" / "&amp;OFFSET(Data!$DX$89,0,Specials!J498),"")</f>
        <v/>
      </c>
      <c r="M498" s="78" t="s">
        <v>1</v>
      </c>
      <c r="N498" s="78" t="s">
        <v>255</v>
      </c>
      <c r="O498" s="78" t="e">
        <f t="shared" ca="1" si="36"/>
        <v>#VALUE!</v>
      </c>
      <c r="P498" s="78" t="str">
        <f t="shared" ca="1" si="37"/>
        <v/>
      </c>
    </row>
    <row r="499" spans="1:16" s="78" customFormat="1" hidden="1" x14ac:dyDescent="0.25">
      <c r="A499" s="317" t="str">
        <f>"# Oh dear Men Rating &gt; "&amp;Parameter!$B$32</f>
        <v># Oh dear Men Rating &gt; 850</v>
      </c>
      <c r="B499" s="297">
        <f>MATCH(A499,Data!$DT:$DT,0)</f>
        <v>17</v>
      </c>
      <c r="C499" s="78">
        <f>INDEX(Parameter!$9:$9,,MATCH(18,Parameter!$8:$8,0))</f>
        <v>17</v>
      </c>
      <c r="D499" s="78">
        <f>INDEX(Parameter!$B$10:$AB$10,MATCH(C499,Parameter!$B$9:$AB$9,0))</f>
        <v>3</v>
      </c>
      <c r="H499" s="78">
        <f ca="1">INDEX(OFFSET(Data!$CS$1:$DS$1,B499-1,0),MATCH("Total/"&amp;C499,Data!$CS$1:$DS$1,0))</f>
        <v>0</v>
      </c>
      <c r="I499" s="78" t="str">
        <f ca="1">IF(H499=1,INDEX(Parameter!$B$10:$AB$10,MATCH(C499,Parameter!$B$9:$AB$9,0))+5,"")</f>
        <v/>
      </c>
      <c r="J499" s="78" t="str">
        <f t="array" aca="1" ref="J499" ca="1">IF(H499=1,MATCH(1,(OFFSET(Data!$DY$1:$IB$1,B499-1,0))*(Data!$DY$90:$IB$90=C499),0),"")</f>
        <v/>
      </c>
      <c r="K499" s="78" t="str">
        <f t="array" aca="1" ref="K499" ca="1">IF(H499=1,MATCH(I499,OFFSET(Data!$DX$91:$DX$190,0,Specials!J499)*(Data!$AM$91:$AM$190&gt;Parameter!$B$32)*(Data!$DW$91:$DW$190="M"),0),"")</f>
        <v/>
      </c>
      <c r="L499" s="78" t="str">
        <f ca="1">IF(H499=1,INDEX(Data!$DT$91:$DT$190,$K499)&amp;" / "&amp;OFFSET(Data!$DX$89,0,Specials!J499),"")</f>
        <v/>
      </c>
      <c r="M499" s="78" t="s">
        <v>1</v>
      </c>
      <c r="N499" s="78" t="s">
        <v>255</v>
      </c>
      <c r="O499" s="78" t="e">
        <f t="shared" ca="1" si="36"/>
        <v>#VALUE!</v>
      </c>
      <c r="P499" s="78" t="str">
        <f t="shared" ca="1" si="37"/>
        <v/>
      </c>
    </row>
    <row r="500" spans="1:16" s="78" customFormat="1" hidden="1" x14ac:dyDescent="0.25">
      <c r="A500" s="317" t="str">
        <f>"# Oh dear Men Rating &gt; "&amp;Parameter!$B$32</f>
        <v># Oh dear Men Rating &gt; 850</v>
      </c>
      <c r="B500" s="297">
        <f>MATCH(A500,Data!$DT:$DT,0)</f>
        <v>17</v>
      </c>
      <c r="C500" s="78">
        <f>INDEX(Parameter!$9:$9,,MATCH(19,Parameter!$8:$8,0))</f>
        <v>18</v>
      </c>
      <c r="D500" s="78">
        <f>INDEX(Parameter!$B$10:$AB$10,MATCH(C500,Parameter!$B$9:$AB$9,0))</f>
        <v>3</v>
      </c>
      <c r="H500" s="78">
        <f ca="1">INDEX(OFFSET(Data!$CS$1:$DS$1,B500-1,0),MATCH("Total/"&amp;C500,Data!$CS$1:$DS$1,0))</f>
        <v>0</v>
      </c>
      <c r="I500" s="78" t="str">
        <f ca="1">IF(H500=1,INDEX(Parameter!$B$10:$AB$10,MATCH(C500,Parameter!$B$9:$AB$9,0))+5,"")</f>
        <v/>
      </c>
      <c r="J500" s="78" t="str">
        <f t="array" aca="1" ref="J500" ca="1">IF(H500=1,MATCH(1,(OFFSET(Data!$DY$1:$IB$1,B500-1,0))*(Data!$DY$90:$IB$90=C500),0),"")</f>
        <v/>
      </c>
      <c r="K500" s="78" t="str">
        <f t="array" aca="1" ref="K500" ca="1">IF(H500=1,MATCH(I500,OFFSET(Data!$DX$91:$DX$190,0,Specials!J500)*(Data!$AM$91:$AM$190&gt;Parameter!$B$32)*(Data!$DW$91:$DW$190="M"),0),"")</f>
        <v/>
      </c>
      <c r="L500" s="78" t="str">
        <f ca="1">IF(H500=1,INDEX(Data!$DT$91:$DT$190,$K500)&amp;" / "&amp;OFFSET(Data!$DX$89,0,Specials!J500),"")</f>
        <v/>
      </c>
      <c r="M500" s="78" t="s">
        <v>1</v>
      </c>
      <c r="N500" s="78" t="s">
        <v>255</v>
      </c>
      <c r="O500" s="78" t="e">
        <f t="shared" ca="1" si="36"/>
        <v>#VALUE!</v>
      </c>
      <c r="P500" s="78" t="str">
        <f t="shared" ca="1" si="37"/>
        <v/>
      </c>
    </row>
    <row r="501" spans="1:16" s="78" customFormat="1" hidden="1" x14ac:dyDescent="0.25">
      <c r="A501" s="317" t="str">
        <f>"# Oh dear Men Rating &gt; "&amp;Parameter!$B$32</f>
        <v># Oh dear Men Rating &gt; 850</v>
      </c>
      <c r="B501" s="297">
        <f>MATCH(A501,Data!$DT:$DT,0)</f>
        <v>17</v>
      </c>
      <c r="C501" s="78">
        <f>INDEX(Parameter!$9:$9,,MATCH(20,Parameter!$8:$8,0))</f>
        <v>20</v>
      </c>
      <c r="D501" s="78" t="str">
        <f>INDEX(Parameter!$B$10:$AB$10,MATCH(C501,Parameter!$B$9:$AB$9,0))</f>
        <v>no</v>
      </c>
      <c r="H501" s="78">
        <f ca="1">INDEX(OFFSET(Data!$CS$1:$DS$1,B501-1,0),MATCH("Total/"&amp;C501,Data!$CS$1:$DS$1,0))</f>
        <v>0</v>
      </c>
      <c r="I501" s="78" t="str">
        <f ca="1">IF(H501=1,INDEX(Parameter!$B$10:$AB$10,MATCH(C501,Parameter!$B$9:$AB$9,0))+5,"")</f>
        <v/>
      </c>
      <c r="J501" s="78" t="str">
        <f t="array" aca="1" ref="J501" ca="1">IF(H501=1,MATCH(1,(OFFSET(Data!$DY$1:$IB$1,B501-1,0))*(Data!$DY$90:$IB$90=C501),0),"")</f>
        <v/>
      </c>
      <c r="K501" s="78" t="str">
        <f t="array" aca="1" ref="K501" ca="1">IF(H501=1,MATCH(I501,OFFSET(Data!$DX$91:$DX$190,0,Specials!J501)*(Data!$AM$91:$AM$190&gt;Parameter!$B$32)*(Data!$DW$91:$DW$190="M"),0),"")</f>
        <v/>
      </c>
      <c r="L501" s="78" t="str">
        <f ca="1">IF(H501=1,INDEX(Data!$DT$91:$DT$190,$K501)&amp;" / "&amp;OFFSET(Data!$DX$89,0,Specials!J501),"")</f>
        <v/>
      </c>
      <c r="M501" s="78" t="s">
        <v>1</v>
      </c>
      <c r="N501" s="78" t="s">
        <v>255</v>
      </c>
      <c r="O501" s="78" t="e">
        <f t="shared" ca="1" si="36"/>
        <v>#VALUE!</v>
      </c>
      <c r="P501" s="78" t="str">
        <f t="shared" ca="1" si="37"/>
        <v/>
      </c>
    </row>
    <row r="502" spans="1:16" s="78" customFormat="1" hidden="1" x14ac:dyDescent="0.25">
      <c r="A502" s="317" t="str">
        <f>"# Oh dear Men Rating &gt; "&amp;Parameter!$B$32</f>
        <v># Oh dear Men Rating &gt; 850</v>
      </c>
      <c r="B502" s="297">
        <f>MATCH(A502,Data!$DT:$DT,0)</f>
        <v>17</v>
      </c>
      <c r="C502" s="78">
        <f>INDEX(Parameter!$9:$9,,MATCH(21,Parameter!$8:$8,0))</f>
        <v>21</v>
      </c>
      <c r="D502" s="78" t="str">
        <f>INDEX(Parameter!$B$10:$AB$10,MATCH(C502,Parameter!$B$9:$AB$9,0))</f>
        <v>no</v>
      </c>
      <c r="H502" s="78">
        <f ca="1">INDEX(OFFSET(Data!$CS$1:$DS$1,B502-1,0),MATCH("Total/"&amp;C502,Data!$CS$1:$DS$1,0))</f>
        <v>0</v>
      </c>
      <c r="I502" s="78" t="str">
        <f ca="1">IF(H502=1,INDEX(Parameter!$B$10:$AB$10,MATCH(C502,Parameter!$B$9:$AB$9,0))+5,"")</f>
        <v/>
      </c>
      <c r="J502" s="78" t="str">
        <f t="array" aca="1" ref="J502" ca="1">IF(H502=1,MATCH(1,(OFFSET(Data!$DY$1:$IB$1,B502-1,0))*(Data!$DY$90:$IB$90=C502),0),"")</f>
        <v/>
      </c>
      <c r="K502" s="78" t="str">
        <f t="array" aca="1" ref="K502" ca="1">IF(H502=1,MATCH(I502,OFFSET(Data!$DX$91:$DX$190,0,Specials!J502)*(Data!$AM$91:$AM$190&gt;Parameter!$B$32)*(Data!$DW$91:$DW$190="M"),0),"")</f>
        <v/>
      </c>
      <c r="L502" s="78" t="str">
        <f ca="1">IF(H502=1,INDEX(Data!$DT$91:$DT$190,$K502)&amp;" / "&amp;OFFSET(Data!$DX$89,0,Specials!J502),"")</f>
        <v/>
      </c>
      <c r="M502" s="78" t="s">
        <v>1</v>
      </c>
      <c r="N502" s="78" t="s">
        <v>255</v>
      </c>
      <c r="O502" s="78" t="e">
        <f t="shared" ca="1" si="36"/>
        <v>#VALUE!</v>
      </c>
      <c r="P502" s="78" t="str">
        <f t="shared" ca="1" si="37"/>
        <v/>
      </c>
    </row>
    <row r="503" spans="1:16" s="78" customFormat="1" hidden="1" x14ac:dyDescent="0.25">
      <c r="A503" s="317" t="str">
        <f>"# Oh dear Men Rating &gt; "&amp;Parameter!$B$32</f>
        <v># Oh dear Men Rating &gt; 850</v>
      </c>
      <c r="B503" s="297">
        <f>MATCH(A503,Data!$DT:$DT,0)</f>
        <v>17</v>
      </c>
      <c r="C503" s="78">
        <f>INDEX(Parameter!$9:$9,,MATCH(22,Parameter!$8:$8,0))</f>
        <v>22</v>
      </c>
      <c r="D503" s="78" t="str">
        <f>INDEX(Parameter!$B$10:$AB$10,MATCH(C503,Parameter!$B$9:$AB$9,0))</f>
        <v>no</v>
      </c>
      <c r="H503" s="78">
        <f ca="1">INDEX(OFFSET(Data!$CS$1:$DS$1,B503-1,0),MATCH("Total/"&amp;C503,Data!$CS$1:$DS$1,0))</f>
        <v>0</v>
      </c>
      <c r="I503" s="78" t="str">
        <f ca="1">IF(H503=1,INDEX(Parameter!$B$10:$AB$10,MATCH(C503,Parameter!$B$9:$AB$9,0))+5,"")</f>
        <v/>
      </c>
      <c r="J503" s="78" t="str">
        <f t="array" aca="1" ref="J503" ca="1">IF(H503=1,MATCH(1,(OFFSET(Data!$DY$1:$IB$1,B503-1,0))*(Data!$DY$90:$IB$90=C503),0),"")</f>
        <v/>
      </c>
      <c r="K503" s="78" t="str">
        <f t="array" aca="1" ref="K503" ca="1">IF(H503=1,MATCH(I503,OFFSET(Data!$DX$91:$DX$190,0,Specials!J503)*(Data!$AM$91:$AM$190&gt;Parameter!$B$32)*(Data!$DW$91:$DW$190="M"),0),"")</f>
        <v/>
      </c>
      <c r="L503" s="78" t="str">
        <f ca="1">IF(H503=1,INDEX(Data!$DT$91:$DT$190,$K503)&amp;" / "&amp;OFFSET(Data!$DX$89,0,Specials!J503),"")</f>
        <v/>
      </c>
      <c r="M503" s="78" t="s">
        <v>1</v>
      </c>
      <c r="N503" s="78" t="s">
        <v>255</v>
      </c>
      <c r="O503" s="78" t="e">
        <f t="shared" ca="1" si="36"/>
        <v>#VALUE!</v>
      </c>
      <c r="P503" s="78" t="str">
        <f t="shared" ca="1" si="37"/>
        <v/>
      </c>
    </row>
    <row r="504" spans="1:16" s="78" customFormat="1" hidden="1" x14ac:dyDescent="0.25">
      <c r="A504" s="317" t="str">
        <f>"# Oh dear Men Rating &gt; "&amp;Parameter!$B$32</f>
        <v># Oh dear Men Rating &gt; 850</v>
      </c>
      <c r="B504" s="297">
        <f>MATCH(A504,Data!$DT:$DT,0)</f>
        <v>17</v>
      </c>
      <c r="C504" s="78">
        <f>INDEX(Parameter!$9:$9,,MATCH(23,Parameter!$8:$8,0))</f>
        <v>23</v>
      </c>
      <c r="D504" s="78" t="str">
        <f>INDEX(Parameter!$B$10:$AB$10,MATCH(C504,Parameter!$B$9:$AB$9,0))</f>
        <v>no</v>
      </c>
      <c r="H504" s="78">
        <f ca="1">INDEX(OFFSET(Data!$CS$1:$DS$1,B504-1,0),MATCH("Total/"&amp;C504,Data!$CS$1:$DS$1,0))</f>
        <v>0</v>
      </c>
      <c r="I504" s="78" t="str">
        <f ca="1">IF(H504=1,INDEX(Parameter!$B$10:$AB$10,MATCH(C504,Parameter!$B$9:$AB$9,0))+5,"")</f>
        <v/>
      </c>
      <c r="J504" s="78" t="str">
        <f t="array" aca="1" ref="J504" ca="1">IF(H504=1,MATCH(1,(OFFSET(Data!$DY$1:$IB$1,B504-1,0))*(Data!$DY$90:$IB$90=C504),0),"")</f>
        <v/>
      </c>
      <c r="K504" s="78" t="str">
        <f t="array" aca="1" ref="K504" ca="1">IF(H504=1,MATCH(I504,OFFSET(Data!$DX$91:$DX$190,0,Specials!J504)*(Data!$AM$91:$AM$190&gt;Parameter!$B$32)*(Data!$DW$91:$DW$190="M"),0),"")</f>
        <v/>
      </c>
      <c r="L504" s="78" t="str">
        <f ca="1">IF(H504=1,INDEX(Data!$DT$91:$DT$190,$K504)&amp;" / "&amp;OFFSET(Data!$DX$89,0,Specials!J504),"")</f>
        <v/>
      </c>
      <c r="M504" s="78" t="s">
        <v>1</v>
      </c>
      <c r="N504" s="78" t="s">
        <v>255</v>
      </c>
      <c r="O504" s="78" t="e">
        <f t="shared" ca="1" si="36"/>
        <v>#VALUE!</v>
      </c>
      <c r="P504" s="78" t="str">
        <f t="shared" ca="1" si="37"/>
        <v/>
      </c>
    </row>
    <row r="505" spans="1:16" s="78" customFormat="1" hidden="1" x14ac:dyDescent="0.25">
      <c r="A505" s="317" t="str">
        <f>"# Oh dear Men Rating &gt; "&amp;Parameter!$B$32</f>
        <v># Oh dear Men Rating &gt; 850</v>
      </c>
      <c r="B505" s="297">
        <f>MATCH(A505,Data!$DT:$DT,0)</f>
        <v>17</v>
      </c>
      <c r="C505" s="78">
        <f>INDEX(Parameter!$9:$9,,MATCH(24,Parameter!$8:$8,0))</f>
        <v>24</v>
      </c>
      <c r="D505" s="78" t="str">
        <f>INDEX(Parameter!$B$10:$AB$10,MATCH(C505,Parameter!$B$9:$AB$9,0))</f>
        <v>no</v>
      </c>
      <c r="H505" s="78">
        <f ca="1">INDEX(OFFSET(Data!$CS$1:$DS$1,B505-1,0),MATCH("Total/"&amp;C505,Data!$CS$1:$DS$1,0))</f>
        <v>0</v>
      </c>
      <c r="I505" s="78" t="str">
        <f ca="1">IF(H505=1,INDEX(Parameter!$B$10:$AB$10,MATCH(C505,Parameter!$B$9:$AB$9,0))+5,"")</f>
        <v/>
      </c>
      <c r="J505" s="78" t="str">
        <f t="array" aca="1" ref="J505" ca="1">IF(H505=1,MATCH(1,(OFFSET(Data!$DY$1:$IB$1,B505-1,0))*(Data!$DY$90:$IB$90=C505),0),"")</f>
        <v/>
      </c>
      <c r="K505" s="78" t="str">
        <f t="array" aca="1" ref="K505" ca="1">IF(H505=1,MATCH(I505,OFFSET(Data!$DX$91:$DX$190,0,Specials!J505)*(Data!$AM$91:$AM$190&gt;Parameter!$B$32)*(Data!$DW$91:$DW$190="M"),0),"")</f>
        <v/>
      </c>
      <c r="L505" s="78" t="str">
        <f ca="1">IF(H505=1,INDEX(Data!$DT$91:$DT$190,$K505)&amp;" / "&amp;OFFSET(Data!$DX$89,0,Specials!J505),"")</f>
        <v/>
      </c>
      <c r="M505" s="78" t="s">
        <v>1</v>
      </c>
      <c r="N505" s="78" t="s">
        <v>255</v>
      </c>
      <c r="O505" s="78" t="e">
        <f t="shared" ca="1" si="36"/>
        <v>#VALUE!</v>
      </c>
      <c r="P505" s="78" t="str">
        <f t="shared" ca="1" si="37"/>
        <v/>
      </c>
    </row>
    <row r="506" spans="1:16" s="78" customFormat="1" hidden="1" x14ac:dyDescent="0.25">
      <c r="A506" s="317" t="str">
        <f>"# Oh dear Men Rating &gt; "&amp;Parameter!$B$32</f>
        <v># Oh dear Men Rating &gt; 850</v>
      </c>
      <c r="B506" s="297">
        <f>MATCH(A506,Data!$DT:$DT,0)</f>
        <v>17</v>
      </c>
      <c r="C506" s="78">
        <f>INDEX(Parameter!$9:$9,,MATCH(25,Parameter!$8:$8,0))</f>
        <v>25</v>
      </c>
      <c r="D506" s="78" t="str">
        <f>INDEX(Parameter!$B$10:$AB$10,MATCH(C506,Parameter!$B$9:$AB$9,0))</f>
        <v>no</v>
      </c>
      <c r="H506" s="78">
        <f ca="1">INDEX(OFFSET(Data!$CS$1:$DS$1,B506-1,0),MATCH("Total/"&amp;C506,Data!$CS$1:$DS$1,0))</f>
        <v>0</v>
      </c>
      <c r="I506" s="78" t="str">
        <f ca="1">IF(H506=1,INDEX(Parameter!$B$10:$AB$10,MATCH(C506,Parameter!$B$9:$AB$9,0))+5,"")</f>
        <v/>
      </c>
      <c r="J506" s="78" t="str">
        <f t="array" aca="1" ref="J506" ca="1">IF(H506=1,MATCH(1,(OFFSET(Data!$DY$1:$IB$1,B506-1,0))*(Data!$DY$90:$IB$90=C506),0),"")</f>
        <v/>
      </c>
      <c r="K506" s="78" t="str">
        <f t="array" aca="1" ref="K506" ca="1">IF(H506=1,MATCH(I506,OFFSET(Data!$DX$91:$DX$190,0,Specials!J506)*(Data!$AM$91:$AM$190&gt;Parameter!$B$32)*(Data!$DW$91:$DW$190="M"),0),"")</f>
        <v/>
      </c>
      <c r="L506" s="78" t="str">
        <f ca="1">IF(H506=1,INDEX(Data!$DT$91:$DT$190,$K506)&amp;" / "&amp;OFFSET(Data!$DX$89,0,Specials!J506),"")</f>
        <v/>
      </c>
      <c r="M506" s="78" t="s">
        <v>1</v>
      </c>
      <c r="N506" s="78" t="s">
        <v>255</v>
      </c>
      <c r="O506" s="78" t="e">
        <f t="shared" ca="1" si="36"/>
        <v>#VALUE!</v>
      </c>
      <c r="P506" s="78" t="str">
        <f t="shared" ca="1" si="37"/>
        <v/>
      </c>
    </row>
    <row r="507" spans="1:16" s="78" customFormat="1" hidden="1" x14ac:dyDescent="0.25">
      <c r="A507" s="317" t="str">
        <f>"# Oh dear Men Rating &gt; "&amp;Parameter!$B$32</f>
        <v># Oh dear Men Rating &gt; 850</v>
      </c>
      <c r="B507" s="297">
        <f>MATCH(A507,Data!$DT:$DT,0)</f>
        <v>17</v>
      </c>
      <c r="C507" s="78">
        <f>INDEX(Parameter!$9:$9,,MATCH(26,Parameter!$8:$8,0))</f>
        <v>26</v>
      </c>
      <c r="D507" s="78" t="str">
        <f>INDEX(Parameter!$B$10:$AB$10,MATCH(C507,Parameter!$B$9:$AB$9,0))</f>
        <v>no</v>
      </c>
      <c r="H507" s="78">
        <f ca="1">INDEX(OFFSET(Data!$CS$1:$DS$1,B507-1,0),MATCH("Total/"&amp;C507,Data!$CS$1:$DS$1,0))</f>
        <v>0</v>
      </c>
      <c r="I507" s="78" t="str">
        <f ca="1">IF(H507=1,INDEX(Parameter!$B$10:$AB$10,MATCH(C507,Parameter!$B$9:$AB$9,0))+5,"")</f>
        <v/>
      </c>
      <c r="J507" s="78" t="str">
        <f t="array" aca="1" ref="J507" ca="1">IF(H507=1,MATCH(1,(OFFSET(Data!$DY$1:$IB$1,B507-1,0))*(Data!$DY$90:$IB$90=C507),0),"")</f>
        <v/>
      </c>
      <c r="K507" s="78" t="str">
        <f t="array" aca="1" ref="K507" ca="1">IF(H507=1,MATCH(I507,OFFSET(Data!$DX$91:$DX$190,0,Specials!J507)*(Data!$AM$91:$AM$190&gt;Parameter!$B$32)*(Data!$DW$91:$DW$190="M"),0),"")</f>
        <v/>
      </c>
      <c r="L507" s="78" t="str">
        <f ca="1">IF(H507=1,INDEX(Data!$DT$91:$DT$190,$K507)&amp;" / "&amp;OFFSET(Data!$DX$89,0,Specials!J507),"")</f>
        <v/>
      </c>
      <c r="M507" s="78" t="s">
        <v>1</v>
      </c>
      <c r="N507" s="78" t="s">
        <v>255</v>
      </c>
      <c r="O507" s="78" t="e">
        <f t="shared" ca="1" si="36"/>
        <v>#VALUE!</v>
      </c>
      <c r="P507" s="78" t="str">
        <f t="shared" ca="1" si="37"/>
        <v/>
      </c>
    </row>
    <row r="508" spans="1:16" s="78" customFormat="1" hidden="1" x14ac:dyDescent="0.25">
      <c r="A508" s="317" t="str">
        <f>"# Oh dear Men Rating &gt; "&amp;Parameter!$B$32</f>
        <v># Oh dear Men Rating &gt; 850</v>
      </c>
      <c r="B508" s="297">
        <f>MATCH(A508,Data!$DT:$DT,0)</f>
        <v>17</v>
      </c>
      <c r="C508" s="78">
        <f>INDEX(Parameter!$9:$9,,MATCH(27,Parameter!$8:$8,0))</f>
        <v>27</v>
      </c>
      <c r="D508" s="78" t="str">
        <f>INDEX(Parameter!$B$10:$AB$10,MATCH(C508,Parameter!$B$9:$AB$9,0))</f>
        <v>no</v>
      </c>
      <c r="H508" s="78">
        <f ca="1">INDEX(OFFSET(Data!$CS$1:$DS$1,B508-1,0),MATCH("Total/"&amp;C508,Data!$CS$1:$DS$1,0))</f>
        <v>0</v>
      </c>
      <c r="I508" s="78" t="str">
        <f ca="1">IF(H508=1,INDEX(Parameter!$B$10:$AB$10,MATCH(C508,Parameter!$B$9:$AB$9,0))+5,"")</f>
        <v/>
      </c>
      <c r="J508" s="78" t="str">
        <f t="array" aca="1" ref="J508" ca="1">IF(H508=1,MATCH(1,(OFFSET(Data!$DY$1:$IB$1,B508-1,0))*(Data!$DY$90:$IB$90=C508),0),"")</f>
        <v/>
      </c>
      <c r="K508" s="78" t="str">
        <f t="array" aca="1" ref="K508" ca="1">IF(H508=1,MATCH(I508,OFFSET(Data!$DX$91:$DX$190,0,Specials!J508)*(Data!$AM$91:$AM$190&gt;Parameter!$B$32)*(Data!$DW$91:$DW$190="M"),0),"")</f>
        <v/>
      </c>
      <c r="L508" s="78" t="str">
        <f ca="1">IF(H508=1,INDEX(Data!$DT$91:$DT$190,$K508)&amp;" / "&amp;OFFSET(Data!$DX$89,0,Specials!J508),"")</f>
        <v/>
      </c>
      <c r="M508" s="78" t="s">
        <v>1</v>
      </c>
      <c r="N508" s="78" t="s">
        <v>255</v>
      </c>
      <c r="O508" s="78" t="e">
        <f t="shared" ca="1" si="36"/>
        <v>#VALUE!</v>
      </c>
      <c r="P508" s="78" t="str">
        <f t="shared" ca="1" si="37"/>
        <v/>
      </c>
    </row>
    <row r="509" spans="1:16" s="78" customFormat="1" ht="15" hidden="1" customHeight="1" x14ac:dyDescent="0.25">
      <c r="A509" s="317" t="str">
        <f>"# Oh dear Men Rating &gt; "&amp;Parameter!$B$32</f>
        <v># Oh dear Men Rating &gt; 850</v>
      </c>
      <c r="B509" s="297">
        <f>MATCH(A509,Data!$DT:$DT,0)</f>
        <v>17</v>
      </c>
      <c r="C509" s="78">
        <f>INDEX(Parameter!$9:$9,,MATCH(1,Parameter!$8:$8,0))</f>
        <v>1</v>
      </c>
      <c r="D509" s="78">
        <f>INDEX(Parameter!$B$10:$AB$10,MATCH(C509,Parameter!$B$9:$AB$9,0))</f>
        <v>3</v>
      </c>
      <c r="H509" s="78">
        <f ca="1">INDEX(OFFSET(Data!$CS$1:$DS$1,B509-1,0),MATCH("Total/"&amp;C509,Data!$CS$1:$DS$1,0))</f>
        <v>0</v>
      </c>
      <c r="I509" s="78" t="str">
        <f ca="1">IF(H509=1,INDEX(Parameter!$B$10:$AB$10,MATCH(C509,Parameter!$B$9:$AB$9,0))+6,"")</f>
        <v/>
      </c>
      <c r="J509" s="78" t="str">
        <f t="array" aca="1" ref="J509" ca="1">IF(H509=1,MATCH(1,(OFFSET(Data!$DY$1:$IB$1,B509-1,0))*(Data!$DY$90:$IB$90=C509),0),"")</f>
        <v/>
      </c>
      <c r="K509" s="78" t="str">
        <f t="array" aca="1" ref="K509" ca="1">IF(H509=1,MATCH(I509,OFFSET(Data!$DX$91:$DX$190,0,Specials!J509)*(Data!$AM$91:$AM$190&gt;Parameter!$B$32)*(Data!$DW$91:$DW$190="M"),0),"")</f>
        <v/>
      </c>
      <c r="L509" s="78" t="str">
        <f ca="1">IF(H509=1,INDEX(Data!$DT$91:$DT$190,$K509)&amp;" / "&amp;OFFSET(Data!$DX$89,0,Specials!J509),"")</f>
        <v/>
      </c>
      <c r="M509" s="78" t="s">
        <v>1</v>
      </c>
      <c r="N509" s="78" t="s">
        <v>255</v>
      </c>
      <c r="O509" s="78" t="e">
        <f t="shared" ca="1" si="36"/>
        <v>#VALUE!</v>
      </c>
      <c r="P509" s="78" t="str">
        <f t="shared" ca="1" si="37"/>
        <v/>
      </c>
    </row>
    <row r="510" spans="1:16" s="78" customFormat="1" hidden="1" x14ac:dyDescent="0.25">
      <c r="A510" s="317" t="str">
        <f>"# Oh dear Men Rating &gt; "&amp;Parameter!$B$32</f>
        <v># Oh dear Men Rating &gt; 850</v>
      </c>
      <c r="B510" s="297">
        <f>MATCH(A510,Data!$DT:$DT,0)</f>
        <v>17</v>
      </c>
      <c r="C510" s="78">
        <f>INDEX(Parameter!$9:$9,,MATCH(2,Parameter!$8:$8,0))</f>
        <v>2</v>
      </c>
      <c r="D510" s="78">
        <f>INDEX(Parameter!$B$10:$AB$10,MATCH(C510,Parameter!$B$9:$AB$9,0))</f>
        <v>3</v>
      </c>
      <c r="H510" s="78">
        <f ca="1">INDEX(OFFSET(Data!$CS$1:$DS$1,B510-1,0),MATCH("Total/"&amp;C510,Data!$CS$1:$DS$1,0))</f>
        <v>0</v>
      </c>
      <c r="I510" s="78" t="str">
        <f ca="1">IF(H510=1,INDEX(Parameter!$B$10:$AB$10,MATCH(C510,Parameter!$B$9:$AB$9,0))+6,"")</f>
        <v/>
      </c>
      <c r="J510" s="78" t="str">
        <f t="array" aca="1" ref="J510" ca="1">IF(H510=1,MATCH(1,(OFFSET(Data!$DY$1:$IB$1,B510-1,0))*(Data!$DY$90:$IB$90=C510),0),"")</f>
        <v/>
      </c>
      <c r="K510" s="78" t="str">
        <f t="array" aca="1" ref="K510" ca="1">IF(H510=1,MATCH(I510,OFFSET(Data!$DX$91:$DX$190,0,Specials!J510)*(Data!$AM$91:$AM$190&gt;Parameter!$B$32)*(Data!$DW$91:$DW$190="M"),0),"")</f>
        <v/>
      </c>
      <c r="L510" s="78" t="str">
        <f ca="1">IF(H510=1,INDEX(Data!$DT$91:$DT$190,$K510)&amp;" / "&amp;OFFSET(Data!$DX$89,0,Specials!J510),"")</f>
        <v/>
      </c>
      <c r="M510" s="78" t="s">
        <v>1</v>
      </c>
      <c r="N510" s="78" t="s">
        <v>255</v>
      </c>
      <c r="O510" s="78" t="e">
        <f t="shared" ca="1" si="36"/>
        <v>#VALUE!</v>
      </c>
      <c r="P510" s="78" t="str">
        <f t="shared" ca="1" si="37"/>
        <v/>
      </c>
    </row>
    <row r="511" spans="1:16" s="78" customFormat="1" hidden="1" x14ac:dyDescent="0.25">
      <c r="A511" s="317" t="str">
        <f>"# Oh dear Men Rating &gt; "&amp;Parameter!$B$32</f>
        <v># Oh dear Men Rating &gt; 850</v>
      </c>
      <c r="B511" s="297">
        <f>MATCH(A511,Data!$DT:$DT,0)</f>
        <v>17</v>
      </c>
      <c r="C511" s="78">
        <f>INDEX(Parameter!$9:$9,,MATCH(3,Parameter!$8:$8,0))</f>
        <v>3</v>
      </c>
      <c r="D511" s="78">
        <f>INDEX(Parameter!$B$10:$AB$10,MATCH(C511,Parameter!$B$9:$AB$9,0))</f>
        <v>3</v>
      </c>
      <c r="H511" s="78">
        <f ca="1">INDEX(OFFSET(Data!$CS$1:$DS$1,B511-1,0),MATCH("Total/"&amp;C511,Data!$CS$1:$DS$1,0))</f>
        <v>0</v>
      </c>
      <c r="I511" s="78" t="str">
        <f ca="1">IF(H511=1,INDEX(Parameter!$B$10:$AB$10,MATCH(C511,Parameter!$B$9:$AB$9,0))+6,"")</f>
        <v/>
      </c>
      <c r="J511" s="78" t="str">
        <f t="array" aca="1" ref="J511" ca="1">IF(H511=1,MATCH(1,(OFFSET(Data!$DY$1:$IB$1,B511-1,0))*(Data!$DY$90:$IB$90=C511),0),"")</f>
        <v/>
      </c>
      <c r="K511" s="78" t="str">
        <f t="array" aca="1" ref="K511" ca="1">IF(H511=1,MATCH(I511,OFFSET(Data!$DX$91:$DX$190,0,Specials!J511)*(Data!$AM$91:$AM$190&gt;Parameter!$B$32)*(Data!$DW$91:$DW$190="M"),0),"")</f>
        <v/>
      </c>
      <c r="L511" s="78" t="str">
        <f ca="1">IF(H511=1,INDEX(Data!$DT$91:$DT$190,$K511)&amp;" / "&amp;OFFSET(Data!$DX$89,0,Specials!J511),"")</f>
        <v/>
      </c>
      <c r="M511" s="78" t="s">
        <v>1</v>
      </c>
      <c r="N511" s="78" t="s">
        <v>255</v>
      </c>
      <c r="O511" s="78" t="e">
        <f t="shared" ca="1" si="36"/>
        <v>#VALUE!</v>
      </c>
      <c r="P511" s="78" t="str">
        <f t="shared" ca="1" si="37"/>
        <v/>
      </c>
    </row>
    <row r="512" spans="1:16" s="78" customFormat="1" hidden="1" x14ac:dyDescent="0.25">
      <c r="A512" s="317" t="str">
        <f>"# Oh dear Men Rating &gt; "&amp;Parameter!$B$32</f>
        <v># Oh dear Men Rating &gt; 850</v>
      </c>
      <c r="B512" s="297">
        <f>MATCH(A512,Data!$DT:$DT,0)</f>
        <v>17</v>
      </c>
      <c r="C512" s="78">
        <f>INDEX(Parameter!$9:$9,,MATCH(4,Parameter!$8:$8,0))</f>
        <v>4</v>
      </c>
      <c r="D512" s="78">
        <f>INDEX(Parameter!$B$10:$AB$10,MATCH(C512,Parameter!$B$9:$AB$9,0))</f>
        <v>3</v>
      </c>
      <c r="H512" s="78">
        <f ca="1">INDEX(OFFSET(Data!$CS$1:$DS$1,B512-1,0),MATCH("Total/"&amp;C512,Data!$CS$1:$DS$1,0))</f>
        <v>0</v>
      </c>
      <c r="I512" s="78" t="str">
        <f ca="1">IF(H512=1,INDEX(Parameter!$B$10:$AB$10,MATCH(C512,Parameter!$B$9:$AB$9,0))+6,"")</f>
        <v/>
      </c>
      <c r="J512" s="78" t="str">
        <f t="array" aca="1" ref="J512" ca="1">IF(H512=1,MATCH(1,(OFFSET(Data!$DY$1:$IB$1,B512-1,0))*(Data!$DY$90:$IB$90=C512),0),"")</f>
        <v/>
      </c>
      <c r="K512" s="78" t="str">
        <f t="array" aca="1" ref="K512" ca="1">IF(H512=1,MATCH(I512,OFFSET(Data!$DX$91:$DX$190,0,Specials!J512)*(Data!$AM$91:$AM$190&gt;Parameter!$B$32)*(Data!$DW$91:$DW$190="M"),0),"")</f>
        <v/>
      </c>
      <c r="L512" s="78" t="str">
        <f ca="1">IF(H512=1,INDEX(Data!$DT$91:$DT$190,$K512)&amp;" / "&amp;OFFSET(Data!$DX$89,0,Specials!J512),"")</f>
        <v/>
      </c>
      <c r="M512" s="78" t="s">
        <v>1</v>
      </c>
      <c r="N512" s="78" t="s">
        <v>255</v>
      </c>
      <c r="O512" s="78" t="e">
        <f t="shared" ca="1" si="36"/>
        <v>#VALUE!</v>
      </c>
      <c r="P512" s="78" t="str">
        <f t="shared" ca="1" si="37"/>
        <v/>
      </c>
    </row>
    <row r="513" spans="1:16" s="78" customFormat="1" hidden="1" x14ac:dyDescent="0.25">
      <c r="A513" s="317" t="str">
        <f>"# Oh dear Men Rating &gt; "&amp;Parameter!$B$32</f>
        <v># Oh dear Men Rating &gt; 850</v>
      </c>
      <c r="B513" s="297">
        <f>MATCH(A513,Data!$DT:$DT,0)</f>
        <v>17</v>
      </c>
      <c r="C513" s="78">
        <f>INDEX(Parameter!$9:$9,,MATCH(5,Parameter!$8:$8,0))</f>
        <v>5</v>
      </c>
      <c r="D513" s="78">
        <f>INDEX(Parameter!$B$10:$AB$10,MATCH(C513,Parameter!$B$9:$AB$9,0))</f>
        <v>4</v>
      </c>
      <c r="H513" s="78">
        <f ca="1">INDEX(OFFSET(Data!$CS$1:$DS$1,B513-1,0),MATCH("Total/"&amp;C513,Data!$CS$1:$DS$1,0))</f>
        <v>0</v>
      </c>
      <c r="I513" s="78" t="str">
        <f ca="1">IF(H513=1,INDEX(Parameter!$B$10:$AB$10,MATCH(C513,Parameter!$B$9:$AB$9,0))+6,"")</f>
        <v/>
      </c>
      <c r="J513" s="78" t="str">
        <f t="array" aca="1" ref="J513" ca="1">IF(H513=1,MATCH(1,(OFFSET(Data!$DY$1:$IB$1,B513-1,0))*(Data!$DY$90:$IB$90=C513),0),"")</f>
        <v/>
      </c>
      <c r="K513" s="78" t="str">
        <f t="array" aca="1" ref="K513" ca="1">IF(H513=1,MATCH(I513,OFFSET(Data!$DX$91:$DX$190,0,Specials!J513)*(Data!$AM$91:$AM$190&gt;Parameter!$B$32)*(Data!$DW$91:$DW$190="M"),0),"")</f>
        <v/>
      </c>
      <c r="L513" s="78" t="str">
        <f ca="1">IF(H513=1,INDEX(Data!$DT$91:$DT$190,$K513)&amp;" / "&amp;OFFSET(Data!$DX$89,0,Specials!J513),"")</f>
        <v/>
      </c>
      <c r="M513" s="78" t="s">
        <v>1</v>
      </c>
      <c r="N513" s="78" t="s">
        <v>255</v>
      </c>
      <c r="O513" s="78" t="e">
        <f t="shared" ca="1" si="36"/>
        <v>#VALUE!</v>
      </c>
      <c r="P513" s="78" t="str">
        <f t="shared" ca="1" si="37"/>
        <v/>
      </c>
    </row>
    <row r="514" spans="1:16" s="78" customFormat="1" hidden="1" x14ac:dyDescent="0.25">
      <c r="A514" s="317" t="str">
        <f>"# Oh dear Men Rating &gt; "&amp;Parameter!$B$32</f>
        <v># Oh dear Men Rating &gt; 850</v>
      </c>
      <c r="B514" s="297">
        <f>MATCH(A514,Data!$DT:$DT,0)</f>
        <v>17</v>
      </c>
      <c r="C514" s="78">
        <f>INDEX(Parameter!$9:$9,,MATCH(6,Parameter!$8:$8,0))</f>
        <v>6</v>
      </c>
      <c r="D514" s="78">
        <f>INDEX(Parameter!$B$10:$AB$10,MATCH(C514,Parameter!$B$9:$AB$9,0))</f>
        <v>3</v>
      </c>
      <c r="H514" s="78">
        <f ca="1">INDEX(OFFSET(Data!$CS$1:$DS$1,B514-1,0),MATCH("Total/"&amp;C514,Data!$CS$1:$DS$1,0))</f>
        <v>0</v>
      </c>
      <c r="I514" s="78" t="str">
        <f ca="1">IF(H514=1,INDEX(Parameter!$B$10:$AB$10,MATCH(C514,Parameter!$B$9:$AB$9,0))+6,"")</f>
        <v/>
      </c>
      <c r="J514" s="78" t="str">
        <f t="array" aca="1" ref="J514" ca="1">IF(H514=1,MATCH(1,(OFFSET(Data!$DY$1:$IB$1,B514-1,0))*(Data!$DY$90:$IB$90=C514),0),"")</f>
        <v/>
      </c>
      <c r="K514" s="78" t="str">
        <f t="array" aca="1" ref="K514" ca="1">IF(H514=1,MATCH(I514,OFFSET(Data!$DX$91:$DX$190,0,Specials!J514)*(Data!$AM$91:$AM$190&gt;Parameter!$B$32)*(Data!$DW$91:$DW$190="M"),0),"")</f>
        <v/>
      </c>
      <c r="L514" s="78" t="str">
        <f ca="1">IF(H514=1,INDEX(Data!$DT$91:$DT$190,$K514)&amp;" / "&amp;OFFSET(Data!$DX$89,0,Specials!J514),"")</f>
        <v/>
      </c>
      <c r="M514" s="78" t="s">
        <v>1</v>
      </c>
      <c r="N514" s="78" t="s">
        <v>255</v>
      </c>
      <c r="O514" s="78" t="e">
        <f t="shared" ca="1" si="36"/>
        <v>#VALUE!</v>
      </c>
      <c r="P514" s="78" t="str">
        <f t="shared" ca="1" si="37"/>
        <v/>
      </c>
    </row>
    <row r="515" spans="1:16" s="78" customFormat="1" hidden="1" x14ac:dyDescent="0.25">
      <c r="A515" s="317" t="str">
        <f>"# Oh dear Men Rating &gt; "&amp;Parameter!$B$32</f>
        <v># Oh dear Men Rating &gt; 850</v>
      </c>
      <c r="B515" s="297">
        <f>MATCH(A515,Data!$DT:$DT,0)</f>
        <v>17</v>
      </c>
      <c r="C515" s="78">
        <f>INDEX(Parameter!$9:$9,,MATCH(7,Parameter!$8:$8,0))</f>
        <v>7</v>
      </c>
      <c r="D515" s="78">
        <f>INDEX(Parameter!$B$10:$AB$10,MATCH(C515,Parameter!$B$9:$AB$9,0))</f>
        <v>3</v>
      </c>
      <c r="H515" s="78">
        <f ca="1">INDEX(OFFSET(Data!$CS$1:$DS$1,B515-1,0),MATCH("Total/"&amp;C515,Data!$CS$1:$DS$1,0))</f>
        <v>0</v>
      </c>
      <c r="I515" s="78" t="str">
        <f ca="1">IF(H515=1,INDEX(Parameter!$B$10:$AB$10,MATCH(C515,Parameter!$B$9:$AB$9,0))+6,"")</f>
        <v/>
      </c>
      <c r="J515" s="78" t="str">
        <f t="array" aca="1" ref="J515" ca="1">IF(H515=1,MATCH(1,(OFFSET(Data!$DY$1:$IB$1,B515-1,0))*(Data!$DY$90:$IB$90=C515),0),"")</f>
        <v/>
      </c>
      <c r="K515" s="78" t="str">
        <f t="array" aca="1" ref="K515" ca="1">IF(H515=1,MATCH(I515,OFFSET(Data!$DX$91:$DX$190,0,Specials!J515)*(Data!$AM$91:$AM$190&gt;Parameter!$B$32)*(Data!$DW$91:$DW$190="M"),0),"")</f>
        <v/>
      </c>
      <c r="L515" s="78" t="str">
        <f ca="1">IF(H515=1,INDEX(Data!$DT$91:$DT$190,$K515)&amp;" / "&amp;OFFSET(Data!$DX$89,0,Specials!J515),"")</f>
        <v/>
      </c>
      <c r="M515" s="78" t="s">
        <v>1</v>
      </c>
      <c r="N515" s="78" t="s">
        <v>255</v>
      </c>
      <c r="O515" s="78" t="e">
        <f t="shared" ca="1" si="36"/>
        <v>#VALUE!</v>
      </c>
      <c r="P515" s="78" t="str">
        <f t="shared" ca="1" si="37"/>
        <v/>
      </c>
    </row>
    <row r="516" spans="1:16" s="78" customFormat="1" hidden="1" x14ac:dyDescent="0.25">
      <c r="A516" s="317" t="str">
        <f>"# Oh dear Men Rating &gt; "&amp;Parameter!$B$32</f>
        <v># Oh dear Men Rating &gt; 850</v>
      </c>
      <c r="B516" s="297">
        <f>MATCH(A516,Data!$DT:$DT,0)</f>
        <v>17</v>
      </c>
      <c r="C516" s="78">
        <f>INDEX(Parameter!$9:$9,,MATCH(8,Parameter!$8:$8,0))</f>
        <v>8</v>
      </c>
      <c r="D516" s="78">
        <f>INDEX(Parameter!$B$10:$AB$10,MATCH(C516,Parameter!$B$9:$AB$9,0))</f>
        <v>3</v>
      </c>
      <c r="H516" s="78">
        <f ca="1">INDEX(OFFSET(Data!$CS$1:$DS$1,B516-1,0),MATCH("Total/"&amp;C516,Data!$CS$1:$DS$1,0))</f>
        <v>0</v>
      </c>
      <c r="I516" s="78" t="str">
        <f ca="1">IF(H516=1,INDEX(Parameter!$B$10:$AB$10,MATCH(C516,Parameter!$B$9:$AB$9,0))+6,"")</f>
        <v/>
      </c>
      <c r="J516" s="78" t="str">
        <f t="array" aca="1" ref="J516" ca="1">IF(H516=1,MATCH(1,(OFFSET(Data!$DY$1:$IB$1,B516-1,0))*(Data!$DY$90:$IB$90=C516),0),"")</f>
        <v/>
      </c>
      <c r="K516" s="78" t="str">
        <f t="array" aca="1" ref="K516" ca="1">IF(H516=1,MATCH(I516,OFFSET(Data!$DX$91:$DX$190,0,Specials!J516)*(Data!$AM$91:$AM$190&gt;Parameter!$B$32)*(Data!$DW$91:$DW$190="M"),0),"")</f>
        <v/>
      </c>
      <c r="L516" s="78" t="str">
        <f ca="1">IF(H516=1,INDEX(Data!$DT$91:$DT$190,$K516)&amp;" / "&amp;OFFSET(Data!$DX$89,0,Specials!J516),"")</f>
        <v/>
      </c>
      <c r="M516" s="78" t="s">
        <v>1</v>
      </c>
      <c r="N516" s="78" t="s">
        <v>255</v>
      </c>
      <c r="O516" s="78" t="e">
        <f t="shared" ref="O516:O579" ca="1" si="38">IF(AND($P516&lt;&gt;"",$N516="yes"),O515+1,O515)</f>
        <v>#VALUE!</v>
      </c>
      <c r="P516" s="78" t="str">
        <f t="shared" ca="1" si="37"/>
        <v/>
      </c>
    </row>
    <row r="517" spans="1:16" s="78" customFormat="1" hidden="1" x14ac:dyDescent="0.25">
      <c r="A517" s="317" t="str">
        <f>"# Oh dear Men Rating &gt; "&amp;Parameter!$B$32</f>
        <v># Oh dear Men Rating &gt; 850</v>
      </c>
      <c r="B517" s="297">
        <f>MATCH(A517,Data!$DT:$DT,0)</f>
        <v>17</v>
      </c>
      <c r="C517" s="78">
        <f>INDEX(Parameter!$9:$9,,MATCH(9,Parameter!$8:$8,0))</f>
        <v>9</v>
      </c>
      <c r="D517" s="78">
        <f>INDEX(Parameter!$B$10:$AB$10,MATCH(C517,Parameter!$B$9:$AB$9,0))</f>
        <v>4</v>
      </c>
      <c r="H517" s="78">
        <f ca="1">INDEX(OFFSET(Data!$CS$1:$DS$1,B517-1,0),MATCH("Total/"&amp;C517,Data!$CS$1:$DS$1,0))</f>
        <v>0</v>
      </c>
      <c r="I517" s="78" t="str">
        <f ca="1">IF(H517=1,INDEX(Parameter!$B$10:$AB$10,MATCH(C517,Parameter!$B$9:$AB$9,0))+6,"")</f>
        <v/>
      </c>
      <c r="J517" s="78" t="str">
        <f t="array" aca="1" ref="J517" ca="1">IF(H517=1,MATCH(1,(OFFSET(Data!$DY$1:$IB$1,B517-1,0))*(Data!$DY$90:$IB$90=C517),0),"")</f>
        <v/>
      </c>
      <c r="K517" s="78" t="str">
        <f t="array" aca="1" ref="K517" ca="1">IF(H517=1,MATCH(I517,OFFSET(Data!$DX$91:$DX$190,0,Specials!J517)*(Data!$AM$91:$AM$190&gt;Parameter!$B$32)*(Data!$DW$91:$DW$190="M"),0),"")</f>
        <v/>
      </c>
      <c r="L517" s="78" t="str">
        <f ca="1">IF(H517=1,INDEX(Data!$DT$91:$DT$190,$K517)&amp;" / "&amp;OFFSET(Data!$DX$89,0,Specials!J517),"")</f>
        <v/>
      </c>
      <c r="M517" s="78" t="s">
        <v>1</v>
      </c>
      <c r="N517" s="78" t="s">
        <v>255</v>
      </c>
      <c r="O517" s="78" t="e">
        <f t="shared" ca="1" si="38"/>
        <v>#VALUE!</v>
      </c>
      <c r="P517" s="78" t="str">
        <f t="shared" ca="1" si="37"/>
        <v/>
      </c>
    </row>
    <row r="518" spans="1:16" s="78" customFormat="1" hidden="1" x14ac:dyDescent="0.25">
      <c r="A518" s="317" t="str">
        <f>"# Oh dear Men Rating &gt; "&amp;Parameter!$B$32</f>
        <v># Oh dear Men Rating &gt; 850</v>
      </c>
      <c r="B518" s="297">
        <f>MATCH(A518,Data!$DT:$DT,0)</f>
        <v>17</v>
      </c>
      <c r="C518" s="78">
        <f>INDEX(Parameter!$9:$9,,MATCH(10,Parameter!$8:$8,0))</f>
        <v>10</v>
      </c>
      <c r="D518" s="78">
        <f>INDEX(Parameter!$B$10:$AB$10,MATCH(C518,Parameter!$B$9:$AB$9,0))</f>
        <v>4</v>
      </c>
      <c r="H518" s="78">
        <f ca="1">INDEX(OFFSET(Data!$CS$1:$DS$1,B518-1,0),MATCH("Total/"&amp;C518,Data!$CS$1:$DS$1,0))</f>
        <v>0</v>
      </c>
      <c r="I518" s="78" t="str">
        <f ca="1">IF(H518=1,INDEX(Parameter!$B$10:$AB$10,MATCH(C518,Parameter!$B$9:$AB$9,0))+6,"")</f>
        <v/>
      </c>
      <c r="J518" s="78" t="str">
        <f t="array" aca="1" ref="J518" ca="1">IF(H518=1,MATCH(1,(OFFSET(Data!$DY$1:$IB$1,B518-1,0))*(Data!$DY$90:$IB$90=C518),0),"")</f>
        <v/>
      </c>
      <c r="K518" s="78" t="str">
        <f t="array" aca="1" ref="K518" ca="1">IF(H518=1,MATCH(I518,OFFSET(Data!$DX$91:$DX$190,0,Specials!J518)*(Data!$AM$91:$AM$190&gt;Parameter!$B$32)*(Data!$DW$91:$DW$190="M"),0),"")</f>
        <v/>
      </c>
      <c r="L518" s="78" t="str">
        <f ca="1">IF(H518=1,INDEX(Data!$DT$91:$DT$190,$K518)&amp;" / "&amp;OFFSET(Data!$DX$89,0,Specials!J518),"")</f>
        <v/>
      </c>
      <c r="M518" s="78" t="s">
        <v>1</v>
      </c>
      <c r="N518" s="78" t="s">
        <v>255</v>
      </c>
      <c r="O518" s="78" t="e">
        <f t="shared" ca="1" si="38"/>
        <v>#VALUE!</v>
      </c>
      <c r="P518" s="78" t="str">
        <f t="shared" ca="1" si="37"/>
        <v/>
      </c>
    </row>
    <row r="519" spans="1:16" s="78" customFormat="1" hidden="1" x14ac:dyDescent="0.25">
      <c r="A519" s="317" t="str">
        <f>"# Oh dear Men Rating &gt; "&amp;Parameter!$B$32</f>
        <v># Oh dear Men Rating &gt; 850</v>
      </c>
      <c r="B519" s="297">
        <f>MATCH(A519,Data!$DT:$DT,0)</f>
        <v>17</v>
      </c>
      <c r="C519" s="78">
        <f>INDEX(Parameter!$9:$9,,MATCH(11,Parameter!$8:$8,0))</f>
        <v>11</v>
      </c>
      <c r="D519" s="78">
        <f>INDEX(Parameter!$B$10:$AB$10,MATCH(C519,Parameter!$B$9:$AB$9,0))</f>
        <v>4</v>
      </c>
      <c r="H519" s="78">
        <f ca="1">INDEX(OFFSET(Data!$CS$1:$DS$1,B519-1,0),MATCH("Total/"&amp;C519,Data!$CS$1:$DS$1,0))</f>
        <v>0</v>
      </c>
      <c r="I519" s="78" t="str">
        <f ca="1">IF(H519=1,INDEX(Parameter!$B$10:$AB$10,MATCH(C519,Parameter!$B$9:$AB$9,0))+6,"")</f>
        <v/>
      </c>
      <c r="J519" s="78" t="str">
        <f t="array" aca="1" ref="J519" ca="1">IF(H519=1,MATCH(1,(OFFSET(Data!$DY$1:$IB$1,B519-1,0))*(Data!$DY$90:$IB$90=C519),0),"")</f>
        <v/>
      </c>
      <c r="K519" s="78" t="str">
        <f t="array" aca="1" ref="K519" ca="1">IF(H519=1,MATCH(I519,OFFSET(Data!$DX$91:$DX$190,0,Specials!J519)*(Data!$AM$91:$AM$190&gt;Parameter!$B$32)*(Data!$DW$91:$DW$190="M"),0),"")</f>
        <v/>
      </c>
      <c r="L519" s="78" t="str">
        <f ca="1">IF(H519=1,INDEX(Data!$DT$91:$DT$190,$K519)&amp;" / "&amp;OFFSET(Data!$DX$89,0,Specials!J519),"")</f>
        <v/>
      </c>
      <c r="M519" s="78" t="s">
        <v>1</v>
      </c>
      <c r="N519" s="78" t="s">
        <v>255</v>
      </c>
      <c r="O519" s="78" t="e">
        <f t="shared" ca="1" si="38"/>
        <v>#VALUE!</v>
      </c>
      <c r="P519" s="78" t="str">
        <f t="shared" ca="1" si="37"/>
        <v/>
      </c>
    </row>
    <row r="520" spans="1:16" s="78" customFormat="1" hidden="1" x14ac:dyDescent="0.25">
      <c r="A520" s="317" t="str">
        <f>"# Oh dear Men Rating &gt; "&amp;Parameter!$B$32</f>
        <v># Oh dear Men Rating &gt; 850</v>
      </c>
      <c r="B520" s="297">
        <f>MATCH(A520,Data!$DT:$DT,0)</f>
        <v>17</v>
      </c>
      <c r="C520" s="78" t="str">
        <f>INDEX(Parameter!$9:$9,,MATCH(12,Parameter!$8:$8,0))</f>
        <v>11b</v>
      </c>
      <c r="D520" s="78">
        <f>INDEX(Parameter!$B$10:$AB$10,MATCH(C520,Parameter!$B$9:$AB$9,0))</f>
        <v>3</v>
      </c>
      <c r="H520" s="78">
        <f ca="1">INDEX(OFFSET(Data!$CS$1:$DS$1,B520-1,0),MATCH("Total/"&amp;C520,Data!$CS$1:$DS$1,0))</f>
        <v>0</v>
      </c>
      <c r="I520" s="78" t="str">
        <f ca="1">IF(H520=1,INDEX(Parameter!$B$10:$AB$10,MATCH(C520,Parameter!$B$9:$AB$9,0))+6,"")</f>
        <v/>
      </c>
      <c r="J520" s="78" t="str">
        <f t="array" aca="1" ref="J520" ca="1">IF(H520=1,MATCH(1,(OFFSET(Data!$DY$1:$IB$1,B520-1,0))*(Data!$DY$90:$IB$90=C520),0),"")</f>
        <v/>
      </c>
      <c r="K520" s="78" t="str">
        <f t="array" aca="1" ref="K520" ca="1">IF(H520=1,MATCH(I520,OFFSET(Data!$DX$91:$DX$190,0,Specials!J520)*(Data!$AM$91:$AM$190&gt;Parameter!$B$32)*(Data!$DW$91:$DW$190="M"),0),"")</f>
        <v/>
      </c>
      <c r="L520" s="78" t="str">
        <f ca="1">IF(H520=1,INDEX(Data!$DT$91:$DT$190,$K520)&amp;" / "&amp;OFFSET(Data!$DX$89,0,Specials!J520),"")</f>
        <v/>
      </c>
      <c r="M520" s="78" t="s">
        <v>1</v>
      </c>
      <c r="N520" s="78" t="s">
        <v>255</v>
      </c>
      <c r="O520" s="78" t="e">
        <f t="shared" ca="1" si="38"/>
        <v>#VALUE!</v>
      </c>
      <c r="P520" s="78" t="str">
        <f t="shared" ref="P520:P583" ca="1" si="39">IF(AND(H520=1,ISERROR(K520)=FALSE),"Only 1 Oh Dear on hole "&amp;C520&amp;" (par "&amp;D520&amp;")","")</f>
        <v/>
      </c>
    </row>
    <row r="521" spans="1:16" s="78" customFormat="1" hidden="1" x14ac:dyDescent="0.25">
      <c r="A521" s="317" t="str">
        <f>"# Oh dear Men Rating &gt; "&amp;Parameter!$B$32</f>
        <v># Oh dear Men Rating &gt; 850</v>
      </c>
      <c r="B521" s="297">
        <f>MATCH(A521,Data!$DT:$DT,0)</f>
        <v>17</v>
      </c>
      <c r="C521" s="78">
        <f>INDEX(Parameter!$9:$9,,MATCH(13,Parameter!$8:$8,0))</f>
        <v>12</v>
      </c>
      <c r="D521" s="78">
        <f>INDEX(Parameter!$B$10:$AB$10,MATCH(C521,Parameter!$B$9:$AB$9,0))</f>
        <v>3</v>
      </c>
      <c r="H521" s="78">
        <f ca="1">INDEX(OFFSET(Data!$CS$1:$DS$1,B521-1,0),MATCH("Total/"&amp;C521,Data!$CS$1:$DS$1,0))</f>
        <v>0</v>
      </c>
      <c r="I521" s="78" t="str">
        <f ca="1">IF(H521=1,INDEX(Parameter!$B$10:$AB$10,MATCH(C521,Parameter!$B$9:$AB$9,0))+6,"")</f>
        <v/>
      </c>
      <c r="J521" s="78" t="str">
        <f t="array" aca="1" ref="J521" ca="1">IF(H521=1,MATCH(1,(OFFSET(Data!$DY$1:$IB$1,B521-1,0))*(Data!$DY$90:$IB$90=C521),0),"")</f>
        <v/>
      </c>
      <c r="K521" s="78" t="str">
        <f t="array" aca="1" ref="K521" ca="1">IF(H521=1,MATCH(I521,OFFSET(Data!$DX$91:$DX$190,0,Specials!J521)*(Data!$AM$91:$AM$190&gt;Parameter!$B$32)*(Data!$DW$91:$DW$190="M"),0),"")</f>
        <v/>
      </c>
      <c r="L521" s="78" t="str">
        <f ca="1">IF(H521=1,INDEX(Data!$DT$91:$DT$190,$K521)&amp;" / "&amp;OFFSET(Data!$DX$89,0,Specials!J521),"")</f>
        <v/>
      </c>
      <c r="M521" s="78" t="s">
        <v>1</v>
      </c>
      <c r="N521" s="78" t="s">
        <v>255</v>
      </c>
      <c r="O521" s="78" t="e">
        <f t="shared" ca="1" si="38"/>
        <v>#VALUE!</v>
      </c>
      <c r="P521" s="78" t="str">
        <f t="shared" ca="1" si="39"/>
        <v/>
      </c>
    </row>
    <row r="522" spans="1:16" s="78" customFormat="1" hidden="1" x14ac:dyDescent="0.25">
      <c r="A522" s="317" t="str">
        <f>"# Oh dear Men Rating &gt; "&amp;Parameter!$B$32</f>
        <v># Oh dear Men Rating &gt; 850</v>
      </c>
      <c r="B522" s="297">
        <f>MATCH(A522,Data!$DT:$DT,0)</f>
        <v>17</v>
      </c>
      <c r="C522" s="78">
        <f>INDEX(Parameter!$9:$9,,MATCH(14,Parameter!$8:$8,0))</f>
        <v>13</v>
      </c>
      <c r="D522" s="78">
        <f>INDEX(Parameter!$B$10:$AB$10,MATCH(C522,Parameter!$B$9:$AB$9,0))</f>
        <v>3</v>
      </c>
      <c r="H522" s="78">
        <f ca="1">INDEX(OFFSET(Data!$CS$1:$DS$1,B522-1,0),MATCH("Total/"&amp;C522,Data!$CS$1:$DS$1,0))</f>
        <v>0</v>
      </c>
      <c r="I522" s="78" t="str">
        <f ca="1">IF(H522=1,INDEX(Parameter!$B$10:$AB$10,MATCH(C522,Parameter!$B$9:$AB$9,0))+6,"")</f>
        <v/>
      </c>
      <c r="J522" s="78" t="str">
        <f t="array" aca="1" ref="J522" ca="1">IF(H522=1,MATCH(1,(OFFSET(Data!$DY$1:$IB$1,B522-1,0))*(Data!$DY$90:$IB$90=C522),0),"")</f>
        <v/>
      </c>
      <c r="K522" s="78" t="str">
        <f t="array" aca="1" ref="K522" ca="1">IF(H522=1,MATCH(I522,OFFSET(Data!$DX$91:$DX$190,0,Specials!J522)*(Data!$AM$91:$AM$190&gt;Parameter!$B$32)*(Data!$DW$91:$DW$190="M"),0),"")</f>
        <v/>
      </c>
      <c r="L522" s="78" t="str">
        <f ca="1">IF(H522=1,INDEX(Data!$DT$91:$DT$190,$K522)&amp;" / "&amp;OFFSET(Data!$DX$89,0,Specials!J522),"")</f>
        <v/>
      </c>
      <c r="M522" s="78" t="s">
        <v>1</v>
      </c>
      <c r="N522" s="78" t="s">
        <v>255</v>
      </c>
      <c r="O522" s="78" t="e">
        <f t="shared" ca="1" si="38"/>
        <v>#VALUE!</v>
      </c>
      <c r="P522" s="78" t="str">
        <f t="shared" ca="1" si="39"/>
        <v/>
      </c>
    </row>
    <row r="523" spans="1:16" s="78" customFormat="1" hidden="1" x14ac:dyDescent="0.25">
      <c r="A523" s="317" t="str">
        <f>"# Oh dear Men Rating &gt; "&amp;Parameter!$B$32</f>
        <v># Oh dear Men Rating &gt; 850</v>
      </c>
      <c r="B523" s="297">
        <f>MATCH(A523,Data!$DT:$DT,0)</f>
        <v>17</v>
      </c>
      <c r="C523" s="78">
        <f>INDEX(Parameter!$9:$9,,MATCH(15,Parameter!$8:$8,0))</f>
        <v>14</v>
      </c>
      <c r="D523" s="78">
        <f>INDEX(Parameter!$B$10:$AB$10,MATCH(C523,Parameter!$B$9:$AB$9,0))</f>
        <v>3</v>
      </c>
      <c r="H523" s="78">
        <f ca="1">INDEX(OFFSET(Data!$CS$1:$DS$1,B523-1,0),MATCH("Total/"&amp;C523,Data!$CS$1:$DS$1,0))</f>
        <v>0</v>
      </c>
      <c r="I523" s="78" t="str">
        <f ca="1">IF(H523=1,INDEX(Parameter!$B$10:$AB$10,MATCH(C523,Parameter!$B$9:$AB$9,0))+6,"")</f>
        <v/>
      </c>
      <c r="J523" s="78" t="str">
        <f t="array" aca="1" ref="J523" ca="1">IF(H523=1,MATCH(1,(OFFSET(Data!$DY$1:$IB$1,B523-1,0))*(Data!$DY$90:$IB$90=C523),0),"")</f>
        <v/>
      </c>
      <c r="K523" s="78" t="str">
        <f t="array" aca="1" ref="K523" ca="1">IF(H523=1,MATCH(I523,OFFSET(Data!$DX$91:$DX$190,0,Specials!J523)*(Data!$AM$91:$AM$190&gt;Parameter!$B$32)*(Data!$DW$91:$DW$190="M"),0),"")</f>
        <v/>
      </c>
      <c r="L523" s="78" t="str">
        <f ca="1">IF(H523=1,INDEX(Data!$DT$91:$DT$190,$K523)&amp;" / "&amp;OFFSET(Data!$DX$89,0,Specials!J523),"")</f>
        <v/>
      </c>
      <c r="M523" s="78" t="s">
        <v>1</v>
      </c>
      <c r="N523" s="78" t="s">
        <v>255</v>
      </c>
      <c r="O523" s="78" t="e">
        <f t="shared" ca="1" si="38"/>
        <v>#VALUE!</v>
      </c>
      <c r="P523" s="78" t="str">
        <f t="shared" ca="1" si="39"/>
        <v/>
      </c>
    </row>
    <row r="524" spans="1:16" s="78" customFormat="1" hidden="1" x14ac:dyDescent="0.25">
      <c r="A524" s="317" t="str">
        <f>"# Oh dear Men Rating &gt; "&amp;Parameter!$B$32</f>
        <v># Oh dear Men Rating &gt; 850</v>
      </c>
      <c r="B524" s="297">
        <f>MATCH(A524,Data!$DT:$DT,0)</f>
        <v>17</v>
      </c>
      <c r="C524" s="78">
        <f>INDEX(Parameter!$9:$9,,MATCH(16,Parameter!$8:$8,0))</f>
        <v>15</v>
      </c>
      <c r="D524" s="78">
        <f>INDEX(Parameter!$B$10:$AB$10,MATCH(C524,Parameter!$B$9:$AB$9,0))</f>
        <v>3</v>
      </c>
      <c r="H524" s="78">
        <f ca="1">INDEX(OFFSET(Data!$CS$1:$DS$1,B524-1,0),MATCH("Total/"&amp;C524,Data!$CS$1:$DS$1,0))</f>
        <v>0</v>
      </c>
      <c r="I524" s="78" t="str">
        <f ca="1">IF(H524=1,INDEX(Parameter!$B$10:$AB$10,MATCH(C524,Parameter!$B$9:$AB$9,0))+6,"")</f>
        <v/>
      </c>
      <c r="J524" s="78" t="str">
        <f t="array" aca="1" ref="J524" ca="1">IF(H524=1,MATCH(1,(OFFSET(Data!$DY$1:$IB$1,B524-1,0))*(Data!$DY$90:$IB$90=C524),0),"")</f>
        <v/>
      </c>
      <c r="K524" s="78" t="str">
        <f t="array" aca="1" ref="K524" ca="1">IF(H524=1,MATCH(I524,OFFSET(Data!$DX$91:$DX$190,0,Specials!J524)*(Data!$AM$91:$AM$190&gt;Parameter!$B$32)*(Data!$DW$91:$DW$190="M"),0),"")</f>
        <v/>
      </c>
      <c r="L524" s="78" t="str">
        <f ca="1">IF(H524=1,INDEX(Data!$DT$91:$DT$190,$K524)&amp;" / "&amp;OFFSET(Data!$DX$89,0,Specials!J524),"")</f>
        <v/>
      </c>
      <c r="M524" s="78" t="s">
        <v>1</v>
      </c>
      <c r="N524" s="78" t="s">
        <v>255</v>
      </c>
      <c r="O524" s="78" t="e">
        <f t="shared" ca="1" si="38"/>
        <v>#VALUE!</v>
      </c>
      <c r="P524" s="78" t="str">
        <f t="shared" ca="1" si="39"/>
        <v/>
      </c>
    </row>
    <row r="525" spans="1:16" s="78" customFormat="1" hidden="1" x14ac:dyDescent="0.25">
      <c r="A525" s="317" t="str">
        <f>"# Oh dear Men Rating &gt; "&amp;Parameter!$B$32</f>
        <v># Oh dear Men Rating &gt; 850</v>
      </c>
      <c r="B525" s="297">
        <f>MATCH(A525,Data!$DT:$DT,0)</f>
        <v>17</v>
      </c>
      <c r="C525" s="78">
        <f>INDEX(Parameter!$9:$9,,MATCH(17,Parameter!$8:$8,0))</f>
        <v>16</v>
      </c>
      <c r="D525" s="78">
        <f>INDEX(Parameter!$B$10:$AB$10,MATCH(C525,Parameter!$B$9:$AB$9,0))</f>
        <v>3</v>
      </c>
      <c r="H525" s="78">
        <f ca="1">INDEX(OFFSET(Data!$CS$1:$DS$1,B525-1,0),MATCH("Total/"&amp;C525,Data!$CS$1:$DS$1,0))</f>
        <v>0</v>
      </c>
      <c r="I525" s="78" t="str">
        <f ca="1">IF(H525=1,INDEX(Parameter!$B$10:$AB$10,MATCH(C525,Parameter!$B$9:$AB$9,0))+6,"")</f>
        <v/>
      </c>
      <c r="J525" s="78" t="str">
        <f t="array" aca="1" ref="J525" ca="1">IF(H525=1,MATCH(1,(OFFSET(Data!$DY$1:$IB$1,B525-1,0))*(Data!$DY$90:$IB$90=C525),0),"")</f>
        <v/>
      </c>
      <c r="K525" s="78" t="str">
        <f t="array" aca="1" ref="K525" ca="1">IF(H525=1,MATCH(I525,OFFSET(Data!$DX$91:$DX$190,0,Specials!J525)*(Data!$AM$91:$AM$190&gt;Parameter!$B$32)*(Data!$DW$91:$DW$190="M"),0),"")</f>
        <v/>
      </c>
      <c r="L525" s="78" t="str">
        <f ca="1">IF(H525=1,INDEX(Data!$DT$91:$DT$190,$K525)&amp;" / "&amp;OFFSET(Data!$DX$89,0,Specials!J525),"")</f>
        <v/>
      </c>
      <c r="M525" s="78" t="s">
        <v>1</v>
      </c>
      <c r="N525" s="78" t="s">
        <v>255</v>
      </c>
      <c r="O525" s="78" t="e">
        <f t="shared" ca="1" si="38"/>
        <v>#VALUE!</v>
      </c>
      <c r="P525" s="78" t="str">
        <f t="shared" ca="1" si="39"/>
        <v/>
      </c>
    </row>
    <row r="526" spans="1:16" s="78" customFormat="1" hidden="1" x14ac:dyDescent="0.25">
      <c r="A526" s="317" t="str">
        <f>"# Oh dear Men Rating &gt; "&amp;Parameter!$B$32</f>
        <v># Oh dear Men Rating &gt; 850</v>
      </c>
      <c r="B526" s="297">
        <f>MATCH(A526,Data!$DT:$DT,0)</f>
        <v>17</v>
      </c>
      <c r="C526" s="78">
        <f>INDEX(Parameter!$9:$9,,MATCH(18,Parameter!$8:$8,0))</f>
        <v>17</v>
      </c>
      <c r="D526" s="78">
        <f>INDEX(Parameter!$B$10:$AB$10,MATCH(C526,Parameter!$B$9:$AB$9,0))</f>
        <v>3</v>
      </c>
      <c r="H526" s="78">
        <f ca="1">INDEX(OFFSET(Data!$CS$1:$DS$1,B526-1,0),MATCH("Total/"&amp;C526,Data!$CS$1:$DS$1,0))</f>
        <v>0</v>
      </c>
      <c r="I526" s="78" t="str">
        <f ca="1">IF(H526=1,INDEX(Parameter!$B$10:$AB$10,MATCH(C526,Parameter!$B$9:$AB$9,0))+6,"")</f>
        <v/>
      </c>
      <c r="J526" s="78" t="str">
        <f t="array" aca="1" ref="J526" ca="1">IF(H526=1,MATCH(1,(OFFSET(Data!$DY$1:$IB$1,B526-1,0))*(Data!$DY$90:$IB$90=C526),0),"")</f>
        <v/>
      </c>
      <c r="K526" s="78" t="str">
        <f t="array" aca="1" ref="K526" ca="1">IF(H526=1,MATCH(I526,OFFSET(Data!$DX$91:$DX$190,0,Specials!J526)*(Data!$AM$91:$AM$190&gt;Parameter!$B$32)*(Data!$DW$91:$DW$190="M"),0),"")</f>
        <v/>
      </c>
      <c r="L526" s="78" t="str">
        <f ca="1">IF(H526=1,INDEX(Data!$DT$91:$DT$190,$K526)&amp;" / "&amp;OFFSET(Data!$DX$89,0,Specials!J526),"")</f>
        <v/>
      </c>
      <c r="M526" s="78" t="s">
        <v>1</v>
      </c>
      <c r="N526" s="78" t="s">
        <v>255</v>
      </c>
      <c r="O526" s="78" t="e">
        <f t="shared" ca="1" si="38"/>
        <v>#VALUE!</v>
      </c>
      <c r="P526" s="78" t="str">
        <f t="shared" ca="1" si="39"/>
        <v/>
      </c>
    </row>
    <row r="527" spans="1:16" s="78" customFormat="1" hidden="1" x14ac:dyDescent="0.25">
      <c r="A527" s="317" t="str">
        <f>"# Oh dear Men Rating &gt; "&amp;Parameter!$B$32</f>
        <v># Oh dear Men Rating &gt; 850</v>
      </c>
      <c r="B527" s="297">
        <f>MATCH(A527,Data!$DT:$DT,0)</f>
        <v>17</v>
      </c>
      <c r="C527" s="78">
        <f>INDEX(Parameter!$9:$9,,MATCH(19,Parameter!$8:$8,0))</f>
        <v>18</v>
      </c>
      <c r="D527" s="78">
        <f>INDEX(Parameter!$B$10:$AB$10,MATCH(C527,Parameter!$B$9:$AB$9,0))</f>
        <v>3</v>
      </c>
      <c r="H527" s="78">
        <f ca="1">INDEX(OFFSET(Data!$CS$1:$DS$1,B527-1,0),MATCH("Total/"&amp;C527,Data!$CS$1:$DS$1,0))</f>
        <v>0</v>
      </c>
      <c r="I527" s="78" t="str">
        <f ca="1">IF(H527=1,INDEX(Parameter!$B$10:$AB$10,MATCH(C527,Parameter!$B$9:$AB$9,0))+6,"")</f>
        <v/>
      </c>
      <c r="J527" s="78" t="str">
        <f t="array" aca="1" ref="J527" ca="1">IF(H527=1,MATCH(1,(OFFSET(Data!$DY$1:$IB$1,B527-1,0))*(Data!$DY$90:$IB$90=C527),0),"")</f>
        <v/>
      </c>
      <c r="K527" s="78" t="str">
        <f t="array" aca="1" ref="K527" ca="1">IF(H527=1,MATCH(I527,OFFSET(Data!$DX$91:$DX$190,0,Specials!J527)*(Data!$AM$91:$AM$190&gt;Parameter!$B$32)*(Data!$DW$91:$DW$190="M"),0),"")</f>
        <v/>
      </c>
      <c r="L527" s="78" t="str">
        <f ca="1">IF(H527=1,INDEX(Data!$DT$91:$DT$190,$K527)&amp;" / "&amp;OFFSET(Data!$DX$89,0,Specials!J527),"")</f>
        <v/>
      </c>
      <c r="M527" s="78" t="s">
        <v>1</v>
      </c>
      <c r="N527" s="78" t="s">
        <v>255</v>
      </c>
      <c r="O527" s="78" t="e">
        <f t="shared" ca="1" si="38"/>
        <v>#VALUE!</v>
      </c>
      <c r="P527" s="78" t="str">
        <f t="shared" ca="1" si="39"/>
        <v/>
      </c>
    </row>
    <row r="528" spans="1:16" s="78" customFormat="1" hidden="1" x14ac:dyDescent="0.25">
      <c r="A528" s="317" t="str">
        <f>"# Oh dear Men Rating &gt; "&amp;Parameter!$B$32</f>
        <v># Oh dear Men Rating &gt; 850</v>
      </c>
      <c r="B528" s="297">
        <f>MATCH(A528,Data!$DT:$DT,0)</f>
        <v>17</v>
      </c>
      <c r="C528" s="78">
        <f>INDEX(Parameter!$9:$9,,MATCH(20,Parameter!$8:$8,0))</f>
        <v>20</v>
      </c>
      <c r="D528" s="78" t="str">
        <f>INDEX(Parameter!$B$10:$AB$10,MATCH(C528,Parameter!$B$9:$AB$9,0))</f>
        <v>no</v>
      </c>
      <c r="H528" s="78">
        <f ca="1">INDEX(OFFSET(Data!$CS$1:$DS$1,B528-1,0),MATCH("Total/"&amp;C528,Data!$CS$1:$DS$1,0))</f>
        <v>0</v>
      </c>
      <c r="I528" s="78" t="str">
        <f ca="1">IF(H528=1,INDEX(Parameter!$B$10:$AB$10,MATCH(C528,Parameter!$B$9:$AB$9,0))+6,"")</f>
        <v/>
      </c>
      <c r="J528" s="78" t="str">
        <f t="array" aca="1" ref="J528" ca="1">IF(H528=1,MATCH(1,(OFFSET(Data!$DY$1:$IB$1,B528-1,0))*(Data!$DY$90:$IB$90=C528),0),"")</f>
        <v/>
      </c>
      <c r="K528" s="78" t="str">
        <f t="array" aca="1" ref="K528" ca="1">IF(H528=1,MATCH(I528,OFFSET(Data!$DX$91:$DX$190,0,Specials!J528)*(Data!$AM$91:$AM$190&gt;Parameter!$B$32)*(Data!$DW$91:$DW$190="M"),0),"")</f>
        <v/>
      </c>
      <c r="L528" s="78" t="str">
        <f ca="1">IF(H528=1,INDEX(Data!$DT$91:$DT$190,$K528)&amp;" / "&amp;OFFSET(Data!$DX$89,0,Specials!J528),"")</f>
        <v/>
      </c>
      <c r="M528" s="78" t="s">
        <v>1</v>
      </c>
      <c r="N528" s="78" t="s">
        <v>255</v>
      </c>
      <c r="O528" s="78" t="e">
        <f t="shared" ca="1" si="38"/>
        <v>#VALUE!</v>
      </c>
      <c r="P528" s="78" t="str">
        <f t="shared" ca="1" si="39"/>
        <v/>
      </c>
    </row>
    <row r="529" spans="1:16" s="78" customFormat="1" hidden="1" x14ac:dyDescent="0.25">
      <c r="A529" s="317" t="str">
        <f>"# Oh dear Men Rating &gt; "&amp;Parameter!$B$32</f>
        <v># Oh dear Men Rating &gt; 850</v>
      </c>
      <c r="B529" s="297">
        <f>MATCH(A529,Data!$DT:$DT,0)</f>
        <v>17</v>
      </c>
      <c r="C529" s="78">
        <f>INDEX(Parameter!$9:$9,,MATCH(21,Parameter!$8:$8,0))</f>
        <v>21</v>
      </c>
      <c r="D529" s="78" t="str">
        <f>INDEX(Parameter!$B$10:$AB$10,MATCH(C529,Parameter!$B$9:$AB$9,0))</f>
        <v>no</v>
      </c>
      <c r="H529" s="78">
        <f ca="1">INDEX(OFFSET(Data!$CS$1:$DS$1,B529-1,0),MATCH("Total/"&amp;C529,Data!$CS$1:$DS$1,0))</f>
        <v>0</v>
      </c>
      <c r="I529" s="78" t="str">
        <f ca="1">IF(H529=1,INDEX(Parameter!$B$10:$AB$10,MATCH(C529,Parameter!$B$9:$AB$9,0))+6,"")</f>
        <v/>
      </c>
      <c r="J529" s="78" t="str">
        <f t="array" aca="1" ref="J529" ca="1">IF(H529=1,MATCH(1,(OFFSET(Data!$DY$1:$IB$1,B529-1,0))*(Data!$DY$90:$IB$90=C529),0),"")</f>
        <v/>
      </c>
      <c r="K529" s="78" t="str">
        <f t="array" aca="1" ref="K529" ca="1">IF(H529=1,MATCH(I529,OFFSET(Data!$DX$91:$DX$190,0,Specials!J529)*(Data!$AM$91:$AM$190&gt;Parameter!$B$32)*(Data!$DW$91:$DW$190="M"),0),"")</f>
        <v/>
      </c>
      <c r="L529" s="78" t="str">
        <f ca="1">IF(H529=1,INDEX(Data!$DT$91:$DT$190,$K529)&amp;" / "&amp;OFFSET(Data!$DX$89,0,Specials!J529),"")</f>
        <v/>
      </c>
      <c r="M529" s="78" t="s">
        <v>1</v>
      </c>
      <c r="N529" s="78" t="s">
        <v>255</v>
      </c>
      <c r="O529" s="78" t="e">
        <f t="shared" ca="1" si="38"/>
        <v>#VALUE!</v>
      </c>
      <c r="P529" s="78" t="str">
        <f t="shared" ca="1" si="39"/>
        <v/>
      </c>
    </row>
    <row r="530" spans="1:16" s="78" customFormat="1" hidden="1" x14ac:dyDescent="0.25">
      <c r="A530" s="317" t="str">
        <f>"# Oh dear Men Rating &gt; "&amp;Parameter!$B$32</f>
        <v># Oh dear Men Rating &gt; 850</v>
      </c>
      <c r="B530" s="297">
        <f>MATCH(A530,Data!$DT:$DT,0)</f>
        <v>17</v>
      </c>
      <c r="C530" s="78">
        <f>INDEX(Parameter!$9:$9,,MATCH(22,Parameter!$8:$8,0))</f>
        <v>22</v>
      </c>
      <c r="D530" s="78" t="str">
        <f>INDEX(Parameter!$B$10:$AB$10,MATCH(C530,Parameter!$B$9:$AB$9,0))</f>
        <v>no</v>
      </c>
      <c r="H530" s="78">
        <f ca="1">INDEX(OFFSET(Data!$CS$1:$DS$1,B530-1,0),MATCH("Total/"&amp;C530,Data!$CS$1:$DS$1,0))</f>
        <v>0</v>
      </c>
      <c r="I530" s="78" t="str">
        <f ca="1">IF(H530=1,INDEX(Parameter!$B$10:$AB$10,MATCH(C530,Parameter!$B$9:$AB$9,0))+6,"")</f>
        <v/>
      </c>
      <c r="J530" s="78" t="str">
        <f t="array" aca="1" ref="J530" ca="1">IF(H530=1,MATCH(1,(OFFSET(Data!$DY$1:$IB$1,B530-1,0))*(Data!$DY$90:$IB$90=C530),0),"")</f>
        <v/>
      </c>
      <c r="K530" s="78" t="str">
        <f t="array" aca="1" ref="K530" ca="1">IF(H530=1,MATCH(I530,OFFSET(Data!$DX$91:$DX$190,0,Specials!J530)*(Data!$AM$91:$AM$190&gt;Parameter!$B$32)*(Data!$DW$91:$DW$190="M"),0),"")</f>
        <v/>
      </c>
      <c r="L530" s="78" t="str">
        <f ca="1">IF(H530=1,INDEX(Data!$DT$91:$DT$190,$K530)&amp;" / "&amp;OFFSET(Data!$DX$89,0,Specials!J530),"")</f>
        <v/>
      </c>
      <c r="M530" s="78" t="s">
        <v>1</v>
      </c>
      <c r="N530" s="78" t="s">
        <v>255</v>
      </c>
      <c r="O530" s="78" t="e">
        <f t="shared" ca="1" si="38"/>
        <v>#VALUE!</v>
      </c>
      <c r="P530" s="78" t="str">
        <f t="shared" ca="1" si="39"/>
        <v/>
      </c>
    </row>
    <row r="531" spans="1:16" s="78" customFormat="1" hidden="1" x14ac:dyDescent="0.25">
      <c r="A531" s="317" t="str">
        <f>"# Oh dear Men Rating &gt; "&amp;Parameter!$B$32</f>
        <v># Oh dear Men Rating &gt; 850</v>
      </c>
      <c r="B531" s="297">
        <f>MATCH(A531,Data!$DT:$DT,0)</f>
        <v>17</v>
      </c>
      <c r="C531" s="78">
        <f>INDEX(Parameter!$9:$9,,MATCH(23,Parameter!$8:$8,0))</f>
        <v>23</v>
      </c>
      <c r="D531" s="78" t="str">
        <f>INDEX(Parameter!$B$10:$AB$10,MATCH(C531,Parameter!$B$9:$AB$9,0))</f>
        <v>no</v>
      </c>
      <c r="H531" s="78">
        <f ca="1">INDEX(OFFSET(Data!$CS$1:$DS$1,B531-1,0),MATCH("Total/"&amp;C531,Data!$CS$1:$DS$1,0))</f>
        <v>0</v>
      </c>
      <c r="I531" s="78" t="str">
        <f ca="1">IF(H531=1,INDEX(Parameter!$B$10:$AB$10,MATCH(C531,Parameter!$B$9:$AB$9,0))+6,"")</f>
        <v/>
      </c>
      <c r="J531" s="78" t="str">
        <f t="array" aca="1" ref="J531" ca="1">IF(H531=1,MATCH(1,(OFFSET(Data!$DY$1:$IB$1,B531-1,0))*(Data!$DY$90:$IB$90=C531),0),"")</f>
        <v/>
      </c>
      <c r="K531" s="78" t="str">
        <f t="array" aca="1" ref="K531" ca="1">IF(H531=1,MATCH(I531,OFFSET(Data!$DX$91:$DX$190,0,Specials!J531)*(Data!$AM$91:$AM$190&gt;Parameter!$B$32)*(Data!$DW$91:$DW$190="M"),0),"")</f>
        <v/>
      </c>
      <c r="L531" s="78" t="str">
        <f ca="1">IF(H531=1,INDEX(Data!$DT$91:$DT$190,$K531)&amp;" / "&amp;OFFSET(Data!$DX$89,0,Specials!J531),"")</f>
        <v/>
      </c>
      <c r="M531" s="78" t="s">
        <v>1</v>
      </c>
      <c r="N531" s="78" t="s">
        <v>255</v>
      </c>
      <c r="O531" s="78" t="e">
        <f t="shared" ca="1" si="38"/>
        <v>#VALUE!</v>
      </c>
      <c r="P531" s="78" t="str">
        <f t="shared" ca="1" si="39"/>
        <v/>
      </c>
    </row>
    <row r="532" spans="1:16" s="78" customFormat="1" hidden="1" x14ac:dyDescent="0.25">
      <c r="A532" s="317" t="str">
        <f>"# Oh dear Men Rating &gt; "&amp;Parameter!$B$32</f>
        <v># Oh dear Men Rating &gt; 850</v>
      </c>
      <c r="B532" s="297">
        <f>MATCH(A532,Data!$DT:$DT,0)</f>
        <v>17</v>
      </c>
      <c r="C532" s="78">
        <f>INDEX(Parameter!$9:$9,,MATCH(24,Parameter!$8:$8,0))</f>
        <v>24</v>
      </c>
      <c r="D532" s="78" t="str">
        <f>INDEX(Parameter!$B$10:$AB$10,MATCH(C532,Parameter!$B$9:$AB$9,0))</f>
        <v>no</v>
      </c>
      <c r="H532" s="78">
        <f ca="1">INDEX(OFFSET(Data!$CS$1:$DS$1,B532-1,0),MATCH("Total/"&amp;C532,Data!$CS$1:$DS$1,0))</f>
        <v>0</v>
      </c>
      <c r="I532" s="78" t="str">
        <f ca="1">IF(H532=1,INDEX(Parameter!$B$10:$AB$10,MATCH(C532,Parameter!$B$9:$AB$9,0))+6,"")</f>
        <v/>
      </c>
      <c r="J532" s="78" t="str">
        <f t="array" aca="1" ref="J532" ca="1">IF(H532=1,MATCH(1,(OFFSET(Data!$DY$1:$IB$1,B532-1,0))*(Data!$DY$90:$IB$90=C532),0),"")</f>
        <v/>
      </c>
      <c r="K532" s="78" t="str">
        <f t="array" aca="1" ref="K532" ca="1">IF(H532=1,MATCH(I532,OFFSET(Data!$DX$91:$DX$190,0,Specials!J532)*(Data!$AM$91:$AM$190&gt;Parameter!$B$32)*(Data!$DW$91:$DW$190="M"),0),"")</f>
        <v/>
      </c>
      <c r="L532" s="78" t="str">
        <f ca="1">IF(H532=1,INDEX(Data!$DT$91:$DT$190,$K532)&amp;" / "&amp;OFFSET(Data!$DX$89,0,Specials!J532),"")</f>
        <v/>
      </c>
      <c r="M532" s="78" t="s">
        <v>1</v>
      </c>
      <c r="N532" s="78" t="s">
        <v>255</v>
      </c>
      <c r="O532" s="78" t="e">
        <f t="shared" ca="1" si="38"/>
        <v>#VALUE!</v>
      </c>
      <c r="P532" s="78" t="str">
        <f t="shared" ca="1" si="39"/>
        <v/>
      </c>
    </row>
    <row r="533" spans="1:16" s="78" customFormat="1" hidden="1" x14ac:dyDescent="0.25">
      <c r="A533" s="317" t="str">
        <f>"# Oh dear Men Rating &gt; "&amp;Parameter!$B$32</f>
        <v># Oh dear Men Rating &gt; 850</v>
      </c>
      <c r="B533" s="297">
        <f>MATCH(A533,Data!$DT:$DT,0)</f>
        <v>17</v>
      </c>
      <c r="C533" s="78">
        <f>INDEX(Parameter!$9:$9,,MATCH(25,Parameter!$8:$8,0))</f>
        <v>25</v>
      </c>
      <c r="D533" s="78" t="str">
        <f>INDEX(Parameter!$B$10:$AB$10,MATCH(C533,Parameter!$B$9:$AB$9,0))</f>
        <v>no</v>
      </c>
      <c r="H533" s="78">
        <f ca="1">INDEX(OFFSET(Data!$CS$1:$DS$1,B533-1,0),MATCH("Total/"&amp;C533,Data!$CS$1:$DS$1,0))</f>
        <v>0</v>
      </c>
      <c r="I533" s="78" t="str">
        <f ca="1">IF(H533=1,INDEX(Parameter!$B$10:$AB$10,MATCH(C533,Parameter!$B$9:$AB$9,0))+6,"")</f>
        <v/>
      </c>
      <c r="J533" s="78" t="str">
        <f t="array" aca="1" ref="J533" ca="1">IF(H533=1,MATCH(1,(OFFSET(Data!$DY$1:$IB$1,B533-1,0))*(Data!$DY$90:$IB$90=C533),0),"")</f>
        <v/>
      </c>
      <c r="K533" s="78" t="str">
        <f t="array" aca="1" ref="K533" ca="1">IF(H533=1,MATCH(I533,OFFSET(Data!$DX$91:$DX$190,0,Specials!J533)*(Data!$AM$91:$AM$190&gt;Parameter!$B$32)*(Data!$DW$91:$DW$190="M"),0),"")</f>
        <v/>
      </c>
      <c r="L533" s="78" t="str">
        <f ca="1">IF(H533=1,INDEX(Data!$DT$91:$DT$190,$K533)&amp;" / "&amp;OFFSET(Data!$DX$89,0,Specials!J533),"")</f>
        <v/>
      </c>
      <c r="M533" s="78" t="s">
        <v>1</v>
      </c>
      <c r="N533" s="78" t="s">
        <v>255</v>
      </c>
      <c r="O533" s="78" t="e">
        <f t="shared" ca="1" si="38"/>
        <v>#VALUE!</v>
      </c>
      <c r="P533" s="78" t="str">
        <f t="shared" ca="1" si="39"/>
        <v/>
      </c>
    </row>
    <row r="534" spans="1:16" s="78" customFormat="1" hidden="1" x14ac:dyDescent="0.25">
      <c r="A534" s="317" t="str">
        <f>"# Oh dear Men Rating &gt; "&amp;Parameter!$B$32</f>
        <v># Oh dear Men Rating &gt; 850</v>
      </c>
      <c r="B534" s="297">
        <f>MATCH(A534,Data!$DT:$DT,0)</f>
        <v>17</v>
      </c>
      <c r="C534" s="78">
        <f>INDEX(Parameter!$9:$9,,MATCH(26,Parameter!$8:$8,0))</f>
        <v>26</v>
      </c>
      <c r="D534" s="78" t="str">
        <f>INDEX(Parameter!$B$10:$AB$10,MATCH(C534,Parameter!$B$9:$AB$9,0))</f>
        <v>no</v>
      </c>
      <c r="H534" s="78">
        <f ca="1">INDEX(OFFSET(Data!$CS$1:$DS$1,B534-1,0),MATCH("Total/"&amp;C534,Data!$CS$1:$DS$1,0))</f>
        <v>0</v>
      </c>
      <c r="I534" s="78" t="str">
        <f ca="1">IF(H534=1,INDEX(Parameter!$B$10:$AB$10,MATCH(C534,Parameter!$B$9:$AB$9,0))+6,"")</f>
        <v/>
      </c>
      <c r="J534" s="78" t="str">
        <f t="array" aca="1" ref="J534" ca="1">IF(H534=1,MATCH(1,(OFFSET(Data!$DY$1:$IB$1,B534-1,0))*(Data!$DY$90:$IB$90=C534),0),"")</f>
        <v/>
      </c>
      <c r="K534" s="78" t="str">
        <f t="array" aca="1" ref="K534" ca="1">IF(H534=1,MATCH(I534,OFFSET(Data!$DX$91:$DX$190,0,Specials!J534)*(Data!$AM$91:$AM$190&gt;Parameter!$B$32)*(Data!$DW$91:$DW$190="M"),0),"")</f>
        <v/>
      </c>
      <c r="L534" s="78" t="str">
        <f ca="1">IF(H534=1,INDEX(Data!$DT$91:$DT$190,$K534)&amp;" / "&amp;OFFSET(Data!$DX$89,0,Specials!J534),"")</f>
        <v/>
      </c>
      <c r="M534" s="78" t="s">
        <v>1</v>
      </c>
      <c r="N534" s="78" t="s">
        <v>255</v>
      </c>
      <c r="O534" s="78" t="e">
        <f t="shared" ca="1" si="38"/>
        <v>#VALUE!</v>
      </c>
      <c r="P534" s="78" t="str">
        <f t="shared" ca="1" si="39"/>
        <v/>
      </c>
    </row>
    <row r="535" spans="1:16" s="78" customFormat="1" hidden="1" x14ac:dyDescent="0.25">
      <c r="A535" s="317" t="str">
        <f>"# Oh dear Men Rating &gt; "&amp;Parameter!$B$32</f>
        <v># Oh dear Men Rating &gt; 850</v>
      </c>
      <c r="B535" s="297">
        <f>MATCH(A535,Data!$DT:$DT,0)</f>
        <v>17</v>
      </c>
      <c r="C535" s="78">
        <f>INDEX(Parameter!$9:$9,,MATCH(27,Parameter!$8:$8,0))</f>
        <v>27</v>
      </c>
      <c r="D535" s="78" t="str">
        <f>INDEX(Parameter!$B$10:$AB$10,MATCH(C535,Parameter!$B$9:$AB$9,0))</f>
        <v>no</v>
      </c>
      <c r="H535" s="78">
        <f ca="1">INDEX(OFFSET(Data!$CS$1:$DS$1,B535-1,0),MATCH("Total/"&amp;C535,Data!$CS$1:$DS$1,0))</f>
        <v>0</v>
      </c>
      <c r="I535" s="78" t="str">
        <f ca="1">IF(H535=1,INDEX(Parameter!$B$10:$AB$10,MATCH(C535,Parameter!$B$9:$AB$9,0))+6,"")</f>
        <v/>
      </c>
      <c r="J535" s="78" t="str">
        <f t="array" aca="1" ref="J535" ca="1">IF(H535=1,MATCH(1,(OFFSET(Data!$DY$1:$IB$1,B535-1,0))*(Data!$DY$90:$IB$90=C535),0),"")</f>
        <v/>
      </c>
      <c r="K535" s="78" t="str">
        <f t="array" aca="1" ref="K535" ca="1">IF(H535=1,MATCH(I535,OFFSET(Data!$DX$91:$DX$190,0,Specials!J535)*(Data!$AM$91:$AM$190&gt;Parameter!$B$32)*(Data!$DW$91:$DW$190="M"),0),"")</f>
        <v/>
      </c>
      <c r="L535" s="78" t="str">
        <f ca="1">IF(H535=1,INDEX(Data!$DT$91:$DT$190,$K535)&amp;" / "&amp;OFFSET(Data!$DX$89,0,Specials!J535),"")</f>
        <v/>
      </c>
      <c r="M535" s="78" t="s">
        <v>1</v>
      </c>
      <c r="N535" s="78" t="s">
        <v>255</v>
      </c>
      <c r="O535" s="78" t="e">
        <f t="shared" ca="1" si="38"/>
        <v>#VALUE!</v>
      </c>
      <c r="P535" s="78" t="str">
        <f t="shared" ca="1" si="39"/>
        <v/>
      </c>
    </row>
    <row r="536" spans="1:16" s="78" customFormat="1" ht="15" hidden="1" customHeight="1" x14ac:dyDescent="0.25">
      <c r="A536" s="317" t="str">
        <f>"# Oh dear Men Rating &gt; "&amp;Parameter!$B$32</f>
        <v># Oh dear Men Rating &gt; 850</v>
      </c>
      <c r="B536" s="297">
        <f>MATCH(A536,Data!$DT:$DT,0)</f>
        <v>17</v>
      </c>
      <c r="C536" s="78">
        <f>INDEX(Parameter!$9:$9,,MATCH(1,Parameter!$8:$8,0))</f>
        <v>1</v>
      </c>
      <c r="D536" s="78">
        <f>INDEX(Parameter!$B$10:$AB$10,MATCH(C536,Parameter!$B$9:$AB$9,0))</f>
        <v>3</v>
      </c>
      <c r="H536" s="78">
        <f ca="1">INDEX(OFFSET(Data!$CS$1:$DS$1,B536-1,0),MATCH("Total/"&amp;C536,Data!$CS$1:$DS$1,0))</f>
        <v>0</v>
      </c>
      <c r="I536" s="78" t="str">
        <f ca="1">IF(H536=1,INDEX(Parameter!$B$10:$AB$10,MATCH(C536,Parameter!$B$9:$AB$9,0))+7,"")</f>
        <v/>
      </c>
      <c r="J536" s="78" t="str">
        <f t="array" aca="1" ref="J536" ca="1">IF(H536=1,MATCH(1,(OFFSET(Data!$DY$1:$IB$1,B536-1,0))*(Data!$DY$90:$IB$90=C536),0),"")</f>
        <v/>
      </c>
      <c r="K536" s="78" t="str">
        <f t="array" aca="1" ref="K536" ca="1">IF(H536=1,MATCH(I536,OFFSET(Data!$DX$91:$DX$190,0,Specials!J536)*(Data!$AM$91:$AM$190&gt;Parameter!$B$32)*(Data!$DW$91:$DW$190="M"),0),"")</f>
        <v/>
      </c>
      <c r="L536" s="78" t="str">
        <f ca="1">IF(H536=1,INDEX(Data!$DT$91:$DT$190,$K536)&amp;" / "&amp;OFFSET(Data!$DX$89,0,Specials!J536),"")</f>
        <v/>
      </c>
      <c r="M536" s="78" t="s">
        <v>1</v>
      </c>
      <c r="N536" s="78" t="s">
        <v>255</v>
      </c>
      <c r="O536" s="78" t="e">
        <f t="shared" ca="1" si="38"/>
        <v>#VALUE!</v>
      </c>
      <c r="P536" s="78" t="str">
        <f t="shared" ca="1" si="39"/>
        <v/>
      </c>
    </row>
    <row r="537" spans="1:16" s="78" customFormat="1" hidden="1" x14ac:dyDescent="0.25">
      <c r="A537" s="317" t="str">
        <f>"# Oh dear Men Rating &gt; "&amp;Parameter!$B$32</f>
        <v># Oh dear Men Rating &gt; 850</v>
      </c>
      <c r="B537" s="297">
        <f>MATCH(A537,Data!$DT:$DT,0)</f>
        <v>17</v>
      </c>
      <c r="C537" s="78">
        <f>INDEX(Parameter!$9:$9,,MATCH(2,Parameter!$8:$8,0))</f>
        <v>2</v>
      </c>
      <c r="D537" s="78">
        <f>INDEX(Parameter!$B$10:$AB$10,MATCH(C537,Parameter!$B$9:$AB$9,0))</f>
        <v>3</v>
      </c>
      <c r="H537" s="78">
        <f ca="1">INDEX(OFFSET(Data!$CS$1:$DS$1,B537-1,0),MATCH("Total/"&amp;C537,Data!$CS$1:$DS$1,0))</f>
        <v>0</v>
      </c>
      <c r="I537" s="78" t="str">
        <f ca="1">IF(H537=1,INDEX(Parameter!$B$10:$AB$10,MATCH(C537,Parameter!$B$9:$AB$9,0))+7,"")</f>
        <v/>
      </c>
      <c r="J537" s="78" t="str">
        <f t="array" aca="1" ref="J537" ca="1">IF(H537=1,MATCH(1,(OFFSET(Data!$DY$1:$IB$1,B537-1,0))*(Data!$DY$90:$IB$90=C537),0),"")</f>
        <v/>
      </c>
      <c r="K537" s="78" t="str">
        <f t="array" aca="1" ref="K537" ca="1">IF(H537=1,MATCH(I537,OFFSET(Data!$DX$91:$DX$190,0,Specials!J537)*(Data!$AM$91:$AM$190&gt;Parameter!$B$32)*(Data!$DW$91:$DW$190="M"),0),"")</f>
        <v/>
      </c>
      <c r="L537" s="78" t="str">
        <f ca="1">IF(H537=1,INDEX(Data!$DT$91:$DT$190,$K537)&amp;" / "&amp;OFFSET(Data!$DX$89,0,Specials!J537),"")</f>
        <v/>
      </c>
      <c r="M537" s="78" t="s">
        <v>1</v>
      </c>
      <c r="N537" s="78" t="s">
        <v>255</v>
      </c>
      <c r="O537" s="78" t="e">
        <f t="shared" ca="1" si="38"/>
        <v>#VALUE!</v>
      </c>
      <c r="P537" s="78" t="str">
        <f t="shared" ca="1" si="39"/>
        <v/>
      </c>
    </row>
    <row r="538" spans="1:16" s="78" customFormat="1" hidden="1" x14ac:dyDescent="0.25">
      <c r="A538" s="317" t="str">
        <f>"# Oh dear Men Rating &gt; "&amp;Parameter!$B$32</f>
        <v># Oh dear Men Rating &gt; 850</v>
      </c>
      <c r="B538" s="297">
        <f>MATCH(A538,Data!$DT:$DT,0)</f>
        <v>17</v>
      </c>
      <c r="C538" s="78">
        <f>INDEX(Parameter!$9:$9,,MATCH(3,Parameter!$8:$8,0))</f>
        <v>3</v>
      </c>
      <c r="D538" s="78">
        <f>INDEX(Parameter!$B$10:$AB$10,MATCH(C538,Parameter!$B$9:$AB$9,0))</f>
        <v>3</v>
      </c>
      <c r="H538" s="78">
        <f ca="1">INDEX(OFFSET(Data!$CS$1:$DS$1,B538-1,0),MATCH("Total/"&amp;C538,Data!$CS$1:$DS$1,0))</f>
        <v>0</v>
      </c>
      <c r="I538" s="78" t="str">
        <f ca="1">IF(H538=1,INDEX(Parameter!$B$10:$AB$10,MATCH(C538,Parameter!$B$9:$AB$9,0))+7,"")</f>
        <v/>
      </c>
      <c r="J538" s="78" t="str">
        <f t="array" aca="1" ref="J538" ca="1">IF(H538=1,MATCH(1,(OFFSET(Data!$DY$1:$IB$1,B538-1,0))*(Data!$DY$90:$IB$90=C538),0),"")</f>
        <v/>
      </c>
      <c r="K538" s="78" t="str">
        <f t="array" aca="1" ref="K538" ca="1">IF(H538=1,MATCH(I538,OFFSET(Data!$DX$91:$DX$190,0,Specials!J538)*(Data!$AM$91:$AM$190&gt;Parameter!$B$32)*(Data!$DW$91:$DW$190="M"),0),"")</f>
        <v/>
      </c>
      <c r="L538" s="78" t="str">
        <f ca="1">IF(H538=1,INDEX(Data!$DT$91:$DT$190,$K538)&amp;" / "&amp;OFFSET(Data!$DX$89,0,Specials!J538),"")</f>
        <v/>
      </c>
      <c r="M538" s="78" t="s">
        <v>1</v>
      </c>
      <c r="N538" s="78" t="s">
        <v>255</v>
      </c>
      <c r="O538" s="78" t="e">
        <f t="shared" ca="1" si="38"/>
        <v>#VALUE!</v>
      </c>
      <c r="P538" s="78" t="str">
        <f t="shared" ca="1" si="39"/>
        <v/>
      </c>
    </row>
    <row r="539" spans="1:16" s="78" customFormat="1" hidden="1" x14ac:dyDescent="0.25">
      <c r="A539" s="317" t="str">
        <f>"# Oh dear Men Rating &gt; "&amp;Parameter!$B$32</f>
        <v># Oh dear Men Rating &gt; 850</v>
      </c>
      <c r="B539" s="297">
        <f>MATCH(A539,Data!$DT:$DT,0)</f>
        <v>17</v>
      </c>
      <c r="C539" s="78">
        <f>INDEX(Parameter!$9:$9,,MATCH(4,Parameter!$8:$8,0))</f>
        <v>4</v>
      </c>
      <c r="D539" s="78">
        <f>INDEX(Parameter!$B$10:$AB$10,MATCH(C539,Parameter!$B$9:$AB$9,0))</f>
        <v>3</v>
      </c>
      <c r="H539" s="78">
        <f ca="1">INDEX(OFFSET(Data!$CS$1:$DS$1,B539-1,0),MATCH("Total/"&amp;C539,Data!$CS$1:$DS$1,0))</f>
        <v>0</v>
      </c>
      <c r="I539" s="78" t="str">
        <f ca="1">IF(H539=1,INDEX(Parameter!$B$10:$AB$10,MATCH(C539,Parameter!$B$9:$AB$9,0))+7,"")</f>
        <v/>
      </c>
      <c r="J539" s="78" t="str">
        <f t="array" aca="1" ref="J539" ca="1">IF(H539=1,MATCH(1,(OFFSET(Data!$DY$1:$IB$1,B539-1,0))*(Data!$DY$90:$IB$90=C539),0),"")</f>
        <v/>
      </c>
      <c r="K539" s="78" t="str">
        <f t="array" aca="1" ref="K539" ca="1">IF(H539=1,MATCH(I539,OFFSET(Data!$DX$91:$DX$190,0,Specials!J539)*(Data!$AM$91:$AM$190&gt;Parameter!$B$32)*(Data!$DW$91:$DW$190="M"),0),"")</f>
        <v/>
      </c>
      <c r="L539" s="78" t="str">
        <f ca="1">IF(H539=1,INDEX(Data!$DT$91:$DT$190,$K539)&amp;" / "&amp;OFFSET(Data!$DX$89,0,Specials!J539),"")</f>
        <v/>
      </c>
      <c r="M539" s="78" t="s">
        <v>1</v>
      </c>
      <c r="N539" s="78" t="s">
        <v>255</v>
      </c>
      <c r="O539" s="78" t="e">
        <f t="shared" ca="1" si="38"/>
        <v>#VALUE!</v>
      </c>
      <c r="P539" s="78" t="str">
        <f t="shared" ca="1" si="39"/>
        <v/>
      </c>
    </row>
    <row r="540" spans="1:16" s="78" customFormat="1" hidden="1" x14ac:dyDescent="0.25">
      <c r="A540" s="317" t="str">
        <f>"# Oh dear Men Rating &gt; "&amp;Parameter!$B$32</f>
        <v># Oh dear Men Rating &gt; 850</v>
      </c>
      <c r="B540" s="297">
        <f>MATCH(A540,Data!$DT:$DT,0)</f>
        <v>17</v>
      </c>
      <c r="C540" s="78">
        <f>INDEX(Parameter!$9:$9,,MATCH(5,Parameter!$8:$8,0))</f>
        <v>5</v>
      </c>
      <c r="D540" s="78">
        <f>INDEX(Parameter!$B$10:$AB$10,MATCH(C540,Parameter!$B$9:$AB$9,0))</f>
        <v>4</v>
      </c>
      <c r="H540" s="78">
        <f ca="1">INDEX(OFFSET(Data!$CS$1:$DS$1,B540-1,0),MATCH("Total/"&amp;C540,Data!$CS$1:$DS$1,0))</f>
        <v>0</v>
      </c>
      <c r="I540" s="78" t="str">
        <f ca="1">IF(H540=1,INDEX(Parameter!$B$10:$AB$10,MATCH(C540,Parameter!$B$9:$AB$9,0))+7,"")</f>
        <v/>
      </c>
      <c r="J540" s="78" t="str">
        <f t="array" aca="1" ref="J540" ca="1">IF(H540=1,MATCH(1,(OFFSET(Data!$DY$1:$IB$1,B540-1,0))*(Data!$DY$90:$IB$90=C540),0),"")</f>
        <v/>
      </c>
      <c r="K540" s="78" t="str">
        <f t="array" aca="1" ref="K540" ca="1">IF(H540=1,MATCH(I540,OFFSET(Data!$DX$91:$DX$190,0,Specials!J540)*(Data!$AM$91:$AM$190&gt;Parameter!$B$32)*(Data!$DW$91:$DW$190="M"),0),"")</f>
        <v/>
      </c>
      <c r="L540" s="78" t="str">
        <f ca="1">IF(H540=1,INDEX(Data!$DT$91:$DT$190,$K540)&amp;" / "&amp;OFFSET(Data!$DX$89,0,Specials!J540),"")</f>
        <v/>
      </c>
      <c r="M540" s="78" t="s">
        <v>1</v>
      </c>
      <c r="N540" s="78" t="s">
        <v>255</v>
      </c>
      <c r="O540" s="78" t="e">
        <f t="shared" ca="1" si="38"/>
        <v>#VALUE!</v>
      </c>
      <c r="P540" s="78" t="str">
        <f t="shared" ca="1" si="39"/>
        <v/>
      </c>
    </row>
    <row r="541" spans="1:16" s="78" customFormat="1" hidden="1" x14ac:dyDescent="0.25">
      <c r="A541" s="317" t="str">
        <f>"# Oh dear Men Rating &gt; "&amp;Parameter!$B$32</f>
        <v># Oh dear Men Rating &gt; 850</v>
      </c>
      <c r="B541" s="297">
        <f>MATCH(A541,Data!$DT:$DT,0)</f>
        <v>17</v>
      </c>
      <c r="C541" s="78">
        <f>INDEX(Parameter!$9:$9,,MATCH(6,Parameter!$8:$8,0))</f>
        <v>6</v>
      </c>
      <c r="D541" s="78">
        <f>INDEX(Parameter!$B$10:$AB$10,MATCH(C541,Parameter!$B$9:$AB$9,0))</f>
        <v>3</v>
      </c>
      <c r="H541" s="78">
        <f ca="1">INDEX(OFFSET(Data!$CS$1:$DS$1,B541-1,0),MATCH("Total/"&amp;C541,Data!$CS$1:$DS$1,0))</f>
        <v>0</v>
      </c>
      <c r="I541" s="78" t="str">
        <f ca="1">IF(H541=1,INDEX(Parameter!$B$10:$AB$10,MATCH(C541,Parameter!$B$9:$AB$9,0))+7,"")</f>
        <v/>
      </c>
      <c r="J541" s="78" t="str">
        <f t="array" aca="1" ref="J541" ca="1">IF(H541=1,MATCH(1,(OFFSET(Data!$DY$1:$IB$1,B541-1,0))*(Data!$DY$90:$IB$90=C541),0),"")</f>
        <v/>
      </c>
      <c r="K541" s="78" t="str">
        <f t="array" aca="1" ref="K541" ca="1">IF(H541=1,MATCH(I541,OFFSET(Data!$DX$91:$DX$190,0,Specials!J541)*(Data!$AM$91:$AM$190&gt;Parameter!$B$32)*(Data!$DW$91:$DW$190="M"),0),"")</f>
        <v/>
      </c>
      <c r="L541" s="78" t="str">
        <f ca="1">IF(H541=1,INDEX(Data!$DT$91:$DT$190,$K541)&amp;" / "&amp;OFFSET(Data!$DX$89,0,Specials!J541),"")</f>
        <v/>
      </c>
      <c r="M541" s="78" t="s">
        <v>1</v>
      </c>
      <c r="N541" s="78" t="s">
        <v>255</v>
      </c>
      <c r="O541" s="78" t="e">
        <f t="shared" ca="1" si="38"/>
        <v>#VALUE!</v>
      </c>
      <c r="P541" s="78" t="str">
        <f t="shared" ca="1" si="39"/>
        <v/>
      </c>
    </row>
    <row r="542" spans="1:16" s="78" customFormat="1" hidden="1" x14ac:dyDescent="0.25">
      <c r="A542" s="317" t="str">
        <f>"# Oh dear Men Rating &gt; "&amp;Parameter!$B$32</f>
        <v># Oh dear Men Rating &gt; 850</v>
      </c>
      <c r="B542" s="297">
        <f>MATCH(A542,Data!$DT:$DT,0)</f>
        <v>17</v>
      </c>
      <c r="C542" s="78">
        <f>INDEX(Parameter!$9:$9,,MATCH(7,Parameter!$8:$8,0))</f>
        <v>7</v>
      </c>
      <c r="D542" s="78">
        <f>INDEX(Parameter!$B$10:$AB$10,MATCH(C542,Parameter!$B$9:$AB$9,0))</f>
        <v>3</v>
      </c>
      <c r="H542" s="78">
        <f ca="1">INDEX(OFFSET(Data!$CS$1:$DS$1,B542-1,0),MATCH("Total/"&amp;C542,Data!$CS$1:$DS$1,0))</f>
        <v>0</v>
      </c>
      <c r="I542" s="78" t="str">
        <f ca="1">IF(H542=1,INDEX(Parameter!$B$10:$AB$10,MATCH(C542,Parameter!$B$9:$AB$9,0))+7,"")</f>
        <v/>
      </c>
      <c r="J542" s="78" t="str">
        <f t="array" aca="1" ref="J542" ca="1">IF(H542=1,MATCH(1,(OFFSET(Data!$DY$1:$IB$1,B542-1,0))*(Data!$DY$90:$IB$90=C542),0),"")</f>
        <v/>
      </c>
      <c r="K542" s="78" t="str">
        <f t="array" aca="1" ref="K542" ca="1">IF(H542=1,MATCH(I542,OFFSET(Data!$DX$91:$DX$190,0,Specials!J542)*(Data!$AM$91:$AM$190&gt;Parameter!$B$32)*(Data!$DW$91:$DW$190="M"),0),"")</f>
        <v/>
      </c>
      <c r="L542" s="78" t="str">
        <f ca="1">IF(H542=1,INDEX(Data!$DT$91:$DT$190,$K542)&amp;" / "&amp;OFFSET(Data!$DX$89,0,Specials!J542),"")</f>
        <v/>
      </c>
      <c r="M542" s="78" t="s">
        <v>1</v>
      </c>
      <c r="N542" s="78" t="s">
        <v>255</v>
      </c>
      <c r="O542" s="78" t="e">
        <f t="shared" ca="1" si="38"/>
        <v>#VALUE!</v>
      </c>
      <c r="P542" s="78" t="str">
        <f t="shared" ca="1" si="39"/>
        <v/>
      </c>
    </row>
    <row r="543" spans="1:16" s="78" customFormat="1" hidden="1" x14ac:dyDescent="0.25">
      <c r="A543" s="317" t="str">
        <f>"# Oh dear Men Rating &gt; "&amp;Parameter!$B$32</f>
        <v># Oh dear Men Rating &gt; 850</v>
      </c>
      <c r="B543" s="297">
        <f>MATCH(A543,Data!$DT:$DT,0)</f>
        <v>17</v>
      </c>
      <c r="C543" s="78">
        <f>INDEX(Parameter!$9:$9,,MATCH(8,Parameter!$8:$8,0))</f>
        <v>8</v>
      </c>
      <c r="D543" s="78">
        <f>INDEX(Parameter!$B$10:$AB$10,MATCH(C543,Parameter!$B$9:$AB$9,0))</f>
        <v>3</v>
      </c>
      <c r="H543" s="78">
        <f ca="1">INDEX(OFFSET(Data!$CS$1:$DS$1,B543-1,0),MATCH("Total/"&amp;C543,Data!$CS$1:$DS$1,0))</f>
        <v>0</v>
      </c>
      <c r="I543" s="78" t="str">
        <f ca="1">IF(H543=1,INDEX(Parameter!$B$10:$AB$10,MATCH(C543,Parameter!$B$9:$AB$9,0))+7,"")</f>
        <v/>
      </c>
      <c r="J543" s="78" t="str">
        <f t="array" aca="1" ref="J543" ca="1">IF(H543=1,MATCH(1,(OFFSET(Data!$DY$1:$IB$1,B543-1,0))*(Data!$DY$90:$IB$90=C543),0),"")</f>
        <v/>
      </c>
      <c r="K543" s="78" t="str">
        <f t="array" aca="1" ref="K543" ca="1">IF(H543=1,MATCH(I543,OFFSET(Data!$DX$91:$DX$190,0,Specials!J543)*(Data!$AM$91:$AM$190&gt;Parameter!$B$32)*(Data!$DW$91:$DW$190="M"),0),"")</f>
        <v/>
      </c>
      <c r="L543" s="78" t="str">
        <f ca="1">IF(H543=1,INDEX(Data!$DT$91:$DT$190,$K543)&amp;" / "&amp;OFFSET(Data!$DX$89,0,Specials!J543),"")</f>
        <v/>
      </c>
      <c r="M543" s="78" t="s">
        <v>1</v>
      </c>
      <c r="N543" s="78" t="s">
        <v>255</v>
      </c>
      <c r="O543" s="78" t="e">
        <f t="shared" ca="1" si="38"/>
        <v>#VALUE!</v>
      </c>
      <c r="P543" s="78" t="str">
        <f t="shared" ca="1" si="39"/>
        <v/>
      </c>
    </row>
    <row r="544" spans="1:16" s="78" customFormat="1" hidden="1" x14ac:dyDescent="0.25">
      <c r="A544" s="317" t="str">
        <f>"# Oh dear Men Rating &gt; "&amp;Parameter!$B$32</f>
        <v># Oh dear Men Rating &gt; 850</v>
      </c>
      <c r="B544" s="297">
        <f>MATCH(A544,Data!$DT:$DT,0)</f>
        <v>17</v>
      </c>
      <c r="C544" s="78">
        <f>INDEX(Parameter!$9:$9,,MATCH(9,Parameter!$8:$8,0))</f>
        <v>9</v>
      </c>
      <c r="D544" s="78">
        <f>INDEX(Parameter!$B$10:$AB$10,MATCH(C544,Parameter!$B$9:$AB$9,0))</f>
        <v>4</v>
      </c>
      <c r="H544" s="78">
        <f ca="1">INDEX(OFFSET(Data!$CS$1:$DS$1,B544-1,0),MATCH("Total/"&amp;C544,Data!$CS$1:$DS$1,0))</f>
        <v>0</v>
      </c>
      <c r="I544" s="78" t="str">
        <f ca="1">IF(H544=1,INDEX(Parameter!$B$10:$AB$10,MATCH(C544,Parameter!$B$9:$AB$9,0))+7,"")</f>
        <v/>
      </c>
      <c r="J544" s="78" t="str">
        <f t="array" aca="1" ref="J544" ca="1">IF(H544=1,MATCH(1,(OFFSET(Data!$DY$1:$IB$1,B544-1,0))*(Data!$DY$90:$IB$90=C544),0),"")</f>
        <v/>
      </c>
      <c r="K544" s="78" t="str">
        <f t="array" aca="1" ref="K544" ca="1">IF(H544=1,MATCH(I544,OFFSET(Data!$DX$91:$DX$190,0,Specials!J544)*(Data!$AM$91:$AM$190&gt;Parameter!$B$32)*(Data!$DW$91:$DW$190="M"),0),"")</f>
        <v/>
      </c>
      <c r="L544" s="78" t="str">
        <f ca="1">IF(H544=1,INDEX(Data!$DT$91:$DT$190,$K544)&amp;" / "&amp;OFFSET(Data!$DX$89,0,Specials!J544),"")</f>
        <v/>
      </c>
      <c r="M544" s="78" t="s">
        <v>1</v>
      </c>
      <c r="N544" s="78" t="s">
        <v>255</v>
      </c>
      <c r="O544" s="78" t="e">
        <f t="shared" ca="1" si="38"/>
        <v>#VALUE!</v>
      </c>
      <c r="P544" s="78" t="str">
        <f t="shared" ca="1" si="39"/>
        <v/>
      </c>
    </row>
    <row r="545" spans="1:16" s="78" customFormat="1" hidden="1" x14ac:dyDescent="0.25">
      <c r="A545" s="317" t="str">
        <f>"# Oh dear Men Rating &gt; "&amp;Parameter!$B$32</f>
        <v># Oh dear Men Rating &gt; 850</v>
      </c>
      <c r="B545" s="297">
        <f>MATCH(A545,Data!$DT:$DT,0)</f>
        <v>17</v>
      </c>
      <c r="C545" s="78">
        <f>INDEX(Parameter!$9:$9,,MATCH(10,Parameter!$8:$8,0))</f>
        <v>10</v>
      </c>
      <c r="D545" s="78">
        <f>INDEX(Parameter!$B$10:$AB$10,MATCH(C545,Parameter!$B$9:$AB$9,0))</f>
        <v>4</v>
      </c>
      <c r="H545" s="78">
        <f ca="1">INDEX(OFFSET(Data!$CS$1:$DS$1,B545-1,0),MATCH("Total/"&amp;C545,Data!$CS$1:$DS$1,0))</f>
        <v>0</v>
      </c>
      <c r="I545" s="78" t="str">
        <f ca="1">IF(H545=1,INDEX(Parameter!$B$10:$AB$10,MATCH(C545,Parameter!$B$9:$AB$9,0))+7,"")</f>
        <v/>
      </c>
      <c r="J545" s="78" t="str">
        <f t="array" aca="1" ref="J545" ca="1">IF(H545=1,MATCH(1,(OFFSET(Data!$DY$1:$IB$1,B545-1,0))*(Data!$DY$90:$IB$90=C545),0),"")</f>
        <v/>
      </c>
      <c r="K545" s="78" t="str">
        <f t="array" aca="1" ref="K545" ca="1">IF(H545=1,MATCH(I545,OFFSET(Data!$DX$91:$DX$190,0,Specials!J545)*(Data!$AM$91:$AM$190&gt;Parameter!$B$32)*(Data!$DW$91:$DW$190="M"),0),"")</f>
        <v/>
      </c>
      <c r="L545" s="78" t="str">
        <f ca="1">IF(H545=1,INDEX(Data!$DT$91:$DT$190,$K545)&amp;" / "&amp;OFFSET(Data!$DX$89,0,Specials!J545),"")</f>
        <v/>
      </c>
      <c r="M545" s="78" t="s">
        <v>1</v>
      </c>
      <c r="N545" s="78" t="s">
        <v>255</v>
      </c>
      <c r="O545" s="78" t="e">
        <f t="shared" ca="1" si="38"/>
        <v>#VALUE!</v>
      </c>
      <c r="P545" s="78" t="str">
        <f t="shared" ca="1" si="39"/>
        <v/>
      </c>
    </row>
    <row r="546" spans="1:16" s="78" customFormat="1" hidden="1" x14ac:dyDescent="0.25">
      <c r="A546" s="317" t="str">
        <f>"# Oh dear Men Rating &gt; "&amp;Parameter!$B$32</f>
        <v># Oh dear Men Rating &gt; 850</v>
      </c>
      <c r="B546" s="297">
        <f>MATCH(A546,Data!$DT:$DT,0)</f>
        <v>17</v>
      </c>
      <c r="C546" s="78">
        <f>INDEX(Parameter!$9:$9,,MATCH(11,Parameter!$8:$8,0))</f>
        <v>11</v>
      </c>
      <c r="D546" s="78">
        <f>INDEX(Parameter!$B$10:$AB$10,MATCH(C546,Parameter!$B$9:$AB$9,0))</f>
        <v>4</v>
      </c>
      <c r="H546" s="78">
        <f ca="1">INDEX(OFFSET(Data!$CS$1:$DS$1,B546-1,0),MATCH("Total/"&amp;C546,Data!$CS$1:$DS$1,0))</f>
        <v>0</v>
      </c>
      <c r="I546" s="78" t="str">
        <f ca="1">IF(H546=1,INDEX(Parameter!$B$10:$AB$10,MATCH(C546,Parameter!$B$9:$AB$9,0))+7,"")</f>
        <v/>
      </c>
      <c r="J546" s="78" t="str">
        <f t="array" aca="1" ref="J546" ca="1">IF(H546=1,MATCH(1,(OFFSET(Data!$DY$1:$IB$1,B546-1,0))*(Data!$DY$90:$IB$90=C546),0),"")</f>
        <v/>
      </c>
      <c r="K546" s="78" t="str">
        <f t="array" aca="1" ref="K546" ca="1">IF(H546=1,MATCH(I546,OFFSET(Data!$DX$91:$DX$190,0,Specials!J546)*(Data!$AM$91:$AM$190&gt;Parameter!$B$32)*(Data!$DW$91:$DW$190="M"),0),"")</f>
        <v/>
      </c>
      <c r="L546" s="78" t="str">
        <f ca="1">IF(H546=1,INDEX(Data!$DT$91:$DT$190,$K546)&amp;" / "&amp;OFFSET(Data!$DX$89,0,Specials!J546),"")</f>
        <v/>
      </c>
      <c r="M546" s="78" t="s">
        <v>1</v>
      </c>
      <c r="N546" s="78" t="s">
        <v>255</v>
      </c>
      <c r="O546" s="78" t="e">
        <f t="shared" ca="1" si="38"/>
        <v>#VALUE!</v>
      </c>
      <c r="P546" s="78" t="str">
        <f t="shared" ca="1" si="39"/>
        <v/>
      </c>
    </row>
    <row r="547" spans="1:16" s="78" customFormat="1" hidden="1" x14ac:dyDescent="0.25">
      <c r="A547" s="317" t="str">
        <f>"# Oh dear Men Rating &gt; "&amp;Parameter!$B$32</f>
        <v># Oh dear Men Rating &gt; 850</v>
      </c>
      <c r="B547" s="297">
        <f>MATCH(A547,Data!$DT:$DT,0)</f>
        <v>17</v>
      </c>
      <c r="C547" s="78" t="str">
        <f>INDEX(Parameter!$9:$9,,MATCH(12,Parameter!$8:$8,0))</f>
        <v>11b</v>
      </c>
      <c r="D547" s="78">
        <f>INDEX(Parameter!$B$10:$AB$10,MATCH(C547,Parameter!$B$9:$AB$9,0))</f>
        <v>3</v>
      </c>
      <c r="H547" s="78">
        <f ca="1">INDEX(OFFSET(Data!$CS$1:$DS$1,B547-1,0),MATCH("Total/"&amp;C547,Data!$CS$1:$DS$1,0))</f>
        <v>0</v>
      </c>
      <c r="I547" s="78" t="str">
        <f ca="1">IF(H547=1,INDEX(Parameter!$B$10:$AB$10,MATCH(C547,Parameter!$B$9:$AB$9,0))+7,"")</f>
        <v/>
      </c>
      <c r="J547" s="78" t="str">
        <f t="array" aca="1" ref="J547" ca="1">IF(H547=1,MATCH(1,(OFFSET(Data!$DY$1:$IB$1,B547-1,0))*(Data!$DY$90:$IB$90=C547),0),"")</f>
        <v/>
      </c>
      <c r="K547" s="78" t="str">
        <f t="array" aca="1" ref="K547" ca="1">IF(H547=1,MATCH(I547,OFFSET(Data!$DX$91:$DX$190,0,Specials!J547)*(Data!$AM$91:$AM$190&gt;Parameter!$B$32)*(Data!$DW$91:$DW$190="M"),0),"")</f>
        <v/>
      </c>
      <c r="L547" s="78" t="str">
        <f ca="1">IF(H547=1,INDEX(Data!$DT$91:$DT$190,$K547)&amp;" / "&amp;OFFSET(Data!$DX$89,0,Specials!J547),"")</f>
        <v/>
      </c>
      <c r="M547" s="78" t="s">
        <v>1</v>
      </c>
      <c r="N547" s="78" t="s">
        <v>255</v>
      </c>
      <c r="O547" s="78" t="e">
        <f t="shared" ca="1" si="38"/>
        <v>#VALUE!</v>
      </c>
      <c r="P547" s="78" t="str">
        <f t="shared" ca="1" si="39"/>
        <v/>
      </c>
    </row>
    <row r="548" spans="1:16" s="78" customFormat="1" hidden="1" x14ac:dyDescent="0.25">
      <c r="A548" s="317" t="str">
        <f>"# Oh dear Men Rating &gt; "&amp;Parameter!$B$32</f>
        <v># Oh dear Men Rating &gt; 850</v>
      </c>
      <c r="B548" s="297">
        <f>MATCH(A548,Data!$DT:$DT,0)</f>
        <v>17</v>
      </c>
      <c r="C548" s="78">
        <f>INDEX(Parameter!$9:$9,,MATCH(13,Parameter!$8:$8,0))</f>
        <v>12</v>
      </c>
      <c r="D548" s="78">
        <f>INDEX(Parameter!$B$10:$AB$10,MATCH(C548,Parameter!$B$9:$AB$9,0))</f>
        <v>3</v>
      </c>
      <c r="H548" s="78">
        <f ca="1">INDEX(OFFSET(Data!$CS$1:$DS$1,B548-1,0),MATCH("Total/"&amp;C548,Data!$CS$1:$DS$1,0))</f>
        <v>0</v>
      </c>
      <c r="I548" s="78" t="str">
        <f ca="1">IF(H548=1,INDEX(Parameter!$B$10:$AB$10,MATCH(C548,Parameter!$B$9:$AB$9,0))+7,"")</f>
        <v/>
      </c>
      <c r="J548" s="78" t="str">
        <f t="array" aca="1" ref="J548" ca="1">IF(H548=1,MATCH(1,(OFFSET(Data!$DY$1:$IB$1,B548-1,0))*(Data!$DY$90:$IB$90=C548),0),"")</f>
        <v/>
      </c>
      <c r="K548" s="78" t="str">
        <f t="array" aca="1" ref="K548" ca="1">IF(H548=1,MATCH(I548,OFFSET(Data!$DX$91:$DX$190,0,Specials!J548)*(Data!$AM$91:$AM$190&gt;Parameter!$B$32)*(Data!$DW$91:$DW$190="M"),0),"")</f>
        <v/>
      </c>
      <c r="L548" s="78" t="str">
        <f ca="1">IF(H548=1,INDEX(Data!$DT$91:$DT$190,$K548)&amp;" / "&amp;OFFSET(Data!$DX$89,0,Specials!J548),"")</f>
        <v/>
      </c>
      <c r="M548" s="78" t="s">
        <v>1</v>
      </c>
      <c r="N548" s="78" t="s">
        <v>255</v>
      </c>
      <c r="O548" s="78" t="e">
        <f t="shared" ca="1" si="38"/>
        <v>#VALUE!</v>
      </c>
      <c r="P548" s="78" t="str">
        <f t="shared" ca="1" si="39"/>
        <v/>
      </c>
    </row>
    <row r="549" spans="1:16" s="78" customFormat="1" hidden="1" x14ac:dyDescent="0.25">
      <c r="A549" s="317" t="str">
        <f>"# Oh dear Men Rating &gt; "&amp;Parameter!$B$32</f>
        <v># Oh dear Men Rating &gt; 850</v>
      </c>
      <c r="B549" s="297">
        <f>MATCH(A549,Data!$DT:$DT,0)</f>
        <v>17</v>
      </c>
      <c r="C549" s="78">
        <f>INDEX(Parameter!$9:$9,,MATCH(14,Parameter!$8:$8,0))</f>
        <v>13</v>
      </c>
      <c r="D549" s="78">
        <f>INDEX(Parameter!$B$10:$AB$10,MATCH(C549,Parameter!$B$9:$AB$9,0))</f>
        <v>3</v>
      </c>
      <c r="H549" s="78">
        <f ca="1">INDEX(OFFSET(Data!$CS$1:$DS$1,B549-1,0),MATCH("Total/"&amp;C549,Data!$CS$1:$DS$1,0))</f>
        <v>0</v>
      </c>
      <c r="I549" s="78" t="str">
        <f ca="1">IF(H549=1,INDEX(Parameter!$B$10:$AB$10,MATCH(C549,Parameter!$B$9:$AB$9,0))+7,"")</f>
        <v/>
      </c>
      <c r="J549" s="78" t="str">
        <f t="array" aca="1" ref="J549" ca="1">IF(H549=1,MATCH(1,(OFFSET(Data!$DY$1:$IB$1,B549-1,0))*(Data!$DY$90:$IB$90=C549),0),"")</f>
        <v/>
      </c>
      <c r="K549" s="78" t="str">
        <f t="array" aca="1" ref="K549" ca="1">IF(H549=1,MATCH(I549,OFFSET(Data!$DX$91:$DX$190,0,Specials!J549)*(Data!$AM$91:$AM$190&gt;Parameter!$B$32)*(Data!$DW$91:$DW$190="M"),0),"")</f>
        <v/>
      </c>
      <c r="L549" s="78" t="str">
        <f ca="1">IF(H549=1,INDEX(Data!$DT$91:$DT$190,$K549)&amp;" / "&amp;OFFSET(Data!$DX$89,0,Specials!J549),"")</f>
        <v/>
      </c>
      <c r="M549" s="78" t="s">
        <v>1</v>
      </c>
      <c r="N549" s="78" t="s">
        <v>255</v>
      </c>
      <c r="O549" s="78" t="e">
        <f t="shared" ca="1" si="38"/>
        <v>#VALUE!</v>
      </c>
      <c r="P549" s="78" t="str">
        <f t="shared" ca="1" si="39"/>
        <v/>
      </c>
    </row>
    <row r="550" spans="1:16" s="78" customFormat="1" hidden="1" x14ac:dyDescent="0.25">
      <c r="A550" s="317" t="str">
        <f>"# Oh dear Men Rating &gt; "&amp;Parameter!$B$32</f>
        <v># Oh dear Men Rating &gt; 850</v>
      </c>
      <c r="B550" s="297">
        <f>MATCH(A550,Data!$DT:$DT,0)</f>
        <v>17</v>
      </c>
      <c r="C550" s="78">
        <f>INDEX(Parameter!$9:$9,,MATCH(15,Parameter!$8:$8,0))</f>
        <v>14</v>
      </c>
      <c r="D550" s="78">
        <f>INDEX(Parameter!$B$10:$AB$10,MATCH(C550,Parameter!$B$9:$AB$9,0))</f>
        <v>3</v>
      </c>
      <c r="H550" s="78">
        <f ca="1">INDEX(OFFSET(Data!$CS$1:$DS$1,B550-1,0),MATCH("Total/"&amp;C550,Data!$CS$1:$DS$1,0))</f>
        <v>0</v>
      </c>
      <c r="I550" s="78" t="str">
        <f ca="1">IF(H550=1,INDEX(Parameter!$B$10:$AB$10,MATCH(C550,Parameter!$B$9:$AB$9,0))+7,"")</f>
        <v/>
      </c>
      <c r="J550" s="78" t="str">
        <f t="array" aca="1" ref="J550" ca="1">IF(H550=1,MATCH(1,(OFFSET(Data!$DY$1:$IB$1,B550-1,0))*(Data!$DY$90:$IB$90=C550),0),"")</f>
        <v/>
      </c>
      <c r="K550" s="78" t="str">
        <f t="array" aca="1" ref="K550" ca="1">IF(H550=1,MATCH(I550,OFFSET(Data!$DX$91:$DX$190,0,Specials!J550)*(Data!$AM$91:$AM$190&gt;Parameter!$B$32)*(Data!$DW$91:$DW$190="M"),0),"")</f>
        <v/>
      </c>
      <c r="L550" s="78" t="str">
        <f ca="1">IF(H550=1,INDEX(Data!$DT$91:$DT$190,$K550)&amp;" / "&amp;OFFSET(Data!$DX$89,0,Specials!J550),"")</f>
        <v/>
      </c>
      <c r="M550" s="78" t="s">
        <v>1</v>
      </c>
      <c r="N550" s="78" t="s">
        <v>255</v>
      </c>
      <c r="O550" s="78" t="e">
        <f t="shared" ca="1" si="38"/>
        <v>#VALUE!</v>
      </c>
      <c r="P550" s="78" t="str">
        <f t="shared" ca="1" si="39"/>
        <v/>
      </c>
    </row>
    <row r="551" spans="1:16" s="78" customFormat="1" hidden="1" x14ac:dyDescent="0.25">
      <c r="A551" s="317" t="str">
        <f>"# Oh dear Men Rating &gt; "&amp;Parameter!$B$32</f>
        <v># Oh dear Men Rating &gt; 850</v>
      </c>
      <c r="B551" s="297">
        <f>MATCH(A551,Data!$DT:$DT,0)</f>
        <v>17</v>
      </c>
      <c r="C551" s="78">
        <f>INDEX(Parameter!$9:$9,,MATCH(16,Parameter!$8:$8,0))</f>
        <v>15</v>
      </c>
      <c r="D551" s="78">
        <f>INDEX(Parameter!$B$10:$AB$10,MATCH(C551,Parameter!$B$9:$AB$9,0))</f>
        <v>3</v>
      </c>
      <c r="H551" s="78">
        <f ca="1">INDEX(OFFSET(Data!$CS$1:$DS$1,B551-1,0),MATCH("Total/"&amp;C551,Data!$CS$1:$DS$1,0))</f>
        <v>0</v>
      </c>
      <c r="I551" s="78" t="str">
        <f ca="1">IF(H551=1,INDEX(Parameter!$B$10:$AB$10,MATCH(C551,Parameter!$B$9:$AB$9,0))+7,"")</f>
        <v/>
      </c>
      <c r="J551" s="78" t="str">
        <f t="array" aca="1" ref="J551" ca="1">IF(H551=1,MATCH(1,(OFFSET(Data!$DY$1:$IB$1,B551-1,0))*(Data!$DY$90:$IB$90=C551),0),"")</f>
        <v/>
      </c>
      <c r="K551" s="78" t="str">
        <f t="array" aca="1" ref="K551" ca="1">IF(H551=1,MATCH(I551,OFFSET(Data!$DX$91:$DX$190,0,Specials!J551)*(Data!$AM$91:$AM$190&gt;Parameter!$B$32)*(Data!$DW$91:$DW$190="M"),0),"")</f>
        <v/>
      </c>
      <c r="L551" s="78" t="str">
        <f ca="1">IF(H551=1,INDEX(Data!$DT$91:$DT$190,$K551)&amp;" / "&amp;OFFSET(Data!$DX$89,0,Specials!J551),"")</f>
        <v/>
      </c>
      <c r="M551" s="78" t="s">
        <v>1</v>
      </c>
      <c r="N551" s="78" t="s">
        <v>255</v>
      </c>
      <c r="O551" s="78" t="e">
        <f t="shared" ca="1" si="38"/>
        <v>#VALUE!</v>
      </c>
      <c r="P551" s="78" t="str">
        <f t="shared" ca="1" si="39"/>
        <v/>
      </c>
    </row>
    <row r="552" spans="1:16" s="78" customFormat="1" hidden="1" x14ac:dyDescent="0.25">
      <c r="A552" s="317" t="str">
        <f>"# Oh dear Men Rating &gt; "&amp;Parameter!$B$32</f>
        <v># Oh dear Men Rating &gt; 850</v>
      </c>
      <c r="B552" s="297">
        <f>MATCH(A552,Data!$DT:$DT,0)</f>
        <v>17</v>
      </c>
      <c r="C552" s="78">
        <f>INDEX(Parameter!$9:$9,,MATCH(17,Parameter!$8:$8,0))</f>
        <v>16</v>
      </c>
      <c r="D552" s="78">
        <f>INDEX(Parameter!$B$10:$AB$10,MATCH(C552,Parameter!$B$9:$AB$9,0))</f>
        <v>3</v>
      </c>
      <c r="H552" s="78">
        <f ca="1">INDEX(OFFSET(Data!$CS$1:$DS$1,B552-1,0),MATCH("Total/"&amp;C552,Data!$CS$1:$DS$1,0))</f>
        <v>0</v>
      </c>
      <c r="I552" s="78" t="str">
        <f ca="1">IF(H552=1,INDEX(Parameter!$B$10:$AB$10,MATCH(C552,Parameter!$B$9:$AB$9,0))+7,"")</f>
        <v/>
      </c>
      <c r="J552" s="78" t="str">
        <f t="array" aca="1" ref="J552" ca="1">IF(H552=1,MATCH(1,(OFFSET(Data!$DY$1:$IB$1,B552-1,0))*(Data!$DY$90:$IB$90=C552),0),"")</f>
        <v/>
      </c>
      <c r="K552" s="78" t="str">
        <f t="array" aca="1" ref="K552" ca="1">IF(H552=1,MATCH(I552,OFFSET(Data!$DX$91:$DX$190,0,Specials!J552)*(Data!$AM$91:$AM$190&gt;Parameter!$B$32)*(Data!$DW$91:$DW$190="M"),0),"")</f>
        <v/>
      </c>
      <c r="L552" s="78" t="str">
        <f ca="1">IF(H552=1,INDEX(Data!$DT$91:$DT$190,$K552)&amp;" / "&amp;OFFSET(Data!$DX$89,0,Specials!J552),"")</f>
        <v/>
      </c>
      <c r="M552" s="78" t="s">
        <v>1</v>
      </c>
      <c r="N552" s="78" t="s">
        <v>255</v>
      </c>
      <c r="O552" s="78" t="e">
        <f t="shared" ca="1" si="38"/>
        <v>#VALUE!</v>
      </c>
      <c r="P552" s="78" t="str">
        <f t="shared" ca="1" si="39"/>
        <v/>
      </c>
    </row>
    <row r="553" spans="1:16" s="78" customFormat="1" hidden="1" x14ac:dyDescent="0.25">
      <c r="A553" s="317" t="str">
        <f>"# Oh dear Men Rating &gt; "&amp;Parameter!$B$32</f>
        <v># Oh dear Men Rating &gt; 850</v>
      </c>
      <c r="B553" s="297">
        <f>MATCH(A553,Data!$DT:$DT,0)</f>
        <v>17</v>
      </c>
      <c r="C553" s="78">
        <f>INDEX(Parameter!$9:$9,,MATCH(18,Parameter!$8:$8,0))</f>
        <v>17</v>
      </c>
      <c r="D553" s="78">
        <f>INDEX(Parameter!$B$10:$AB$10,MATCH(C553,Parameter!$B$9:$AB$9,0))</f>
        <v>3</v>
      </c>
      <c r="H553" s="78">
        <f ca="1">INDEX(OFFSET(Data!$CS$1:$DS$1,B553-1,0),MATCH("Total/"&amp;C553,Data!$CS$1:$DS$1,0))</f>
        <v>0</v>
      </c>
      <c r="I553" s="78" t="str">
        <f ca="1">IF(H553=1,INDEX(Parameter!$B$10:$AB$10,MATCH(C553,Parameter!$B$9:$AB$9,0))+7,"")</f>
        <v/>
      </c>
      <c r="J553" s="78" t="str">
        <f t="array" aca="1" ref="J553" ca="1">IF(H553=1,MATCH(1,(OFFSET(Data!$DY$1:$IB$1,B553-1,0))*(Data!$DY$90:$IB$90=C553),0),"")</f>
        <v/>
      </c>
      <c r="K553" s="78" t="str">
        <f t="array" aca="1" ref="K553" ca="1">IF(H553=1,MATCH(I553,OFFSET(Data!$DX$91:$DX$190,0,Specials!J553)*(Data!$AM$91:$AM$190&gt;Parameter!$B$32)*(Data!$DW$91:$DW$190="M"),0),"")</f>
        <v/>
      </c>
      <c r="L553" s="78" t="str">
        <f ca="1">IF(H553=1,INDEX(Data!$DT$91:$DT$190,$K553)&amp;" / "&amp;OFFSET(Data!$DX$89,0,Specials!J553),"")</f>
        <v/>
      </c>
      <c r="M553" s="78" t="s">
        <v>1</v>
      </c>
      <c r="N553" s="78" t="s">
        <v>255</v>
      </c>
      <c r="O553" s="78" t="e">
        <f t="shared" ca="1" si="38"/>
        <v>#VALUE!</v>
      </c>
      <c r="P553" s="78" t="str">
        <f t="shared" ca="1" si="39"/>
        <v/>
      </c>
    </row>
    <row r="554" spans="1:16" s="78" customFormat="1" hidden="1" x14ac:dyDescent="0.25">
      <c r="A554" s="317" t="str">
        <f>"# Oh dear Men Rating &gt; "&amp;Parameter!$B$32</f>
        <v># Oh dear Men Rating &gt; 850</v>
      </c>
      <c r="B554" s="297">
        <f>MATCH(A554,Data!$DT:$DT,0)</f>
        <v>17</v>
      </c>
      <c r="C554" s="78">
        <f>INDEX(Parameter!$9:$9,,MATCH(19,Parameter!$8:$8,0))</f>
        <v>18</v>
      </c>
      <c r="D554" s="78">
        <f>INDEX(Parameter!$B$10:$AB$10,MATCH(C554,Parameter!$B$9:$AB$9,0))</f>
        <v>3</v>
      </c>
      <c r="H554" s="78">
        <f ca="1">INDEX(OFFSET(Data!$CS$1:$DS$1,B554-1,0),MATCH("Total/"&amp;C554,Data!$CS$1:$DS$1,0))</f>
        <v>0</v>
      </c>
      <c r="I554" s="78" t="str">
        <f ca="1">IF(H554=1,INDEX(Parameter!$B$10:$AB$10,MATCH(C554,Parameter!$B$9:$AB$9,0))+7,"")</f>
        <v/>
      </c>
      <c r="J554" s="78" t="str">
        <f t="array" aca="1" ref="J554" ca="1">IF(H554=1,MATCH(1,(OFFSET(Data!$DY$1:$IB$1,B554-1,0))*(Data!$DY$90:$IB$90=C554),0),"")</f>
        <v/>
      </c>
      <c r="K554" s="78" t="str">
        <f t="array" aca="1" ref="K554" ca="1">IF(H554=1,MATCH(I554,OFFSET(Data!$DX$91:$DX$190,0,Specials!J554)*(Data!$AM$91:$AM$190&gt;Parameter!$B$32)*(Data!$DW$91:$DW$190="M"),0),"")</f>
        <v/>
      </c>
      <c r="L554" s="78" t="str">
        <f ca="1">IF(H554=1,INDEX(Data!$DT$91:$DT$190,$K554)&amp;" / "&amp;OFFSET(Data!$DX$89,0,Specials!J554),"")</f>
        <v/>
      </c>
      <c r="M554" s="78" t="s">
        <v>1</v>
      </c>
      <c r="N554" s="78" t="s">
        <v>255</v>
      </c>
      <c r="O554" s="78" t="e">
        <f t="shared" ca="1" si="38"/>
        <v>#VALUE!</v>
      </c>
      <c r="P554" s="78" t="str">
        <f t="shared" ca="1" si="39"/>
        <v/>
      </c>
    </row>
    <row r="555" spans="1:16" s="78" customFormat="1" hidden="1" x14ac:dyDescent="0.25">
      <c r="A555" s="317" t="str">
        <f>"# Oh dear Men Rating &gt; "&amp;Parameter!$B$32</f>
        <v># Oh dear Men Rating &gt; 850</v>
      </c>
      <c r="B555" s="297">
        <f>MATCH(A555,Data!$DT:$DT,0)</f>
        <v>17</v>
      </c>
      <c r="C555" s="78">
        <f>INDEX(Parameter!$9:$9,,MATCH(20,Parameter!$8:$8,0))</f>
        <v>20</v>
      </c>
      <c r="D555" s="78" t="str">
        <f>INDEX(Parameter!$B$10:$AB$10,MATCH(C555,Parameter!$B$9:$AB$9,0))</f>
        <v>no</v>
      </c>
      <c r="H555" s="78">
        <f ca="1">INDEX(OFFSET(Data!$CS$1:$DS$1,B555-1,0),MATCH("Total/"&amp;C555,Data!$CS$1:$DS$1,0))</f>
        <v>0</v>
      </c>
      <c r="I555" s="78" t="str">
        <f ca="1">IF(H555=1,INDEX(Parameter!$B$10:$AB$10,MATCH(C555,Parameter!$B$9:$AB$9,0))+7,"")</f>
        <v/>
      </c>
      <c r="J555" s="78" t="str">
        <f t="array" aca="1" ref="J555" ca="1">IF(H555=1,MATCH(1,(OFFSET(Data!$DY$1:$IB$1,B555-1,0))*(Data!$DY$90:$IB$90=C555),0),"")</f>
        <v/>
      </c>
      <c r="K555" s="78" t="str">
        <f t="array" aca="1" ref="K555" ca="1">IF(H555=1,MATCH(I555,OFFSET(Data!$DX$91:$DX$190,0,Specials!J555)*(Data!$AM$91:$AM$190&gt;Parameter!$B$32)*(Data!$DW$91:$DW$190="M"),0),"")</f>
        <v/>
      </c>
      <c r="L555" s="78" t="str">
        <f ca="1">IF(H555=1,INDEX(Data!$DT$91:$DT$190,$K555)&amp;" / "&amp;OFFSET(Data!$DX$89,0,Specials!J555),"")</f>
        <v/>
      </c>
      <c r="M555" s="78" t="s">
        <v>1</v>
      </c>
      <c r="N555" s="78" t="s">
        <v>255</v>
      </c>
      <c r="O555" s="78" t="e">
        <f t="shared" ca="1" si="38"/>
        <v>#VALUE!</v>
      </c>
      <c r="P555" s="78" t="str">
        <f t="shared" ca="1" si="39"/>
        <v/>
      </c>
    </row>
    <row r="556" spans="1:16" s="78" customFormat="1" hidden="1" x14ac:dyDescent="0.25">
      <c r="A556" s="317" t="str">
        <f>"# Oh dear Men Rating &gt; "&amp;Parameter!$B$32</f>
        <v># Oh dear Men Rating &gt; 850</v>
      </c>
      <c r="B556" s="297">
        <f>MATCH(A556,Data!$DT:$DT,0)</f>
        <v>17</v>
      </c>
      <c r="C556" s="78">
        <f>INDEX(Parameter!$9:$9,,MATCH(21,Parameter!$8:$8,0))</f>
        <v>21</v>
      </c>
      <c r="D556" s="78" t="str">
        <f>INDEX(Parameter!$B$10:$AB$10,MATCH(C556,Parameter!$B$9:$AB$9,0))</f>
        <v>no</v>
      </c>
      <c r="H556" s="78">
        <f ca="1">INDEX(OFFSET(Data!$CS$1:$DS$1,B556-1,0),MATCH("Total/"&amp;C556,Data!$CS$1:$DS$1,0))</f>
        <v>0</v>
      </c>
      <c r="I556" s="78" t="str">
        <f ca="1">IF(H556=1,INDEX(Parameter!$B$10:$AB$10,MATCH(C556,Parameter!$B$9:$AB$9,0))+7,"")</f>
        <v/>
      </c>
      <c r="J556" s="78" t="str">
        <f t="array" aca="1" ref="J556" ca="1">IF(H556=1,MATCH(1,(OFFSET(Data!$DY$1:$IB$1,B556-1,0))*(Data!$DY$90:$IB$90=C556),0),"")</f>
        <v/>
      </c>
      <c r="K556" s="78" t="str">
        <f t="array" aca="1" ref="K556" ca="1">IF(H556=1,MATCH(I556,OFFSET(Data!$DX$91:$DX$190,0,Specials!J556)*(Data!$AM$91:$AM$190&gt;Parameter!$B$32)*(Data!$DW$91:$DW$190="M"),0),"")</f>
        <v/>
      </c>
      <c r="L556" s="78" t="str">
        <f ca="1">IF(H556=1,INDEX(Data!$DT$91:$DT$190,$K556)&amp;" / "&amp;OFFSET(Data!$DX$89,0,Specials!J556),"")</f>
        <v/>
      </c>
      <c r="M556" s="78" t="s">
        <v>1</v>
      </c>
      <c r="N556" s="78" t="s">
        <v>255</v>
      </c>
      <c r="O556" s="78" t="e">
        <f t="shared" ca="1" si="38"/>
        <v>#VALUE!</v>
      </c>
      <c r="P556" s="78" t="str">
        <f t="shared" ca="1" si="39"/>
        <v/>
      </c>
    </row>
    <row r="557" spans="1:16" s="78" customFormat="1" hidden="1" x14ac:dyDescent="0.25">
      <c r="A557" s="317" t="str">
        <f>"# Oh dear Men Rating &gt; "&amp;Parameter!$B$32</f>
        <v># Oh dear Men Rating &gt; 850</v>
      </c>
      <c r="B557" s="297">
        <f>MATCH(A557,Data!$DT:$DT,0)</f>
        <v>17</v>
      </c>
      <c r="C557" s="78">
        <f>INDEX(Parameter!$9:$9,,MATCH(22,Parameter!$8:$8,0))</f>
        <v>22</v>
      </c>
      <c r="D557" s="78" t="str">
        <f>INDEX(Parameter!$B$10:$AB$10,MATCH(C557,Parameter!$B$9:$AB$9,0))</f>
        <v>no</v>
      </c>
      <c r="H557" s="78">
        <f ca="1">INDEX(OFFSET(Data!$CS$1:$DS$1,B557-1,0),MATCH("Total/"&amp;C557,Data!$CS$1:$DS$1,0))</f>
        <v>0</v>
      </c>
      <c r="I557" s="78" t="str">
        <f ca="1">IF(H557=1,INDEX(Parameter!$B$10:$AB$10,MATCH(C557,Parameter!$B$9:$AB$9,0))+7,"")</f>
        <v/>
      </c>
      <c r="J557" s="78" t="str">
        <f t="array" aca="1" ref="J557" ca="1">IF(H557=1,MATCH(1,(OFFSET(Data!$DY$1:$IB$1,B557-1,0))*(Data!$DY$90:$IB$90=C557),0),"")</f>
        <v/>
      </c>
      <c r="K557" s="78" t="str">
        <f t="array" aca="1" ref="K557" ca="1">IF(H557=1,MATCH(I557,OFFSET(Data!$DX$91:$DX$190,0,Specials!J557)*(Data!$AM$91:$AM$190&gt;Parameter!$B$32)*(Data!$DW$91:$DW$190="M"),0),"")</f>
        <v/>
      </c>
      <c r="L557" s="78" t="str">
        <f ca="1">IF(H557=1,INDEX(Data!$DT$91:$DT$190,$K557)&amp;" / "&amp;OFFSET(Data!$DX$89,0,Specials!J557),"")</f>
        <v/>
      </c>
      <c r="M557" s="78" t="s">
        <v>1</v>
      </c>
      <c r="N557" s="78" t="s">
        <v>255</v>
      </c>
      <c r="O557" s="78" t="e">
        <f t="shared" ca="1" si="38"/>
        <v>#VALUE!</v>
      </c>
      <c r="P557" s="78" t="str">
        <f t="shared" ca="1" si="39"/>
        <v/>
      </c>
    </row>
    <row r="558" spans="1:16" s="78" customFormat="1" hidden="1" x14ac:dyDescent="0.25">
      <c r="A558" s="317" t="str">
        <f>"# Oh dear Men Rating &gt; "&amp;Parameter!$B$32</f>
        <v># Oh dear Men Rating &gt; 850</v>
      </c>
      <c r="B558" s="297">
        <f>MATCH(A558,Data!$DT:$DT,0)</f>
        <v>17</v>
      </c>
      <c r="C558" s="78">
        <f>INDEX(Parameter!$9:$9,,MATCH(23,Parameter!$8:$8,0))</f>
        <v>23</v>
      </c>
      <c r="D558" s="78" t="str">
        <f>INDEX(Parameter!$B$10:$AB$10,MATCH(C558,Parameter!$B$9:$AB$9,0))</f>
        <v>no</v>
      </c>
      <c r="H558" s="78">
        <f ca="1">INDEX(OFFSET(Data!$CS$1:$DS$1,B558-1,0),MATCH("Total/"&amp;C558,Data!$CS$1:$DS$1,0))</f>
        <v>0</v>
      </c>
      <c r="I558" s="78" t="str">
        <f ca="1">IF(H558=1,INDEX(Parameter!$B$10:$AB$10,MATCH(C558,Parameter!$B$9:$AB$9,0))+7,"")</f>
        <v/>
      </c>
      <c r="J558" s="78" t="str">
        <f t="array" aca="1" ref="J558" ca="1">IF(H558=1,MATCH(1,(OFFSET(Data!$DY$1:$IB$1,B558-1,0))*(Data!$DY$90:$IB$90=C558),0),"")</f>
        <v/>
      </c>
      <c r="K558" s="78" t="str">
        <f t="array" aca="1" ref="K558" ca="1">IF(H558=1,MATCH(I558,OFFSET(Data!$DX$91:$DX$190,0,Specials!J558)*(Data!$AM$91:$AM$190&gt;Parameter!$B$32)*(Data!$DW$91:$DW$190="M"),0),"")</f>
        <v/>
      </c>
      <c r="L558" s="78" t="str">
        <f ca="1">IF(H558=1,INDEX(Data!$DT$91:$DT$190,$K558)&amp;" / "&amp;OFFSET(Data!$DX$89,0,Specials!J558),"")</f>
        <v/>
      </c>
      <c r="M558" s="78" t="s">
        <v>1</v>
      </c>
      <c r="N558" s="78" t="s">
        <v>255</v>
      </c>
      <c r="O558" s="78" t="e">
        <f t="shared" ca="1" si="38"/>
        <v>#VALUE!</v>
      </c>
      <c r="P558" s="78" t="str">
        <f t="shared" ca="1" si="39"/>
        <v/>
      </c>
    </row>
    <row r="559" spans="1:16" s="78" customFormat="1" hidden="1" x14ac:dyDescent="0.25">
      <c r="A559" s="317" t="str">
        <f>"# Oh dear Men Rating &gt; "&amp;Parameter!$B$32</f>
        <v># Oh dear Men Rating &gt; 850</v>
      </c>
      <c r="B559" s="297">
        <f>MATCH(A559,Data!$DT:$DT,0)</f>
        <v>17</v>
      </c>
      <c r="C559" s="78">
        <f>INDEX(Parameter!$9:$9,,MATCH(24,Parameter!$8:$8,0))</f>
        <v>24</v>
      </c>
      <c r="D559" s="78" t="str">
        <f>INDEX(Parameter!$B$10:$AB$10,MATCH(C559,Parameter!$B$9:$AB$9,0))</f>
        <v>no</v>
      </c>
      <c r="H559" s="78">
        <f ca="1">INDEX(OFFSET(Data!$CS$1:$DS$1,B559-1,0),MATCH("Total/"&amp;C559,Data!$CS$1:$DS$1,0))</f>
        <v>0</v>
      </c>
      <c r="I559" s="78" t="str">
        <f ca="1">IF(H559=1,INDEX(Parameter!$B$10:$AB$10,MATCH(C559,Parameter!$B$9:$AB$9,0))+7,"")</f>
        <v/>
      </c>
      <c r="J559" s="78" t="str">
        <f t="array" aca="1" ref="J559" ca="1">IF(H559=1,MATCH(1,(OFFSET(Data!$DY$1:$IB$1,B559-1,0))*(Data!$DY$90:$IB$90=C559),0),"")</f>
        <v/>
      </c>
      <c r="K559" s="78" t="str">
        <f t="array" aca="1" ref="K559" ca="1">IF(H559=1,MATCH(I559,OFFSET(Data!$DX$91:$DX$190,0,Specials!J559)*(Data!$AM$91:$AM$190&gt;Parameter!$B$32)*(Data!$DW$91:$DW$190="M"),0),"")</f>
        <v/>
      </c>
      <c r="L559" s="78" t="str">
        <f ca="1">IF(H559=1,INDEX(Data!$DT$91:$DT$190,$K559)&amp;" / "&amp;OFFSET(Data!$DX$89,0,Specials!J559),"")</f>
        <v/>
      </c>
      <c r="M559" s="78" t="s">
        <v>1</v>
      </c>
      <c r="N559" s="78" t="s">
        <v>255</v>
      </c>
      <c r="O559" s="78" t="e">
        <f t="shared" ca="1" si="38"/>
        <v>#VALUE!</v>
      </c>
      <c r="P559" s="78" t="str">
        <f t="shared" ca="1" si="39"/>
        <v/>
      </c>
    </row>
    <row r="560" spans="1:16" s="78" customFormat="1" hidden="1" x14ac:dyDescent="0.25">
      <c r="A560" s="317" t="str">
        <f>"# Oh dear Men Rating &gt; "&amp;Parameter!$B$32</f>
        <v># Oh dear Men Rating &gt; 850</v>
      </c>
      <c r="B560" s="297">
        <f>MATCH(A560,Data!$DT:$DT,0)</f>
        <v>17</v>
      </c>
      <c r="C560" s="78">
        <f>INDEX(Parameter!$9:$9,,MATCH(25,Parameter!$8:$8,0))</f>
        <v>25</v>
      </c>
      <c r="D560" s="78" t="str">
        <f>INDEX(Parameter!$B$10:$AB$10,MATCH(C560,Parameter!$B$9:$AB$9,0))</f>
        <v>no</v>
      </c>
      <c r="H560" s="78">
        <f ca="1">INDEX(OFFSET(Data!$CS$1:$DS$1,B560-1,0),MATCH("Total/"&amp;C560,Data!$CS$1:$DS$1,0))</f>
        <v>0</v>
      </c>
      <c r="I560" s="78" t="str">
        <f ca="1">IF(H560=1,INDEX(Parameter!$B$10:$AB$10,MATCH(C560,Parameter!$B$9:$AB$9,0))+7,"")</f>
        <v/>
      </c>
      <c r="J560" s="78" t="str">
        <f t="array" aca="1" ref="J560" ca="1">IF(H560=1,MATCH(1,(OFFSET(Data!$DY$1:$IB$1,B560-1,0))*(Data!$DY$90:$IB$90=C560),0),"")</f>
        <v/>
      </c>
      <c r="K560" s="78" t="str">
        <f t="array" aca="1" ref="K560" ca="1">IF(H560=1,MATCH(I560,OFFSET(Data!$DX$91:$DX$190,0,Specials!J560)*(Data!$AM$91:$AM$190&gt;Parameter!$B$32)*(Data!$DW$91:$DW$190="M"),0),"")</f>
        <v/>
      </c>
      <c r="L560" s="78" t="str">
        <f ca="1">IF(H560=1,INDEX(Data!$DT$91:$DT$190,$K560)&amp;" / "&amp;OFFSET(Data!$DX$89,0,Specials!J560),"")</f>
        <v/>
      </c>
      <c r="M560" s="78" t="s">
        <v>1</v>
      </c>
      <c r="N560" s="78" t="s">
        <v>255</v>
      </c>
      <c r="O560" s="78" t="e">
        <f t="shared" ca="1" si="38"/>
        <v>#VALUE!</v>
      </c>
      <c r="P560" s="78" t="str">
        <f t="shared" ca="1" si="39"/>
        <v/>
      </c>
    </row>
    <row r="561" spans="1:16" s="78" customFormat="1" hidden="1" x14ac:dyDescent="0.25">
      <c r="A561" s="317" t="str">
        <f>"# Oh dear Men Rating &gt; "&amp;Parameter!$B$32</f>
        <v># Oh dear Men Rating &gt; 850</v>
      </c>
      <c r="B561" s="297">
        <f>MATCH(A561,Data!$DT:$DT,0)</f>
        <v>17</v>
      </c>
      <c r="C561" s="78">
        <f>INDEX(Parameter!$9:$9,,MATCH(26,Parameter!$8:$8,0))</f>
        <v>26</v>
      </c>
      <c r="D561" s="78" t="str">
        <f>INDEX(Parameter!$B$10:$AB$10,MATCH(C561,Parameter!$B$9:$AB$9,0))</f>
        <v>no</v>
      </c>
      <c r="H561" s="78">
        <f ca="1">INDEX(OFFSET(Data!$CS$1:$DS$1,B561-1,0),MATCH("Total/"&amp;C561,Data!$CS$1:$DS$1,0))</f>
        <v>0</v>
      </c>
      <c r="I561" s="78" t="str">
        <f ca="1">IF(H561=1,INDEX(Parameter!$B$10:$AB$10,MATCH(C561,Parameter!$B$9:$AB$9,0))+7,"")</f>
        <v/>
      </c>
      <c r="J561" s="78" t="str">
        <f t="array" aca="1" ref="J561" ca="1">IF(H561=1,MATCH(1,(OFFSET(Data!$DY$1:$IB$1,B561-1,0))*(Data!$DY$90:$IB$90=C561),0),"")</f>
        <v/>
      </c>
      <c r="K561" s="78" t="str">
        <f t="array" aca="1" ref="K561" ca="1">IF(H561=1,MATCH(I561,OFFSET(Data!$DX$91:$DX$190,0,Specials!J561)*(Data!$AM$91:$AM$190&gt;Parameter!$B$32)*(Data!$DW$91:$DW$190="M"),0),"")</f>
        <v/>
      </c>
      <c r="L561" s="78" t="str">
        <f ca="1">IF(H561=1,INDEX(Data!$DT$91:$DT$190,$K561)&amp;" / "&amp;OFFSET(Data!$DX$89,0,Specials!J561),"")</f>
        <v/>
      </c>
      <c r="M561" s="78" t="s">
        <v>1</v>
      </c>
      <c r="N561" s="78" t="s">
        <v>255</v>
      </c>
      <c r="O561" s="78" t="e">
        <f t="shared" ca="1" si="38"/>
        <v>#VALUE!</v>
      </c>
      <c r="P561" s="78" t="str">
        <f t="shared" ca="1" si="39"/>
        <v/>
      </c>
    </row>
    <row r="562" spans="1:16" s="78" customFormat="1" hidden="1" x14ac:dyDescent="0.25">
      <c r="A562" s="317" t="str">
        <f>"# Oh dear Men Rating &gt; "&amp;Parameter!$B$32</f>
        <v># Oh dear Men Rating &gt; 850</v>
      </c>
      <c r="B562" s="297">
        <f>MATCH(A562,Data!$DT:$DT,0)</f>
        <v>17</v>
      </c>
      <c r="C562" s="78">
        <f>INDEX(Parameter!$9:$9,,MATCH(27,Parameter!$8:$8,0))</f>
        <v>27</v>
      </c>
      <c r="D562" s="78" t="str">
        <f>INDEX(Parameter!$B$10:$AB$10,MATCH(C562,Parameter!$B$9:$AB$9,0))</f>
        <v>no</v>
      </c>
      <c r="H562" s="78">
        <f ca="1">INDEX(OFFSET(Data!$CS$1:$DS$1,B562-1,0),MATCH("Total/"&amp;C562,Data!$CS$1:$DS$1,0))</f>
        <v>0</v>
      </c>
      <c r="I562" s="78" t="str">
        <f ca="1">IF(H562=1,INDEX(Parameter!$B$10:$AB$10,MATCH(C562,Parameter!$B$9:$AB$9,0))+7,"")</f>
        <v/>
      </c>
      <c r="J562" s="78" t="str">
        <f t="array" aca="1" ref="J562" ca="1">IF(H562=1,MATCH(1,(OFFSET(Data!$DY$1:$IB$1,B562-1,0))*(Data!$DY$90:$IB$90=C562),0),"")</f>
        <v/>
      </c>
      <c r="K562" s="78" t="str">
        <f t="array" aca="1" ref="K562" ca="1">IF(H562=1,MATCH(I562,OFFSET(Data!$DX$91:$DX$190,0,Specials!J562)*(Data!$AM$91:$AM$190&gt;Parameter!$B$32)*(Data!$DW$91:$DW$190="M"),0),"")</f>
        <v/>
      </c>
      <c r="L562" s="78" t="str">
        <f ca="1">IF(H562=1,INDEX(Data!$DT$91:$DT$190,$K562)&amp;" / "&amp;OFFSET(Data!$DX$89,0,Specials!J562),"")</f>
        <v/>
      </c>
      <c r="M562" s="78" t="s">
        <v>1</v>
      </c>
      <c r="N562" s="78" t="s">
        <v>255</v>
      </c>
      <c r="O562" s="78" t="e">
        <f t="shared" ca="1" si="38"/>
        <v>#VALUE!</v>
      </c>
      <c r="P562" s="78" t="str">
        <f t="shared" ca="1" si="39"/>
        <v/>
      </c>
    </row>
    <row r="563" spans="1:16" s="78" customFormat="1" ht="15" hidden="1" customHeight="1" x14ac:dyDescent="0.25">
      <c r="A563" s="317" t="str">
        <f>"# Oh dear Men Rating &gt; "&amp;Parameter!$B$32</f>
        <v># Oh dear Men Rating &gt; 850</v>
      </c>
      <c r="B563" s="297">
        <f>MATCH(A563,Data!$DT:$DT,0)</f>
        <v>17</v>
      </c>
      <c r="C563" s="78">
        <f>INDEX(Parameter!$9:$9,,MATCH(1,Parameter!$8:$8,0))</f>
        <v>1</v>
      </c>
      <c r="D563" s="78">
        <f>INDEX(Parameter!$B$10:$AB$10,MATCH(C563,Parameter!$B$9:$AB$9,0))</f>
        <v>3</v>
      </c>
      <c r="H563" s="78">
        <f ca="1">INDEX(OFFSET(Data!$CS$1:$DS$1,B563-1,0),MATCH("Total/"&amp;C563,Data!$CS$1:$DS$1,0))</f>
        <v>0</v>
      </c>
      <c r="I563" s="78" t="str">
        <f ca="1">IF(H563=1,INDEX(Parameter!$B$10:$AB$10,MATCH(C563,Parameter!$B$9:$AB$9,0))+8,"")</f>
        <v/>
      </c>
      <c r="J563" s="78" t="str">
        <f t="array" aca="1" ref="J563" ca="1">IF(H563=1,MATCH(1,(OFFSET(Data!$DY$1:$IB$1,B563-1,0))*(Data!$DY$90:$IB$90=C563),0),"")</f>
        <v/>
      </c>
      <c r="K563" s="78" t="str">
        <f t="array" aca="1" ref="K563" ca="1">IF(H563=1,MATCH(I563,OFFSET(Data!$DX$91:$DX$190,0,Specials!J563)*(Data!$AM$91:$AM$190&gt;Parameter!$B$32)*(Data!$DW$91:$DW$190="M"),0),"")</f>
        <v/>
      </c>
      <c r="L563" s="78" t="str">
        <f ca="1">IF(H563=1,INDEX(Data!$DT$91:$DT$190,$K563)&amp;" / "&amp;OFFSET(Data!$DX$89,0,Specials!J563),"")</f>
        <v/>
      </c>
      <c r="M563" s="78" t="s">
        <v>1</v>
      </c>
      <c r="N563" s="78" t="s">
        <v>255</v>
      </c>
      <c r="O563" s="78" t="e">
        <f t="shared" ca="1" si="38"/>
        <v>#VALUE!</v>
      </c>
      <c r="P563" s="78" t="str">
        <f t="shared" ca="1" si="39"/>
        <v/>
      </c>
    </row>
    <row r="564" spans="1:16" s="78" customFormat="1" hidden="1" x14ac:dyDescent="0.25">
      <c r="A564" s="317" t="str">
        <f>"# Oh dear Men Rating &gt; "&amp;Parameter!$B$32</f>
        <v># Oh dear Men Rating &gt; 850</v>
      </c>
      <c r="B564" s="297">
        <f>MATCH(A564,Data!$DT:$DT,0)</f>
        <v>17</v>
      </c>
      <c r="C564" s="78">
        <f>INDEX(Parameter!$9:$9,,MATCH(2,Parameter!$8:$8,0))</f>
        <v>2</v>
      </c>
      <c r="D564" s="78">
        <f>INDEX(Parameter!$B$10:$AB$10,MATCH(C564,Parameter!$B$9:$AB$9,0))</f>
        <v>3</v>
      </c>
      <c r="H564" s="78">
        <f ca="1">INDEX(OFFSET(Data!$CS$1:$DS$1,B564-1,0),MATCH("Total/"&amp;C564,Data!$CS$1:$DS$1,0))</f>
        <v>0</v>
      </c>
      <c r="I564" s="78" t="str">
        <f ca="1">IF(H564=1,INDEX(Parameter!$B$10:$AB$10,MATCH(C564,Parameter!$B$9:$AB$9,0))+8,"")</f>
        <v/>
      </c>
      <c r="J564" s="78" t="str">
        <f t="array" aca="1" ref="J564" ca="1">IF(H564=1,MATCH(1,(OFFSET(Data!$DY$1:$IB$1,B564-1,0))*(Data!$DY$90:$IB$90=C564),0),"")</f>
        <v/>
      </c>
      <c r="K564" s="78" t="str">
        <f t="array" aca="1" ref="K564" ca="1">IF(H564=1,MATCH(I564,OFFSET(Data!$DX$91:$DX$190,0,Specials!J564)*(Data!$AM$91:$AM$190&gt;Parameter!$B$32)*(Data!$DW$91:$DW$190="M"),0),"")</f>
        <v/>
      </c>
      <c r="L564" s="78" t="str">
        <f ca="1">IF(H564=1,INDEX(Data!$DT$91:$DT$190,$K564)&amp;" / "&amp;OFFSET(Data!$DX$89,0,Specials!J564),"")</f>
        <v/>
      </c>
      <c r="M564" s="78" t="s">
        <v>1</v>
      </c>
      <c r="N564" s="78" t="s">
        <v>255</v>
      </c>
      <c r="O564" s="78" t="e">
        <f t="shared" ca="1" si="38"/>
        <v>#VALUE!</v>
      </c>
      <c r="P564" s="78" t="str">
        <f t="shared" ca="1" si="39"/>
        <v/>
      </c>
    </row>
    <row r="565" spans="1:16" s="78" customFormat="1" hidden="1" x14ac:dyDescent="0.25">
      <c r="A565" s="317" t="str">
        <f>"# Oh dear Men Rating &gt; "&amp;Parameter!$B$32</f>
        <v># Oh dear Men Rating &gt; 850</v>
      </c>
      <c r="B565" s="297">
        <f>MATCH(A565,Data!$DT:$DT,0)</f>
        <v>17</v>
      </c>
      <c r="C565" s="78">
        <f>INDEX(Parameter!$9:$9,,MATCH(3,Parameter!$8:$8,0))</f>
        <v>3</v>
      </c>
      <c r="D565" s="78">
        <f>INDEX(Parameter!$B$10:$AB$10,MATCH(C565,Parameter!$B$9:$AB$9,0))</f>
        <v>3</v>
      </c>
      <c r="H565" s="78">
        <f ca="1">INDEX(OFFSET(Data!$CS$1:$DS$1,B565-1,0),MATCH("Total/"&amp;C565,Data!$CS$1:$DS$1,0))</f>
        <v>0</v>
      </c>
      <c r="I565" s="78" t="str">
        <f ca="1">IF(H565=1,INDEX(Parameter!$B$10:$AB$10,MATCH(C565,Parameter!$B$9:$AB$9,0))+8,"")</f>
        <v/>
      </c>
      <c r="J565" s="78" t="str">
        <f t="array" aca="1" ref="J565" ca="1">IF(H565=1,MATCH(1,(OFFSET(Data!$DY$1:$IB$1,B565-1,0))*(Data!$DY$90:$IB$90=C565),0),"")</f>
        <v/>
      </c>
      <c r="K565" s="78" t="str">
        <f t="array" aca="1" ref="K565" ca="1">IF(H565=1,MATCH(I565,OFFSET(Data!$DX$91:$DX$190,0,Specials!J565)*(Data!$AM$91:$AM$190&gt;Parameter!$B$32)*(Data!$DW$91:$DW$190="M"),0),"")</f>
        <v/>
      </c>
      <c r="L565" s="78" t="str">
        <f ca="1">IF(H565=1,INDEX(Data!$DT$91:$DT$190,$K565)&amp;" / "&amp;OFFSET(Data!$DX$89,0,Specials!J565),"")</f>
        <v/>
      </c>
      <c r="M565" s="78" t="s">
        <v>1</v>
      </c>
      <c r="N565" s="78" t="s">
        <v>255</v>
      </c>
      <c r="O565" s="78" t="e">
        <f t="shared" ca="1" si="38"/>
        <v>#VALUE!</v>
      </c>
      <c r="P565" s="78" t="str">
        <f t="shared" ca="1" si="39"/>
        <v/>
      </c>
    </row>
    <row r="566" spans="1:16" s="78" customFormat="1" hidden="1" x14ac:dyDescent="0.25">
      <c r="A566" s="317" t="str">
        <f>"# Oh dear Men Rating &gt; "&amp;Parameter!$B$32</f>
        <v># Oh dear Men Rating &gt; 850</v>
      </c>
      <c r="B566" s="297">
        <f>MATCH(A566,Data!$DT:$DT,0)</f>
        <v>17</v>
      </c>
      <c r="C566" s="78">
        <f>INDEX(Parameter!$9:$9,,MATCH(4,Parameter!$8:$8,0))</f>
        <v>4</v>
      </c>
      <c r="D566" s="78">
        <f>INDEX(Parameter!$B$10:$AB$10,MATCH(C566,Parameter!$B$9:$AB$9,0))</f>
        <v>3</v>
      </c>
      <c r="H566" s="78">
        <f ca="1">INDEX(OFFSET(Data!$CS$1:$DS$1,B566-1,0),MATCH("Total/"&amp;C566,Data!$CS$1:$DS$1,0))</f>
        <v>0</v>
      </c>
      <c r="I566" s="78" t="str">
        <f ca="1">IF(H566=1,INDEX(Parameter!$B$10:$AB$10,MATCH(C566,Parameter!$B$9:$AB$9,0))+8,"")</f>
        <v/>
      </c>
      <c r="J566" s="78" t="str">
        <f t="array" aca="1" ref="J566" ca="1">IF(H566=1,MATCH(1,(OFFSET(Data!$DY$1:$IB$1,B566-1,0))*(Data!$DY$90:$IB$90=C566),0),"")</f>
        <v/>
      </c>
      <c r="K566" s="78" t="str">
        <f t="array" aca="1" ref="K566" ca="1">IF(H566=1,MATCH(I566,OFFSET(Data!$DX$91:$DX$190,0,Specials!J566)*(Data!$AM$91:$AM$190&gt;Parameter!$B$32)*(Data!$DW$91:$DW$190="M"),0),"")</f>
        <v/>
      </c>
      <c r="L566" s="78" t="str">
        <f ca="1">IF(H566=1,INDEX(Data!$DT$91:$DT$190,$K566)&amp;" / "&amp;OFFSET(Data!$DX$89,0,Specials!J566),"")</f>
        <v/>
      </c>
      <c r="M566" s="78" t="s">
        <v>1</v>
      </c>
      <c r="N566" s="78" t="s">
        <v>255</v>
      </c>
      <c r="O566" s="78" t="e">
        <f t="shared" ca="1" si="38"/>
        <v>#VALUE!</v>
      </c>
      <c r="P566" s="78" t="str">
        <f t="shared" ca="1" si="39"/>
        <v/>
      </c>
    </row>
    <row r="567" spans="1:16" s="78" customFormat="1" hidden="1" x14ac:dyDescent="0.25">
      <c r="A567" s="317" t="str">
        <f>"# Oh dear Men Rating &gt; "&amp;Parameter!$B$32</f>
        <v># Oh dear Men Rating &gt; 850</v>
      </c>
      <c r="B567" s="297">
        <f>MATCH(A567,Data!$DT:$DT,0)</f>
        <v>17</v>
      </c>
      <c r="C567" s="78">
        <f>INDEX(Parameter!$9:$9,,MATCH(5,Parameter!$8:$8,0))</f>
        <v>5</v>
      </c>
      <c r="D567" s="78">
        <f>INDEX(Parameter!$B$10:$AB$10,MATCH(C567,Parameter!$B$9:$AB$9,0))</f>
        <v>4</v>
      </c>
      <c r="H567" s="78">
        <f ca="1">INDEX(OFFSET(Data!$CS$1:$DS$1,B567-1,0),MATCH("Total/"&amp;C567,Data!$CS$1:$DS$1,0))</f>
        <v>0</v>
      </c>
      <c r="I567" s="78" t="str">
        <f ca="1">IF(H567=1,INDEX(Parameter!$B$10:$AB$10,MATCH(C567,Parameter!$B$9:$AB$9,0))+8,"")</f>
        <v/>
      </c>
      <c r="J567" s="78" t="str">
        <f t="array" aca="1" ref="J567" ca="1">IF(H567=1,MATCH(1,(OFFSET(Data!$DY$1:$IB$1,B567-1,0))*(Data!$DY$90:$IB$90=C567),0),"")</f>
        <v/>
      </c>
      <c r="K567" s="78" t="str">
        <f t="array" aca="1" ref="K567" ca="1">IF(H567=1,MATCH(I567,OFFSET(Data!$DX$91:$DX$190,0,Specials!J567)*(Data!$AM$91:$AM$190&gt;Parameter!$B$32)*(Data!$DW$91:$DW$190="M"),0),"")</f>
        <v/>
      </c>
      <c r="L567" s="78" t="str">
        <f ca="1">IF(H567=1,INDEX(Data!$DT$91:$DT$190,$K567)&amp;" / "&amp;OFFSET(Data!$DX$89,0,Specials!J567),"")</f>
        <v/>
      </c>
      <c r="M567" s="78" t="s">
        <v>1</v>
      </c>
      <c r="N567" s="78" t="s">
        <v>255</v>
      </c>
      <c r="O567" s="78" t="e">
        <f t="shared" ca="1" si="38"/>
        <v>#VALUE!</v>
      </c>
      <c r="P567" s="78" t="str">
        <f t="shared" ca="1" si="39"/>
        <v/>
      </c>
    </row>
    <row r="568" spans="1:16" s="78" customFormat="1" hidden="1" x14ac:dyDescent="0.25">
      <c r="A568" s="317" t="str">
        <f>"# Oh dear Men Rating &gt; "&amp;Parameter!$B$32</f>
        <v># Oh dear Men Rating &gt; 850</v>
      </c>
      <c r="B568" s="297">
        <f>MATCH(A568,Data!$DT:$DT,0)</f>
        <v>17</v>
      </c>
      <c r="C568" s="78">
        <f>INDEX(Parameter!$9:$9,,MATCH(6,Parameter!$8:$8,0))</f>
        <v>6</v>
      </c>
      <c r="D568" s="78">
        <f>INDEX(Parameter!$B$10:$AB$10,MATCH(C568,Parameter!$B$9:$AB$9,0))</f>
        <v>3</v>
      </c>
      <c r="H568" s="78">
        <f ca="1">INDEX(OFFSET(Data!$CS$1:$DS$1,B568-1,0),MATCH("Total/"&amp;C568,Data!$CS$1:$DS$1,0))</f>
        <v>0</v>
      </c>
      <c r="I568" s="78" t="str">
        <f ca="1">IF(H568=1,INDEX(Parameter!$B$10:$AB$10,MATCH(C568,Parameter!$B$9:$AB$9,0))+8,"")</f>
        <v/>
      </c>
      <c r="J568" s="78" t="str">
        <f t="array" aca="1" ref="J568" ca="1">IF(H568=1,MATCH(1,(OFFSET(Data!$DY$1:$IB$1,B568-1,0))*(Data!$DY$90:$IB$90=C568),0),"")</f>
        <v/>
      </c>
      <c r="K568" s="78" t="str">
        <f t="array" aca="1" ref="K568" ca="1">IF(H568=1,MATCH(I568,OFFSET(Data!$DX$91:$DX$190,0,Specials!J568)*(Data!$AM$91:$AM$190&gt;Parameter!$B$32)*(Data!$DW$91:$DW$190="M"),0),"")</f>
        <v/>
      </c>
      <c r="L568" s="78" t="str">
        <f ca="1">IF(H568=1,INDEX(Data!$DT$91:$DT$190,$K568)&amp;" / "&amp;OFFSET(Data!$DX$89,0,Specials!J568),"")</f>
        <v/>
      </c>
      <c r="M568" s="78" t="s">
        <v>1</v>
      </c>
      <c r="N568" s="78" t="s">
        <v>255</v>
      </c>
      <c r="O568" s="78" t="e">
        <f t="shared" ca="1" si="38"/>
        <v>#VALUE!</v>
      </c>
      <c r="P568" s="78" t="str">
        <f t="shared" ca="1" si="39"/>
        <v/>
      </c>
    </row>
    <row r="569" spans="1:16" s="78" customFormat="1" hidden="1" x14ac:dyDescent="0.25">
      <c r="A569" s="317" t="str">
        <f>"# Oh dear Men Rating &gt; "&amp;Parameter!$B$32</f>
        <v># Oh dear Men Rating &gt; 850</v>
      </c>
      <c r="B569" s="297">
        <f>MATCH(A569,Data!$DT:$DT,0)</f>
        <v>17</v>
      </c>
      <c r="C569" s="78">
        <f>INDEX(Parameter!$9:$9,,MATCH(7,Parameter!$8:$8,0))</f>
        <v>7</v>
      </c>
      <c r="D569" s="78">
        <f>INDEX(Parameter!$B$10:$AB$10,MATCH(C569,Parameter!$B$9:$AB$9,0))</f>
        <v>3</v>
      </c>
      <c r="H569" s="78">
        <f ca="1">INDEX(OFFSET(Data!$CS$1:$DS$1,B569-1,0),MATCH("Total/"&amp;C569,Data!$CS$1:$DS$1,0))</f>
        <v>0</v>
      </c>
      <c r="I569" s="78" t="str">
        <f ca="1">IF(H569=1,INDEX(Parameter!$B$10:$AB$10,MATCH(C569,Parameter!$B$9:$AB$9,0))+8,"")</f>
        <v/>
      </c>
      <c r="J569" s="78" t="str">
        <f t="array" aca="1" ref="J569" ca="1">IF(H569=1,MATCH(1,(OFFSET(Data!$DY$1:$IB$1,B569-1,0))*(Data!$DY$90:$IB$90=C569),0),"")</f>
        <v/>
      </c>
      <c r="K569" s="78" t="str">
        <f t="array" aca="1" ref="K569" ca="1">IF(H569=1,MATCH(I569,OFFSET(Data!$DX$91:$DX$190,0,Specials!J569)*(Data!$AM$91:$AM$190&gt;Parameter!$B$32)*(Data!$DW$91:$DW$190="M"),0),"")</f>
        <v/>
      </c>
      <c r="L569" s="78" t="str">
        <f ca="1">IF(H569=1,INDEX(Data!$DT$91:$DT$190,$K569)&amp;" / "&amp;OFFSET(Data!$DX$89,0,Specials!J569),"")</f>
        <v/>
      </c>
      <c r="M569" s="78" t="s">
        <v>1</v>
      </c>
      <c r="N569" s="78" t="s">
        <v>255</v>
      </c>
      <c r="O569" s="78" t="e">
        <f t="shared" ca="1" si="38"/>
        <v>#VALUE!</v>
      </c>
      <c r="P569" s="78" t="str">
        <f t="shared" ca="1" si="39"/>
        <v/>
      </c>
    </row>
    <row r="570" spans="1:16" s="78" customFormat="1" hidden="1" x14ac:dyDescent="0.25">
      <c r="A570" s="317" t="str">
        <f>"# Oh dear Men Rating &gt; "&amp;Parameter!$B$32</f>
        <v># Oh dear Men Rating &gt; 850</v>
      </c>
      <c r="B570" s="297">
        <f>MATCH(A570,Data!$DT:$DT,0)</f>
        <v>17</v>
      </c>
      <c r="C570" s="78">
        <f>INDEX(Parameter!$9:$9,,MATCH(8,Parameter!$8:$8,0))</f>
        <v>8</v>
      </c>
      <c r="D570" s="78">
        <f>INDEX(Parameter!$B$10:$AB$10,MATCH(C570,Parameter!$B$9:$AB$9,0))</f>
        <v>3</v>
      </c>
      <c r="H570" s="78">
        <f ca="1">INDEX(OFFSET(Data!$CS$1:$DS$1,B570-1,0),MATCH("Total/"&amp;C570,Data!$CS$1:$DS$1,0))</f>
        <v>0</v>
      </c>
      <c r="I570" s="78" t="str">
        <f ca="1">IF(H570=1,INDEX(Parameter!$B$10:$AB$10,MATCH(C570,Parameter!$B$9:$AB$9,0))+8,"")</f>
        <v/>
      </c>
      <c r="J570" s="78" t="str">
        <f t="array" aca="1" ref="J570" ca="1">IF(H570=1,MATCH(1,(OFFSET(Data!$DY$1:$IB$1,B570-1,0))*(Data!$DY$90:$IB$90=C570),0),"")</f>
        <v/>
      </c>
      <c r="K570" s="78" t="str">
        <f t="array" aca="1" ref="K570" ca="1">IF(H570=1,MATCH(I570,OFFSET(Data!$DX$91:$DX$190,0,Specials!J570)*(Data!$AM$91:$AM$190&gt;Parameter!$B$32)*(Data!$DW$91:$DW$190="M"),0),"")</f>
        <v/>
      </c>
      <c r="L570" s="78" t="str">
        <f ca="1">IF(H570=1,INDEX(Data!$DT$91:$DT$190,$K570)&amp;" / "&amp;OFFSET(Data!$DX$89,0,Specials!J570),"")</f>
        <v/>
      </c>
      <c r="M570" s="78" t="s">
        <v>1</v>
      </c>
      <c r="N570" s="78" t="s">
        <v>255</v>
      </c>
      <c r="O570" s="78" t="e">
        <f t="shared" ca="1" si="38"/>
        <v>#VALUE!</v>
      </c>
      <c r="P570" s="78" t="str">
        <f t="shared" ca="1" si="39"/>
        <v/>
      </c>
    </row>
    <row r="571" spans="1:16" s="78" customFormat="1" hidden="1" x14ac:dyDescent="0.25">
      <c r="A571" s="317" t="str">
        <f>"# Oh dear Men Rating &gt; "&amp;Parameter!$B$32</f>
        <v># Oh dear Men Rating &gt; 850</v>
      </c>
      <c r="B571" s="297">
        <f>MATCH(A571,Data!$DT:$DT,0)</f>
        <v>17</v>
      </c>
      <c r="C571" s="78">
        <f>INDEX(Parameter!$9:$9,,MATCH(9,Parameter!$8:$8,0))</f>
        <v>9</v>
      </c>
      <c r="D571" s="78">
        <f>INDEX(Parameter!$B$10:$AB$10,MATCH(C571,Parameter!$B$9:$AB$9,0))</f>
        <v>4</v>
      </c>
      <c r="H571" s="78">
        <f ca="1">INDEX(OFFSET(Data!$CS$1:$DS$1,B571-1,0),MATCH("Total/"&amp;C571,Data!$CS$1:$DS$1,0))</f>
        <v>0</v>
      </c>
      <c r="I571" s="78" t="str">
        <f ca="1">IF(H571=1,INDEX(Parameter!$B$10:$AB$10,MATCH(C571,Parameter!$B$9:$AB$9,0))+8,"")</f>
        <v/>
      </c>
      <c r="J571" s="78" t="str">
        <f t="array" aca="1" ref="J571" ca="1">IF(H571=1,MATCH(1,(OFFSET(Data!$DY$1:$IB$1,B571-1,0))*(Data!$DY$90:$IB$90=C571),0),"")</f>
        <v/>
      </c>
      <c r="K571" s="78" t="str">
        <f t="array" aca="1" ref="K571" ca="1">IF(H571=1,MATCH(I571,OFFSET(Data!$DX$91:$DX$190,0,Specials!J571)*(Data!$AM$91:$AM$190&gt;Parameter!$B$32)*(Data!$DW$91:$DW$190="M"),0),"")</f>
        <v/>
      </c>
      <c r="L571" s="78" t="str">
        <f ca="1">IF(H571=1,INDEX(Data!$DT$91:$DT$190,$K571)&amp;" / "&amp;OFFSET(Data!$DX$89,0,Specials!J571),"")</f>
        <v/>
      </c>
      <c r="M571" s="78" t="s">
        <v>1</v>
      </c>
      <c r="N571" s="78" t="s">
        <v>255</v>
      </c>
      <c r="O571" s="78" t="e">
        <f t="shared" ca="1" si="38"/>
        <v>#VALUE!</v>
      </c>
      <c r="P571" s="78" t="str">
        <f t="shared" ca="1" si="39"/>
        <v/>
      </c>
    </row>
    <row r="572" spans="1:16" s="78" customFormat="1" hidden="1" x14ac:dyDescent="0.25">
      <c r="A572" s="317" t="str">
        <f>"# Oh dear Men Rating &gt; "&amp;Parameter!$B$32</f>
        <v># Oh dear Men Rating &gt; 850</v>
      </c>
      <c r="B572" s="297">
        <f>MATCH(A572,Data!$DT:$DT,0)</f>
        <v>17</v>
      </c>
      <c r="C572" s="78">
        <f>INDEX(Parameter!$9:$9,,MATCH(10,Parameter!$8:$8,0))</f>
        <v>10</v>
      </c>
      <c r="D572" s="78">
        <f>INDEX(Parameter!$B$10:$AB$10,MATCH(C572,Parameter!$B$9:$AB$9,0))</f>
        <v>4</v>
      </c>
      <c r="H572" s="78">
        <f ca="1">INDEX(OFFSET(Data!$CS$1:$DS$1,B572-1,0),MATCH("Total/"&amp;C572,Data!$CS$1:$DS$1,0))</f>
        <v>0</v>
      </c>
      <c r="I572" s="78" t="str">
        <f ca="1">IF(H572=1,INDEX(Parameter!$B$10:$AB$10,MATCH(C572,Parameter!$B$9:$AB$9,0))+8,"")</f>
        <v/>
      </c>
      <c r="J572" s="78" t="str">
        <f t="array" aca="1" ref="J572" ca="1">IF(H572=1,MATCH(1,(OFFSET(Data!$DY$1:$IB$1,B572-1,0))*(Data!$DY$90:$IB$90=C572),0),"")</f>
        <v/>
      </c>
      <c r="K572" s="78" t="str">
        <f t="array" aca="1" ref="K572" ca="1">IF(H572=1,MATCH(I572,OFFSET(Data!$DX$91:$DX$190,0,Specials!J572)*(Data!$AM$91:$AM$190&gt;Parameter!$B$32)*(Data!$DW$91:$DW$190="M"),0),"")</f>
        <v/>
      </c>
      <c r="L572" s="78" t="str">
        <f ca="1">IF(H572=1,INDEX(Data!$DT$91:$DT$190,$K572)&amp;" / "&amp;OFFSET(Data!$DX$89,0,Specials!J572),"")</f>
        <v/>
      </c>
      <c r="M572" s="78" t="s">
        <v>1</v>
      </c>
      <c r="N572" s="78" t="s">
        <v>255</v>
      </c>
      <c r="O572" s="78" t="e">
        <f t="shared" ca="1" si="38"/>
        <v>#VALUE!</v>
      </c>
      <c r="P572" s="78" t="str">
        <f t="shared" ca="1" si="39"/>
        <v/>
      </c>
    </row>
    <row r="573" spans="1:16" s="78" customFormat="1" hidden="1" x14ac:dyDescent="0.25">
      <c r="A573" s="317" t="str">
        <f>"# Oh dear Men Rating &gt; "&amp;Parameter!$B$32</f>
        <v># Oh dear Men Rating &gt; 850</v>
      </c>
      <c r="B573" s="297">
        <f>MATCH(A573,Data!$DT:$DT,0)</f>
        <v>17</v>
      </c>
      <c r="C573" s="78">
        <f>INDEX(Parameter!$9:$9,,MATCH(11,Parameter!$8:$8,0))</f>
        <v>11</v>
      </c>
      <c r="D573" s="78">
        <f>INDEX(Parameter!$B$10:$AB$10,MATCH(C573,Parameter!$B$9:$AB$9,0))</f>
        <v>4</v>
      </c>
      <c r="H573" s="78">
        <f ca="1">INDEX(OFFSET(Data!$CS$1:$DS$1,B573-1,0),MATCH("Total/"&amp;C573,Data!$CS$1:$DS$1,0))</f>
        <v>0</v>
      </c>
      <c r="I573" s="78" t="str">
        <f ca="1">IF(H573=1,INDEX(Parameter!$B$10:$AB$10,MATCH(C573,Parameter!$B$9:$AB$9,0))+8,"")</f>
        <v/>
      </c>
      <c r="J573" s="78" t="str">
        <f t="array" aca="1" ref="J573" ca="1">IF(H573=1,MATCH(1,(OFFSET(Data!$DY$1:$IB$1,B573-1,0))*(Data!$DY$90:$IB$90=C573),0),"")</f>
        <v/>
      </c>
      <c r="K573" s="78" t="str">
        <f t="array" aca="1" ref="K573" ca="1">IF(H573=1,MATCH(I573,OFFSET(Data!$DX$91:$DX$190,0,Specials!J573)*(Data!$AM$91:$AM$190&gt;Parameter!$B$32)*(Data!$DW$91:$DW$190="M"),0),"")</f>
        <v/>
      </c>
      <c r="L573" s="78" t="str">
        <f ca="1">IF(H573=1,INDEX(Data!$DT$91:$DT$190,$K573)&amp;" / "&amp;OFFSET(Data!$DX$89,0,Specials!J573),"")</f>
        <v/>
      </c>
      <c r="M573" s="78" t="s">
        <v>1</v>
      </c>
      <c r="N573" s="78" t="s">
        <v>255</v>
      </c>
      <c r="O573" s="78" t="e">
        <f t="shared" ca="1" si="38"/>
        <v>#VALUE!</v>
      </c>
      <c r="P573" s="78" t="str">
        <f t="shared" ca="1" si="39"/>
        <v/>
      </c>
    </row>
    <row r="574" spans="1:16" s="78" customFormat="1" hidden="1" x14ac:dyDescent="0.25">
      <c r="A574" s="317" t="str">
        <f>"# Oh dear Men Rating &gt; "&amp;Parameter!$B$32</f>
        <v># Oh dear Men Rating &gt; 850</v>
      </c>
      <c r="B574" s="297">
        <f>MATCH(A574,Data!$DT:$DT,0)</f>
        <v>17</v>
      </c>
      <c r="C574" s="78" t="str">
        <f>INDEX(Parameter!$9:$9,,MATCH(12,Parameter!$8:$8,0))</f>
        <v>11b</v>
      </c>
      <c r="D574" s="78">
        <f>INDEX(Parameter!$B$10:$AB$10,MATCH(C574,Parameter!$B$9:$AB$9,0))</f>
        <v>3</v>
      </c>
      <c r="H574" s="78">
        <f ca="1">INDEX(OFFSET(Data!$CS$1:$DS$1,B574-1,0),MATCH("Total/"&amp;C574,Data!$CS$1:$DS$1,0))</f>
        <v>0</v>
      </c>
      <c r="I574" s="78" t="str">
        <f ca="1">IF(H574=1,INDEX(Parameter!$B$10:$AB$10,MATCH(C574,Parameter!$B$9:$AB$9,0))+8,"")</f>
        <v/>
      </c>
      <c r="J574" s="78" t="str">
        <f t="array" aca="1" ref="J574" ca="1">IF(H574=1,MATCH(1,(OFFSET(Data!$DY$1:$IB$1,B574-1,0))*(Data!$DY$90:$IB$90=C574),0),"")</f>
        <v/>
      </c>
      <c r="K574" s="78" t="str">
        <f t="array" aca="1" ref="K574" ca="1">IF(H574=1,MATCH(I574,OFFSET(Data!$DX$91:$DX$190,0,Specials!J574)*(Data!$AM$91:$AM$190&gt;Parameter!$B$32)*(Data!$DW$91:$DW$190="M"),0),"")</f>
        <v/>
      </c>
      <c r="L574" s="78" t="str">
        <f ca="1">IF(H574=1,INDEX(Data!$DT$91:$DT$190,$K574)&amp;" / "&amp;OFFSET(Data!$DX$89,0,Specials!J574),"")</f>
        <v/>
      </c>
      <c r="M574" s="78" t="s">
        <v>1</v>
      </c>
      <c r="N574" s="78" t="s">
        <v>255</v>
      </c>
      <c r="O574" s="78" t="e">
        <f t="shared" ca="1" si="38"/>
        <v>#VALUE!</v>
      </c>
      <c r="P574" s="78" t="str">
        <f t="shared" ca="1" si="39"/>
        <v/>
      </c>
    </row>
    <row r="575" spans="1:16" s="78" customFormat="1" hidden="1" x14ac:dyDescent="0.25">
      <c r="A575" s="317" t="str">
        <f>"# Oh dear Men Rating &gt; "&amp;Parameter!$B$32</f>
        <v># Oh dear Men Rating &gt; 850</v>
      </c>
      <c r="B575" s="297">
        <f>MATCH(A575,Data!$DT:$DT,0)</f>
        <v>17</v>
      </c>
      <c r="C575" s="78">
        <f>INDEX(Parameter!$9:$9,,MATCH(13,Parameter!$8:$8,0))</f>
        <v>12</v>
      </c>
      <c r="D575" s="78">
        <f>INDEX(Parameter!$B$10:$AB$10,MATCH(C575,Parameter!$B$9:$AB$9,0))</f>
        <v>3</v>
      </c>
      <c r="H575" s="78">
        <f ca="1">INDEX(OFFSET(Data!$CS$1:$DS$1,B575-1,0),MATCH("Total/"&amp;C575,Data!$CS$1:$DS$1,0))</f>
        <v>0</v>
      </c>
      <c r="I575" s="78" t="str">
        <f ca="1">IF(H575=1,INDEX(Parameter!$B$10:$AB$10,MATCH(C575,Parameter!$B$9:$AB$9,0))+8,"")</f>
        <v/>
      </c>
      <c r="J575" s="78" t="str">
        <f t="array" aca="1" ref="J575" ca="1">IF(H575=1,MATCH(1,(OFFSET(Data!$DY$1:$IB$1,B575-1,0))*(Data!$DY$90:$IB$90=C575),0),"")</f>
        <v/>
      </c>
      <c r="K575" s="78" t="str">
        <f t="array" aca="1" ref="K575" ca="1">IF(H575=1,MATCH(I575,OFFSET(Data!$DX$91:$DX$190,0,Specials!J575)*(Data!$AM$91:$AM$190&gt;Parameter!$B$32)*(Data!$DW$91:$DW$190="M"),0),"")</f>
        <v/>
      </c>
      <c r="L575" s="78" t="str">
        <f ca="1">IF(H575=1,INDEX(Data!$DT$91:$DT$190,$K575)&amp;" / "&amp;OFFSET(Data!$DX$89,0,Specials!J575),"")</f>
        <v/>
      </c>
      <c r="M575" s="78" t="s">
        <v>1</v>
      </c>
      <c r="N575" s="78" t="s">
        <v>255</v>
      </c>
      <c r="O575" s="78" t="e">
        <f t="shared" ca="1" si="38"/>
        <v>#VALUE!</v>
      </c>
      <c r="P575" s="78" t="str">
        <f t="shared" ca="1" si="39"/>
        <v/>
      </c>
    </row>
    <row r="576" spans="1:16" s="78" customFormat="1" hidden="1" x14ac:dyDescent="0.25">
      <c r="A576" s="317" t="str">
        <f>"# Oh dear Men Rating &gt; "&amp;Parameter!$B$32</f>
        <v># Oh dear Men Rating &gt; 850</v>
      </c>
      <c r="B576" s="297">
        <f>MATCH(A576,Data!$DT:$DT,0)</f>
        <v>17</v>
      </c>
      <c r="C576" s="78">
        <f>INDEX(Parameter!$9:$9,,MATCH(14,Parameter!$8:$8,0))</f>
        <v>13</v>
      </c>
      <c r="D576" s="78">
        <f>INDEX(Parameter!$B$10:$AB$10,MATCH(C576,Parameter!$B$9:$AB$9,0))</f>
        <v>3</v>
      </c>
      <c r="H576" s="78">
        <f ca="1">INDEX(OFFSET(Data!$CS$1:$DS$1,B576-1,0),MATCH("Total/"&amp;C576,Data!$CS$1:$DS$1,0))</f>
        <v>0</v>
      </c>
      <c r="I576" s="78" t="str">
        <f ca="1">IF(H576=1,INDEX(Parameter!$B$10:$AB$10,MATCH(C576,Parameter!$B$9:$AB$9,0))+8,"")</f>
        <v/>
      </c>
      <c r="J576" s="78" t="str">
        <f t="array" aca="1" ref="J576" ca="1">IF(H576=1,MATCH(1,(OFFSET(Data!$DY$1:$IB$1,B576-1,0))*(Data!$DY$90:$IB$90=C576),0),"")</f>
        <v/>
      </c>
      <c r="K576" s="78" t="str">
        <f t="array" aca="1" ref="K576" ca="1">IF(H576=1,MATCH(I576,OFFSET(Data!$DX$91:$DX$190,0,Specials!J576)*(Data!$AM$91:$AM$190&gt;Parameter!$B$32)*(Data!$DW$91:$DW$190="M"),0),"")</f>
        <v/>
      </c>
      <c r="L576" s="78" t="str">
        <f ca="1">IF(H576=1,INDEX(Data!$DT$91:$DT$190,$K576)&amp;" / "&amp;OFFSET(Data!$DX$89,0,Specials!J576),"")</f>
        <v/>
      </c>
      <c r="M576" s="78" t="s">
        <v>1</v>
      </c>
      <c r="N576" s="78" t="s">
        <v>255</v>
      </c>
      <c r="O576" s="78" t="e">
        <f t="shared" ca="1" si="38"/>
        <v>#VALUE!</v>
      </c>
      <c r="P576" s="78" t="str">
        <f t="shared" ca="1" si="39"/>
        <v/>
      </c>
    </row>
    <row r="577" spans="1:16" s="78" customFormat="1" hidden="1" x14ac:dyDescent="0.25">
      <c r="A577" s="317" t="str">
        <f>"# Oh dear Men Rating &gt; "&amp;Parameter!$B$32</f>
        <v># Oh dear Men Rating &gt; 850</v>
      </c>
      <c r="B577" s="297">
        <f>MATCH(A577,Data!$DT:$DT,0)</f>
        <v>17</v>
      </c>
      <c r="C577" s="78">
        <f>INDEX(Parameter!$9:$9,,MATCH(15,Parameter!$8:$8,0))</f>
        <v>14</v>
      </c>
      <c r="D577" s="78">
        <f>INDEX(Parameter!$B$10:$AB$10,MATCH(C577,Parameter!$B$9:$AB$9,0))</f>
        <v>3</v>
      </c>
      <c r="H577" s="78">
        <f ca="1">INDEX(OFFSET(Data!$CS$1:$DS$1,B577-1,0),MATCH("Total/"&amp;C577,Data!$CS$1:$DS$1,0))</f>
        <v>0</v>
      </c>
      <c r="I577" s="78" t="str">
        <f ca="1">IF(H577=1,INDEX(Parameter!$B$10:$AB$10,MATCH(C577,Parameter!$B$9:$AB$9,0))+8,"")</f>
        <v/>
      </c>
      <c r="J577" s="78" t="str">
        <f t="array" aca="1" ref="J577" ca="1">IF(H577=1,MATCH(1,(OFFSET(Data!$DY$1:$IB$1,B577-1,0))*(Data!$DY$90:$IB$90=C577),0),"")</f>
        <v/>
      </c>
      <c r="K577" s="78" t="str">
        <f t="array" aca="1" ref="K577" ca="1">IF(H577=1,MATCH(I577,OFFSET(Data!$DX$91:$DX$190,0,Specials!J577)*(Data!$AM$91:$AM$190&gt;Parameter!$B$32)*(Data!$DW$91:$DW$190="M"),0),"")</f>
        <v/>
      </c>
      <c r="L577" s="78" t="str">
        <f ca="1">IF(H577=1,INDEX(Data!$DT$91:$DT$190,$K577)&amp;" / "&amp;OFFSET(Data!$DX$89,0,Specials!J577),"")</f>
        <v/>
      </c>
      <c r="M577" s="78" t="s">
        <v>1</v>
      </c>
      <c r="N577" s="78" t="s">
        <v>255</v>
      </c>
      <c r="O577" s="78" t="e">
        <f t="shared" ca="1" si="38"/>
        <v>#VALUE!</v>
      </c>
      <c r="P577" s="78" t="str">
        <f t="shared" ca="1" si="39"/>
        <v/>
      </c>
    </row>
    <row r="578" spans="1:16" s="78" customFormat="1" hidden="1" x14ac:dyDescent="0.25">
      <c r="A578" s="317" t="str">
        <f>"# Oh dear Men Rating &gt; "&amp;Parameter!$B$32</f>
        <v># Oh dear Men Rating &gt; 850</v>
      </c>
      <c r="B578" s="297">
        <f>MATCH(A578,Data!$DT:$DT,0)</f>
        <v>17</v>
      </c>
      <c r="C578" s="78">
        <f>INDEX(Parameter!$9:$9,,MATCH(16,Parameter!$8:$8,0))</f>
        <v>15</v>
      </c>
      <c r="D578" s="78">
        <f>INDEX(Parameter!$B$10:$AB$10,MATCH(C578,Parameter!$B$9:$AB$9,0))</f>
        <v>3</v>
      </c>
      <c r="H578" s="78">
        <f ca="1">INDEX(OFFSET(Data!$CS$1:$DS$1,B578-1,0),MATCH("Total/"&amp;C578,Data!$CS$1:$DS$1,0))</f>
        <v>0</v>
      </c>
      <c r="I578" s="78" t="str">
        <f ca="1">IF(H578=1,INDEX(Parameter!$B$10:$AB$10,MATCH(C578,Parameter!$B$9:$AB$9,0))+8,"")</f>
        <v/>
      </c>
      <c r="J578" s="78" t="str">
        <f t="array" aca="1" ref="J578" ca="1">IF(H578=1,MATCH(1,(OFFSET(Data!$DY$1:$IB$1,B578-1,0))*(Data!$DY$90:$IB$90=C578),0),"")</f>
        <v/>
      </c>
      <c r="K578" s="78" t="str">
        <f t="array" aca="1" ref="K578" ca="1">IF(H578=1,MATCH(I578,OFFSET(Data!$DX$91:$DX$190,0,Specials!J578)*(Data!$AM$91:$AM$190&gt;Parameter!$B$32)*(Data!$DW$91:$DW$190="M"),0),"")</f>
        <v/>
      </c>
      <c r="L578" s="78" t="str">
        <f ca="1">IF(H578=1,INDEX(Data!$DT$91:$DT$190,$K578)&amp;" / "&amp;OFFSET(Data!$DX$89,0,Specials!J578),"")</f>
        <v/>
      </c>
      <c r="M578" s="78" t="s">
        <v>1</v>
      </c>
      <c r="N578" s="78" t="s">
        <v>255</v>
      </c>
      <c r="O578" s="78" t="e">
        <f t="shared" ca="1" si="38"/>
        <v>#VALUE!</v>
      </c>
      <c r="P578" s="78" t="str">
        <f t="shared" ca="1" si="39"/>
        <v/>
      </c>
    </row>
    <row r="579" spans="1:16" s="78" customFormat="1" hidden="1" x14ac:dyDescent="0.25">
      <c r="A579" s="317" t="str">
        <f>"# Oh dear Men Rating &gt; "&amp;Parameter!$B$32</f>
        <v># Oh dear Men Rating &gt; 850</v>
      </c>
      <c r="B579" s="297">
        <f>MATCH(A579,Data!$DT:$DT,0)</f>
        <v>17</v>
      </c>
      <c r="C579" s="78">
        <f>INDEX(Parameter!$9:$9,,MATCH(17,Parameter!$8:$8,0))</f>
        <v>16</v>
      </c>
      <c r="D579" s="78">
        <f>INDEX(Parameter!$B$10:$AB$10,MATCH(C579,Parameter!$B$9:$AB$9,0))</f>
        <v>3</v>
      </c>
      <c r="H579" s="78">
        <f ca="1">INDEX(OFFSET(Data!$CS$1:$DS$1,B579-1,0),MATCH("Total/"&amp;C579,Data!$CS$1:$DS$1,0))</f>
        <v>0</v>
      </c>
      <c r="I579" s="78" t="str">
        <f ca="1">IF(H579=1,INDEX(Parameter!$B$10:$AB$10,MATCH(C579,Parameter!$B$9:$AB$9,0))+8,"")</f>
        <v/>
      </c>
      <c r="J579" s="78" t="str">
        <f t="array" aca="1" ref="J579" ca="1">IF(H579=1,MATCH(1,(OFFSET(Data!$DY$1:$IB$1,B579-1,0))*(Data!$DY$90:$IB$90=C579),0),"")</f>
        <v/>
      </c>
      <c r="K579" s="78" t="str">
        <f t="array" aca="1" ref="K579" ca="1">IF(H579=1,MATCH(I579,OFFSET(Data!$DX$91:$DX$190,0,Specials!J579)*(Data!$AM$91:$AM$190&gt;Parameter!$B$32)*(Data!$DW$91:$DW$190="M"),0),"")</f>
        <v/>
      </c>
      <c r="L579" s="78" t="str">
        <f ca="1">IF(H579=1,INDEX(Data!$DT$91:$DT$190,$K579)&amp;" / "&amp;OFFSET(Data!$DX$89,0,Specials!J579),"")</f>
        <v/>
      </c>
      <c r="M579" s="78" t="s">
        <v>1</v>
      </c>
      <c r="N579" s="78" t="s">
        <v>255</v>
      </c>
      <c r="O579" s="78" t="e">
        <f t="shared" ca="1" si="38"/>
        <v>#VALUE!</v>
      </c>
      <c r="P579" s="78" t="str">
        <f t="shared" ca="1" si="39"/>
        <v/>
      </c>
    </row>
    <row r="580" spans="1:16" s="78" customFormat="1" hidden="1" x14ac:dyDescent="0.25">
      <c r="A580" s="317" t="str">
        <f>"# Oh dear Men Rating &gt; "&amp;Parameter!$B$32</f>
        <v># Oh dear Men Rating &gt; 850</v>
      </c>
      <c r="B580" s="297">
        <f>MATCH(A580,Data!$DT:$DT,0)</f>
        <v>17</v>
      </c>
      <c r="C580" s="78">
        <f>INDEX(Parameter!$9:$9,,MATCH(18,Parameter!$8:$8,0))</f>
        <v>17</v>
      </c>
      <c r="D580" s="78">
        <f>INDEX(Parameter!$B$10:$AB$10,MATCH(C580,Parameter!$B$9:$AB$9,0))</f>
        <v>3</v>
      </c>
      <c r="H580" s="78">
        <f ca="1">INDEX(OFFSET(Data!$CS$1:$DS$1,B580-1,0),MATCH("Total/"&amp;C580,Data!$CS$1:$DS$1,0))</f>
        <v>0</v>
      </c>
      <c r="I580" s="78" t="str">
        <f ca="1">IF(H580=1,INDEX(Parameter!$B$10:$AB$10,MATCH(C580,Parameter!$B$9:$AB$9,0))+8,"")</f>
        <v/>
      </c>
      <c r="J580" s="78" t="str">
        <f t="array" aca="1" ref="J580" ca="1">IF(H580=1,MATCH(1,(OFFSET(Data!$DY$1:$IB$1,B580-1,0))*(Data!$DY$90:$IB$90=C580),0),"")</f>
        <v/>
      </c>
      <c r="K580" s="78" t="str">
        <f t="array" aca="1" ref="K580" ca="1">IF(H580=1,MATCH(I580,OFFSET(Data!$DX$91:$DX$190,0,Specials!J580)*(Data!$AM$91:$AM$190&gt;Parameter!$B$32)*(Data!$DW$91:$DW$190="M"),0),"")</f>
        <v/>
      </c>
      <c r="L580" s="78" t="str">
        <f ca="1">IF(H580=1,INDEX(Data!$DT$91:$DT$190,$K580)&amp;" / "&amp;OFFSET(Data!$DX$89,0,Specials!J580),"")</f>
        <v/>
      </c>
      <c r="M580" s="78" t="s">
        <v>1</v>
      </c>
      <c r="N580" s="78" t="s">
        <v>255</v>
      </c>
      <c r="O580" s="78" t="e">
        <f t="shared" ref="O580:O643" ca="1" si="40">IF(AND($P580&lt;&gt;"",$N580="yes"),O579+1,O579)</f>
        <v>#VALUE!</v>
      </c>
      <c r="P580" s="78" t="str">
        <f t="shared" ca="1" si="39"/>
        <v/>
      </c>
    </row>
    <row r="581" spans="1:16" s="78" customFormat="1" hidden="1" x14ac:dyDescent="0.25">
      <c r="A581" s="317" t="str">
        <f>"# Oh dear Men Rating &gt; "&amp;Parameter!$B$32</f>
        <v># Oh dear Men Rating &gt; 850</v>
      </c>
      <c r="B581" s="297">
        <f>MATCH(A581,Data!$DT:$DT,0)</f>
        <v>17</v>
      </c>
      <c r="C581" s="78">
        <f>INDEX(Parameter!$9:$9,,MATCH(19,Parameter!$8:$8,0))</f>
        <v>18</v>
      </c>
      <c r="D581" s="78">
        <f>INDEX(Parameter!$B$10:$AB$10,MATCH(C581,Parameter!$B$9:$AB$9,0))</f>
        <v>3</v>
      </c>
      <c r="H581" s="78">
        <f ca="1">INDEX(OFFSET(Data!$CS$1:$DS$1,B581-1,0),MATCH("Total/"&amp;C581,Data!$CS$1:$DS$1,0))</f>
        <v>0</v>
      </c>
      <c r="I581" s="78" t="str">
        <f ca="1">IF(H581=1,INDEX(Parameter!$B$10:$AB$10,MATCH(C581,Parameter!$B$9:$AB$9,0))+8,"")</f>
        <v/>
      </c>
      <c r="J581" s="78" t="str">
        <f t="array" aca="1" ref="J581" ca="1">IF(H581=1,MATCH(1,(OFFSET(Data!$DY$1:$IB$1,B581-1,0))*(Data!$DY$90:$IB$90=C581),0),"")</f>
        <v/>
      </c>
      <c r="K581" s="78" t="str">
        <f t="array" aca="1" ref="K581" ca="1">IF(H581=1,MATCH(I581,OFFSET(Data!$DX$91:$DX$190,0,Specials!J581)*(Data!$AM$91:$AM$190&gt;Parameter!$B$32)*(Data!$DW$91:$DW$190="M"),0),"")</f>
        <v/>
      </c>
      <c r="L581" s="78" t="str">
        <f ca="1">IF(H581=1,INDEX(Data!$DT$91:$DT$190,$K581)&amp;" / "&amp;OFFSET(Data!$DX$89,0,Specials!J581),"")</f>
        <v/>
      </c>
      <c r="M581" s="78" t="s">
        <v>1</v>
      </c>
      <c r="N581" s="78" t="s">
        <v>255</v>
      </c>
      <c r="O581" s="78" t="e">
        <f t="shared" ca="1" si="40"/>
        <v>#VALUE!</v>
      </c>
      <c r="P581" s="78" t="str">
        <f t="shared" ca="1" si="39"/>
        <v/>
      </c>
    </row>
    <row r="582" spans="1:16" s="78" customFormat="1" hidden="1" x14ac:dyDescent="0.25">
      <c r="A582" s="317" t="str">
        <f>"# Oh dear Men Rating &gt; "&amp;Parameter!$B$32</f>
        <v># Oh dear Men Rating &gt; 850</v>
      </c>
      <c r="B582" s="297">
        <f>MATCH(A582,Data!$DT:$DT,0)</f>
        <v>17</v>
      </c>
      <c r="C582" s="78">
        <f>INDEX(Parameter!$9:$9,,MATCH(20,Parameter!$8:$8,0))</f>
        <v>20</v>
      </c>
      <c r="D582" s="78" t="str">
        <f>INDEX(Parameter!$B$10:$AB$10,MATCH(C582,Parameter!$B$9:$AB$9,0))</f>
        <v>no</v>
      </c>
      <c r="H582" s="78">
        <f ca="1">INDEX(OFFSET(Data!$CS$1:$DS$1,B582-1,0),MATCH("Total/"&amp;C582,Data!$CS$1:$DS$1,0))</f>
        <v>0</v>
      </c>
      <c r="I582" s="78" t="str">
        <f ca="1">IF(H582=1,INDEX(Parameter!$B$10:$AB$10,MATCH(C582,Parameter!$B$9:$AB$9,0))+8,"")</f>
        <v/>
      </c>
      <c r="J582" s="78" t="str">
        <f t="array" aca="1" ref="J582" ca="1">IF(H582=1,MATCH(1,(OFFSET(Data!$DY$1:$IB$1,B582-1,0))*(Data!$DY$90:$IB$90=C582),0),"")</f>
        <v/>
      </c>
      <c r="K582" s="78" t="str">
        <f t="array" aca="1" ref="K582" ca="1">IF(H582=1,MATCH(I582,OFFSET(Data!$DX$91:$DX$190,0,Specials!J582)*(Data!$AM$91:$AM$190&gt;Parameter!$B$32)*(Data!$DW$91:$DW$190="M"),0),"")</f>
        <v/>
      </c>
      <c r="L582" s="78" t="str">
        <f ca="1">IF(H582=1,INDEX(Data!$DT$91:$DT$190,$K582)&amp;" / "&amp;OFFSET(Data!$DX$89,0,Specials!J582),"")</f>
        <v/>
      </c>
      <c r="M582" s="78" t="s">
        <v>1</v>
      </c>
      <c r="N582" s="78" t="s">
        <v>255</v>
      </c>
      <c r="O582" s="78" t="e">
        <f t="shared" ca="1" si="40"/>
        <v>#VALUE!</v>
      </c>
      <c r="P582" s="78" t="str">
        <f t="shared" ca="1" si="39"/>
        <v/>
      </c>
    </row>
    <row r="583" spans="1:16" s="78" customFormat="1" hidden="1" x14ac:dyDescent="0.25">
      <c r="A583" s="317" t="str">
        <f>"# Oh dear Men Rating &gt; "&amp;Parameter!$B$32</f>
        <v># Oh dear Men Rating &gt; 850</v>
      </c>
      <c r="B583" s="297">
        <f>MATCH(A583,Data!$DT:$DT,0)</f>
        <v>17</v>
      </c>
      <c r="C583" s="78">
        <f>INDEX(Parameter!$9:$9,,MATCH(21,Parameter!$8:$8,0))</f>
        <v>21</v>
      </c>
      <c r="D583" s="78" t="str">
        <f>INDEX(Parameter!$B$10:$AB$10,MATCH(C583,Parameter!$B$9:$AB$9,0))</f>
        <v>no</v>
      </c>
      <c r="H583" s="78">
        <f ca="1">INDEX(OFFSET(Data!$CS$1:$DS$1,B583-1,0),MATCH("Total/"&amp;C583,Data!$CS$1:$DS$1,0))</f>
        <v>0</v>
      </c>
      <c r="I583" s="78" t="str">
        <f ca="1">IF(H583=1,INDEX(Parameter!$B$10:$AB$10,MATCH(C583,Parameter!$B$9:$AB$9,0))+8,"")</f>
        <v/>
      </c>
      <c r="J583" s="78" t="str">
        <f t="array" aca="1" ref="J583" ca="1">IF(H583=1,MATCH(1,(OFFSET(Data!$DY$1:$IB$1,B583-1,0))*(Data!$DY$90:$IB$90=C583),0),"")</f>
        <v/>
      </c>
      <c r="K583" s="78" t="str">
        <f t="array" aca="1" ref="K583" ca="1">IF(H583=1,MATCH(I583,OFFSET(Data!$DX$91:$DX$190,0,Specials!J583)*(Data!$AM$91:$AM$190&gt;Parameter!$B$32)*(Data!$DW$91:$DW$190="M"),0),"")</f>
        <v/>
      </c>
      <c r="L583" s="78" t="str">
        <f ca="1">IF(H583=1,INDEX(Data!$DT$91:$DT$190,$K583)&amp;" / "&amp;OFFSET(Data!$DX$89,0,Specials!J583),"")</f>
        <v/>
      </c>
      <c r="M583" s="78" t="s">
        <v>1</v>
      </c>
      <c r="N583" s="78" t="s">
        <v>255</v>
      </c>
      <c r="O583" s="78" t="e">
        <f t="shared" ca="1" si="40"/>
        <v>#VALUE!</v>
      </c>
      <c r="P583" s="78" t="str">
        <f t="shared" ca="1" si="39"/>
        <v/>
      </c>
    </row>
    <row r="584" spans="1:16" s="78" customFormat="1" hidden="1" x14ac:dyDescent="0.25">
      <c r="A584" s="317" t="str">
        <f>"# Oh dear Men Rating &gt; "&amp;Parameter!$B$32</f>
        <v># Oh dear Men Rating &gt; 850</v>
      </c>
      <c r="B584" s="297">
        <f>MATCH(A584,Data!$DT:$DT,0)</f>
        <v>17</v>
      </c>
      <c r="C584" s="78">
        <f>INDEX(Parameter!$9:$9,,MATCH(22,Parameter!$8:$8,0))</f>
        <v>22</v>
      </c>
      <c r="D584" s="78" t="str">
        <f>INDEX(Parameter!$B$10:$AB$10,MATCH(C584,Parameter!$B$9:$AB$9,0))</f>
        <v>no</v>
      </c>
      <c r="H584" s="78">
        <f ca="1">INDEX(OFFSET(Data!$CS$1:$DS$1,B584-1,0),MATCH("Total/"&amp;C584,Data!$CS$1:$DS$1,0))</f>
        <v>0</v>
      </c>
      <c r="I584" s="78" t="str">
        <f ca="1">IF(H584=1,INDEX(Parameter!$B$10:$AB$10,MATCH(C584,Parameter!$B$9:$AB$9,0))+8,"")</f>
        <v/>
      </c>
      <c r="J584" s="78" t="str">
        <f t="array" aca="1" ref="J584" ca="1">IF(H584=1,MATCH(1,(OFFSET(Data!$DY$1:$IB$1,B584-1,0))*(Data!$DY$90:$IB$90=C584),0),"")</f>
        <v/>
      </c>
      <c r="K584" s="78" t="str">
        <f t="array" aca="1" ref="K584" ca="1">IF(H584=1,MATCH(I584,OFFSET(Data!$DX$91:$DX$190,0,Specials!J584)*(Data!$AM$91:$AM$190&gt;Parameter!$B$32)*(Data!$DW$91:$DW$190="M"),0),"")</f>
        <v/>
      </c>
      <c r="L584" s="78" t="str">
        <f ca="1">IF(H584=1,INDEX(Data!$DT$91:$DT$190,$K584)&amp;" / "&amp;OFFSET(Data!$DX$89,0,Specials!J584),"")</f>
        <v/>
      </c>
      <c r="M584" s="78" t="s">
        <v>1</v>
      </c>
      <c r="N584" s="78" t="s">
        <v>255</v>
      </c>
      <c r="O584" s="78" t="e">
        <f t="shared" ca="1" si="40"/>
        <v>#VALUE!</v>
      </c>
      <c r="P584" s="78" t="str">
        <f t="shared" ref="P584:P593" ca="1" si="41">IF(AND(H584=1,ISERROR(K584)=FALSE),"Only 1 Oh Dear on hole "&amp;C584&amp;" (par "&amp;D584&amp;")","")</f>
        <v/>
      </c>
    </row>
    <row r="585" spans="1:16" s="78" customFormat="1" hidden="1" x14ac:dyDescent="0.25">
      <c r="A585" s="317" t="str">
        <f>"# Oh dear Men Rating &gt; "&amp;Parameter!$B$32</f>
        <v># Oh dear Men Rating &gt; 850</v>
      </c>
      <c r="B585" s="297">
        <f>MATCH(A585,Data!$DT:$DT,0)</f>
        <v>17</v>
      </c>
      <c r="C585" s="78">
        <f>INDEX(Parameter!$9:$9,,MATCH(23,Parameter!$8:$8,0))</f>
        <v>23</v>
      </c>
      <c r="D585" s="78" t="str">
        <f>INDEX(Parameter!$B$10:$AB$10,MATCH(C585,Parameter!$B$9:$AB$9,0))</f>
        <v>no</v>
      </c>
      <c r="H585" s="78">
        <f ca="1">INDEX(OFFSET(Data!$CS$1:$DS$1,B585-1,0),MATCH("Total/"&amp;C585,Data!$CS$1:$DS$1,0))</f>
        <v>0</v>
      </c>
      <c r="I585" s="78" t="str">
        <f ca="1">IF(H585=1,INDEX(Parameter!$B$10:$AB$10,MATCH(C585,Parameter!$B$9:$AB$9,0))+8,"")</f>
        <v/>
      </c>
      <c r="J585" s="78" t="str">
        <f t="array" aca="1" ref="J585" ca="1">IF(H585=1,MATCH(1,(OFFSET(Data!$DY$1:$IB$1,B585-1,0))*(Data!$DY$90:$IB$90=C585),0),"")</f>
        <v/>
      </c>
      <c r="K585" s="78" t="str">
        <f t="array" aca="1" ref="K585" ca="1">IF(H585=1,MATCH(I585,OFFSET(Data!$DX$91:$DX$190,0,Specials!J585)*(Data!$AM$91:$AM$190&gt;Parameter!$B$32)*(Data!$DW$91:$DW$190="M"),0),"")</f>
        <v/>
      </c>
      <c r="L585" s="78" t="str">
        <f ca="1">IF(H585=1,INDEX(Data!$DT$91:$DT$190,$K585)&amp;" / "&amp;OFFSET(Data!$DX$89,0,Specials!J585),"")</f>
        <v/>
      </c>
      <c r="M585" s="78" t="s">
        <v>1</v>
      </c>
      <c r="N585" s="78" t="s">
        <v>255</v>
      </c>
      <c r="O585" s="78" t="e">
        <f t="shared" ca="1" si="40"/>
        <v>#VALUE!</v>
      </c>
      <c r="P585" s="78" t="str">
        <f t="shared" ca="1" si="41"/>
        <v/>
      </c>
    </row>
    <row r="586" spans="1:16" s="78" customFormat="1" hidden="1" x14ac:dyDescent="0.25">
      <c r="A586" s="317" t="str">
        <f>"# Oh dear Men Rating &gt; "&amp;Parameter!$B$32</f>
        <v># Oh dear Men Rating &gt; 850</v>
      </c>
      <c r="B586" s="297">
        <f>MATCH(A586,Data!$DT:$DT,0)</f>
        <v>17</v>
      </c>
      <c r="C586" s="78">
        <f>INDEX(Parameter!$9:$9,,MATCH(24,Parameter!$8:$8,0))</f>
        <v>24</v>
      </c>
      <c r="D586" s="78" t="str">
        <f>INDEX(Parameter!$B$10:$AB$10,MATCH(C586,Parameter!$B$9:$AB$9,0))</f>
        <v>no</v>
      </c>
      <c r="H586" s="78">
        <f ca="1">INDEX(OFFSET(Data!$CS$1:$DS$1,B586-1,0),MATCH("Total/"&amp;C586,Data!$CS$1:$DS$1,0))</f>
        <v>0</v>
      </c>
      <c r="I586" s="78" t="str">
        <f ca="1">IF(H586=1,INDEX(Parameter!$B$10:$AB$10,MATCH(C586,Parameter!$B$9:$AB$9,0))+8,"")</f>
        <v/>
      </c>
      <c r="J586" s="78" t="str">
        <f t="array" aca="1" ref="J586" ca="1">IF(H586=1,MATCH(1,(OFFSET(Data!$DY$1:$IB$1,B586-1,0))*(Data!$DY$90:$IB$90=C586),0),"")</f>
        <v/>
      </c>
      <c r="K586" s="78" t="str">
        <f t="array" aca="1" ref="K586" ca="1">IF(H586=1,MATCH(I586,OFFSET(Data!$DX$91:$DX$190,0,Specials!J586)*(Data!$AM$91:$AM$190&gt;Parameter!$B$32)*(Data!$DW$91:$DW$190="M"),0),"")</f>
        <v/>
      </c>
      <c r="L586" s="78" t="str">
        <f ca="1">IF(H586=1,INDEX(Data!$DT$91:$DT$190,$K586)&amp;" / "&amp;OFFSET(Data!$DX$89,0,Specials!J586),"")</f>
        <v/>
      </c>
      <c r="M586" s="78" t="s">
        <v>1</v>
      </c>
      <c r="N586" s="78" t="s">
        <v>255</v>
      </c>
      <c r="O586" s="78" t="e">
        <f t="shared" ca="1" si="40"/>
        <v>#VALUE!</v>
      </c>
      <c r="P586" s="78" t="str">
        <f t="shared" ca="1" si="41"/>
        <v/>
      </c>
    </row>
    <row r="587" spans="1:16" s="78" customFormat="1" hidden="1" x14ac:dyDescent="0.25">
      <c r="A587" s="317" t="str">
        <f>"# Oh dear Men Rating &gt; "&amp;Parameter!$B$32</f>
        <v># Oh dear Men Rating &gt; 850</v>
      </c>
      <c r="B587" s="297">
        <f>MATCH(A587,Data!$DT:$DT,0)</f>
        <v>17</v>
      </c>
      <c r="C587" s="78">
        <f>INDEX(Parameter!$9:$9,,MATCH(25,Parameter!$8:$8,0))</f>
        <v>25</v>
      </c>
      <c r="D587" s="78" t="str">
        <f>INDEX(Parameter!$B$10:$AB$10,MATCH(C587,Parameter!$B$9:$AB$9,0))</f>
        <v>no</v>
      </c>
      <c r="H587" s="78">
        <f ca="1">INDEX(OFFSET(Data!$CS$1:$DS$1,B587-1,0),MATCH("Total/"&amp;C587,Data!$CS$1:$DS$1,0))</f>
        <v>0</v>
      </c>
      <c r="I587" s="78" t="str">
        <f ca="1">IF(H587=1,INDEX(Parameter!$B$10:$AB$10,MATCH(C587,Parameter!$B$9:$AB$9,0))+8,"")</f>
        <v/>
      </c>
      <c r="J587" s="78" t="str">
        <f t="array" aca="1" ref="J587" ca="1">IF(H587=1,MATCH(1,(OFFSET(Data!$DY$1:$IB$1,B587-1,0))*(Data!$DY$90:$IB$90=C587),0),"")</f>
        <v/>
      </c>
      <c r="K587" s="78" t="str">
        <f t="array" aca="1" ref="K587" ca="1">IF(H587=1,MATCH(I587,OFFSET(Data!$DX$91:$DX$190,0,Specials!J587)*(Data!$AM$91:$AM$190&gt;Parameter!$B$32)*(Data!$DW$91:$DW$190="M"),0),"")</f>
        <v/>
      </c>
      <c r="L587" s="78" t="str">
        <f ca="1">IF(H587=1,INDEX(Data!$DT$91:$DT$190,$K587)&amp;" / "&amp;OFFSET(Data!$DX$89,0,Specials!J587),"")</f>
        <v/>
      </c>
      <c r="M587" s="78" t="s">
        <v>1</v>
      </c>
      <c r="N587" s="78" t="s">
        <v>255</v>
      </c>
      <c r="O587" s="78" t="e">
        <f t="shared" ca="1" si="40"/>
        <v>#VALUE!</v>
      </c>
      <c r="P587" s="78" t="str">
        <f t="shared" ca="1" si="41"/>
        <v/>
      </c>
    </row>
    <row r="588" spans="1:16" s="78" customFormat="1" hidden="1" x14ac:dyDescent="0.25">
      <c r="A588" s="317" t="str">
        <f>"# Oh dear Men Rating &gt; "&amp;Parameter!$B$32</f>
        <v># Oh dear Men Rating &gt; 850</v>
      </c>
      <c r="B588" s="297">
        <f>MATCH(A588,Data!$DT:$DT,0)</f>
        <v>17</v>
      </c>
      <c r="C588" s="78">
        <f>INDEX(Parameter!$9:$9,,MATCH(26,Parameter!$8:$8,0))</f>
        <v>26</v>
      </c>
      <c r="D588" s="78" t="str">
        <f>INDEX(Parameter!$B$10:$AB$10,MATCH(C588,Parameter!$B$9:$AB$9,0))</f>
        <v>no</v>
      </c>
      <c r="H588" s="78">
        <f ca="1">INDEX(OFFSET(Data!$CS$1:$DS$1,B588-1,0),MATCH("Total/"&amp;C588,Data!$CS$1:$DS$1,0))</f>
        <v>0</v>
      </c>
      <c r="I588" s="78" t="str">
        <f ca="1">IF(H588=1,INDEX(Parameter!$B$10:$AB$10,MATCH(C588,Parameter!$B$9:$AB$9,0))+8,"")</f>
        <v/>
      </c>
      <c r="J588" s="78" t="str">
        <f t="array" aca="1" ref="J588" ca="1">IF(H588=1,MATCH(1,(OFFSET(Data!$DY$1:$IB$1,B588-1,0))*(Data!$DY$90:$IB$90=C588),0),"")</f>
        <v/>
      </c>
      <c r="K588" s="78" t="str">
        <f t="array" aca="1" ref="K588" ca="1">IF(H588=1,MATCH(I588,OFFSET(Data!$DX$91:$DX$190,0,Specials!J588)*(Data!$AM$91:$AM$190&gt;Parameter!$B$32)*(Data!$DW$91:$DW$190="M"),0),"")</f>
        <v/>
      </c>
      <c r="L588" s="78" t="str">
        <f ca="1">IF(H588=1,INDEX(Data!$DT$91:$DT$190,$K588)&amp;" / "&amp;OFFSET(Data!$DX$89,0,Specials!J588),"")</f>
        <v/>
      </c>
      <c r="M588" s="78" t="s">
        <v>1</v>
      </c>
      <c r="N588" s="78" t="s">
        <v>255</v>
      </c>
      <c r="O588" s="78" t="e">
        <f t="shared" ca="1" si="40"/>
        <v>#VALUE!</v>
      </c>
      <c r="P588" s="78" t="str">
        <f t="shared" ca="1" si="41"/>
        <v/>
      </c>
    </row>
    <row r="589" spans="1:16" s="78" customFormat="1" hidden="1" x14ac:dyDescent="0.25">
      <c r="A589" s="317" t="str">
        <f>"# Oh dear Men Rating &gt; "&amp;Parameter!$B$32</f>
        <v># Oh dear Men Rating &gt; 850</v>
      </c>
      <c r="B589" s="297">
        <f>MATCH(A589,Data!$DT:$DT,0)</f>
        <v>17</v>
      </c>
      <c r="C589" s="78">
        <f>INDEX(Parameter!$9:$9,,MATCH(27,Parameter!$8:$8,0))</f>
        <v>27</v>
      </c>
      <c r="D589" s="78" t="str">
        <f>INDEX(Parameter!$B$10:$AB$10,MATCH(C589,Parameter!$B$9:$AB$9,0))</f>
        <v>no</v>
      </c>
      <c r="H589" s="78">
        <f ca="1">INDEX(OFFSET(Data!$CS$1:$DS$1,B589-1,0),MATCH("Total/"&amp;C589,Data!$CS$1:$DS$1,0))</f>
        <v>0</v>
      </c>
      <c r="I589" s="78" t="str">
        <f ca="1">IF(H589=1,INDEX(Parameter!$B$10:$AB$10,MATCH(C589,Parameter!$B$9:$AB$9,0))+8,"")</f>
        <v/>
      </c>
      <c r="J589" s="78" t="str">
        <f t="array" aca="1" ref="J589" ca="1">IF(H589=1,MATCH(1,(OFFSET(Data!$DY$1:$IB$1,B589-1,0))*(Data!$DY$90:$IB$90=C589),0),"")</f>
        <v/>
      </c>
      <c r="K589" s="78" t="str">
        <f t="array" aca="1" ref="K589" ca="1">IF(H589=1,MATCH(I589,OFFSET(Data!$DX$91:$DX$190,0,Specials!J589)*(Data!$AM$91:$AM$190&gt;Parameter!$B$32)*(Data!$DW$91:$DW$190="M"),0),"")</f>
        <v/>
      </c>
      <c r="L589" s="78" t="str">
        <f ca="1">IF(H589=1,INDEX(Data!$DT$91:$DT$190,$K589)&amp;" / "&amp;OFFSET(Data!$DX$89,0,Specials!J589),"")</f>
        <v/>
      </c>
      <c r="M589" s="78" t="s">
        <v>1</v>
      </c>
      <c r="N589" s="78" t="s">
        <v>255</v>
      </c>
      <c r="O589" s="78" t="e">
        <f t="shared" ca="1" si="40"/>
        <v>#VALUE!</v>
      </c>
      <c r="P589" s="78" t="str">
        <f t="shared" ca="1" si="41"/>
        <v/>
      </c>
    </row>
    <row r="590" spans="1:16" s="78" customFormat="1" ht="15" hidden="1" customHeight="1" x14ac:dyDescent="0.25">
      <c r="A590" s="317" t="str">
        <f>"# Oh dear Men Rating &gt; "&amp;Parameter!$B$32</f>
        <v># Oh dear Men Rating &gt; 850</v>
      </c>
      <c r="B590" s="297">
        <f>MATCH(A590,Data!$DT:$DT,0)</f>
        <v>17</v>
      </c>
      <c r="C590" s="78">
        <f>INDEX(Parameter!$9:$9,,MATCH(1,Parameter!$8:$8,0))</f>
        <v>1</v>
      </c>
      <c r="D590" s="78">
        <f>INDEX(Parameter!$B$10:$AB$10,MATCH(C590,Parameter!$B$9:$AB$9,0))</f>
        <v>3</v>
      </c>
      <c r="H590" s="78">
        <f ca="1">INDEX(OFFSET(Data!$CS$1:$DS$1,B590-1,0),MATCH("Total/"&amp;C590,Data!$CS$1:$DS$1,0))</f>
        <v>0</v>
      </c>
      <c r="I590" s="78" t="str">
        <f ca="1">IF(H590=1,INDEX(Parameter!$B$10:$AB$10,MATCH(C590,Parameter!$B$9:$AB$9,0))+9,"")</f>
        <v/>
      </c>
      <c r="J590" s="78" t="str">
        <f t="array" aca="1" ref="J590" ca="1">IF(H590=1,MATCH(1,(OFFSET(Data!$DY$1:$IB$1,B590-1,0))*(Data!$DY$90:$IB$90=C590),0),"")</f>
        <v/>
      </c>
      <c r="K590" s="78" t="str">
        <f t="array" aca="1" ref="K590" ca="1">IF(H590=1,MATCH(I590,OFFSET(Data!$DX$91:$DX$190,0,Specials!J590)*(Data!$AM$91:$AM$190&gt;Parameter!$B$32)*(Data!$DW$91:$DW$190="M"),0),"")</f>
        <v/>
      </c>
      <c r="L590" s="78" t="str">
        <f ca="1">IF(H590=1,INDEX(Data!$DT$91:$DT$190,$K590)&amp;" / "&amp;OFFSET(Data!$DX$89,0,Specials!J590),"")</f>
        <v/>
      </c>
      <c r="M590" s="78" t="s">
        <v>1</v>
      </c>
      <c r="N590" s="78" t="s">
        <v>255</v>
      </c>
      <c r="O590" s="78" t="e">
        <f t="shared" ca="1" si="40"/>
        <v>#VALUE!</v>
      </c>
      <c r="P590" s="78" t="str">
        <f t="shared" ca="1" si="41"/>
        <v/>
      </c>
    </row>
    <row r="591" spans="1:16" s="78" customFormat="1" hidden="1" x14ac:dyDescent="0.25">
      <c r="A591" s="317" t="str">
        <f>"# Oh dear Men Rating &gt; "&amp;Parameter!$B$32</f>
        <v># Oh dear Men Rating &gt; 850</v>
      </c>
      <c r="B591" s="297">
        <f>MATCH(A591,Data!$DT:$DT,0)</f>
        <v>17</v>
      </c>
      <c r="C591" s="78">
        <f>INDEX(Parameter!$9:$9,,MATCH(2,Parameter!$8:$8,0))</f>
        <v>2</v>
      </c>
      <c r="D591" s="78">
        <f>INDEX(Parameter!$B$10:$AB$10,MATCH(C591,Parameter!$B$9:$AB$9,0))</f>
        <v>3</v>
      </c>
      <c r="H591" s="78">
        <f ca="1">INDEX(OFFSET(Data!$CS$1:$DS$1,B591-1,0),MATCH("Total/"&amp;C591,Data!$CS$1:$DS$1,0))</f>
        <v>0</v>
      </c>
      <c r="I591" s="78" t="str">
        <f ca="1">IF(H591=1,INDEX(Parameter!$B$10:$AB$10,MATCH(C591,Parameter!$B$9:$AB$9,0))+9,"")</f>
        <v/>
      </c>
      <c r="J591" s="78" t="str">
        <f t="array" aca="1" ref="J591" ca="1">IF(H591=1,MATCH(1,(OFFSET(Data!$DY$1:$IB$1,B591-1,0))*(Data!$DY$90:$IB$90=C591),0),"")</f>
        <v/>
      </c>
      <c r="K591" s="78" t="str">
        <f t="array" aca="1" ref="K591" ca="1">IF(H591=1,MATCH(I591,OFFSET(Data!$DX$91:$DX$190,0,Specials!J591)*(Data!$AM$91:$AM$190&gt;Parameter!$B$32)*(Data!$DW$91:$DW$190="M"),0),"")</f>
        <v/>
      </c>
      <c r="L591" s="78" t="str">
        <f ca="1">IF(H591=1,INDEX(Data!$DT$91:$DT$190,$K591)&amp;" / "&amp;OFFSET(Data!$DX$89,0,Specials!J591),"")</f>
        <v/>
      </c>
      <c r="M591" s="78" t="s">
        <v>1</v>
      </c>
      <c r="N591" s="78" t="s">
        <v>255</v>
      </c>
      <c r="O591" s="78" t="e">
        <f t="shared" ca="1" si="40"/>
        <v>#VALUE!</v>
      </c>
      <c r="P591" s="78" t="str">
        <f t="shared" ca="1" si="41"/>
        <v/>
      </c>
    </row>
    <row r="592" spans="1:16" s="78" customFormat="1" hidden="1" x14ac:dyDescent="0.25">
      <c r="A592" s="317" t="str">
        <f>"# Oh dear Men Rating &gt; "&amp;Parameter!$B$32</f>
        <v># Oh dear Men Rating &gt; 850</v>
      </c>
      <c r="B592" s="297">
        <f>MATCH(A592,Data!$DT:$DT,0)</f>
        <v>17</v>
      </c>
      <c r="C592" s="78">
        <f>INDEX(Parameter!$9:$9,,MATCH(3,Parameter!$8:$8,0))</f>
        <v>3</v>
      </c>
      <c r="D592" s="78">
        <f>INDEX(Parameter!$B$10:$AB$10,MATCH(C592,Parameter!$B$9:$AB$9,0))</f>
        <v>3</v>
      </c>
      <c r="H592" s="78">
        <f ca="1">INDEX(OFFSET(Data!$CS$1:$DS$1,B592-1,0),MATCH("Total/"&amp;C592,Data!$CS$1:$DS$1,0))</f>
        <v>0</v>
      </c>
      <c r="I592" s="78" t="str">
        <f ca="1">IF(H592=1,INDEX(Parameter!$B$10:$AB$10,MATCH(C592,Parameter!$B$9:$AB$9,0))+9,"")</f>
        <v/>
      </c>
      <c r="J592" s="78" t="str">
        <f t="array" aca="1" ref="J592" ca="1">IF(H592=1,MATCH(1,(OFFSET(Data!$DY$1:$IB$1,B592-1,0))*(Data!$DY$90:$IB$90=C592),0),"")</f>
        <v/>
      </c>
      <c r="K592" s="78" t="str">
        <f t="array" aca="1" ref="K592" ca="1">IF(H592=1,MATCH(I592,OFFSET(Data!$DX$91:$DX$190,0,Specials!J592)*(Data!$AM$91:$AM$190&gt;Parameter!$B$32)*(Data!$DW$91:$DW$190="M"),0),"")</f>
        <v/>
      </c>
      <c r="L592" s="78" t="str">
        <f ca="1">IF(H592=1,INDEX(Data!$DT$91:$DT$190,$K592)&amp;" / "&amp;OFFSET(Data!$DX$89,0,Specials!J592),"")</f>
        <v/>
      </c>
      <c r="M592" s="78" t="s">
        <v>1</v>
      </c>
      <c r="N592" s="78" t="s">
        <v>255</v>
      </c>
      <c r="O592" s="78" t="e">
        <f t="shared" ca="1" si="40"/>
        <v>#VALUE!</v>
      </c>
      <c r="P592" s="78" t="str">
        <f t="shared" ca="1" si="41"/>
        <v/>
      </c>
    </row>
    <row r="593" spans="1:16" s="78" customFormat="1" hidden="1" x14ac:dyDescent="0.25">
      <c r="A593" s="317" t="str">
        <f>"# Oh dear Men Rating &gt; "&amp;Parameter!$B$32</f>
        <v># Oh dear Men Rating &gt; 850</v>
      </c>
      <c r="B593" s="297">
        <f>MATCH(A593,Data!$DT:$DT,0)</f>
        <v>17</v>
      </c>
      <c r="C593" s="78">
        <f>INDEX(Parameter!$9:$9,,MATCH(4,Parameter!$8:$8,0))</f>
        <v>4</v>
      </c>
      <c r="D593" s="78">
        <f>INDEX(Parameter!$B$10:$AB$10,MATCH(C593,Parameter!$B$9:$AB$9,0))</f>
        <v>3</v>
      </c>
      <c r="H593" s="78">
        <f ca="1">INDEX(OFFSET(Data!$CS$1:$DS$1,B593-1,0),MATCH("Total/"&amp;C593,Data!$CS$1:$DS$1,0))</f>
        <v>0</v>
      </c>
      <c r="I593" s="78" t="str">
        <f ca="1">IF(H593=1,INDEX(Parameter!$B$10:$AB$10,MATCH(C593,Parameter!$B$9:$AB$9,0))+9,"")</f>
        <v/>
      </c>
      <c r="J593" s="78" t="str">
        <f t="array" aca="1" ref="J593" ca="1">IF(H593=1,MATCH(1,(OFFSET(Data!$DY$1:$IB$1,B593-1,0))*(Data!$DY$90:$IB$90=C593),0),"")</f>
        <v/>
      </c>
      <c r="K593" s="78" t="str">
        <f t="array" aca="1" ref="K593" ca="1">IF(H593=1,MATCH(I593,OFFSET(Data!$DX$91:$DX$190,0,Specials!J593)*(Data!$AM$91:$AM$190&gt;Parameter!$B$32)*(Data!$DW$91:$DW$190="M"),0),"")</f>
        <v/>
      </c>
      <c r="L593" s="78" t="str">
        <f ca="1">IF(H593=1,INDEX(Data!$DT$91:$DT$190,$K593)&amp;" / "&amp;OFFSET(Data!$DX$89,0,Specials!J593),"")</f>
        <v/>
      </c>
      <c r="M593" s="78" t="s">
        <v>1</v>
      </c>
      <c r="N593" s="78" t="s">
        <v>255</v>
      </c>
      <c r="O593" s="78" t="e">
        <f t="shared" ca="1" si="40"/>
        <v>#VALUE!</v>
      </c>
      <c r="P593" s="78" t="str">
        <f t="shared" ca="1" si="41"/>
        <v/>
      </c>
    </row>
    <row r="594" spans="1:16" s="78" customFormat="1" hidden="1" x14ac:dyDescent="0.25">
      <c r="A594" s="317" t="str">
        <f>"# Oh dear Men Rating &gt; "&amp;Parameter!$B$32</f>
        <v># Oh dear Men Rating &gt; 850</v>
      </c>
      <c r="B594" s="297">
        <f>MATCH(A594,Data!$DT:$DT,0)</f>
        <v>17</v>
      </c>
      <c r="C594" s="78">
        <f>INDEX(Parameter!$9:$9,,MATCH(5,Parameter!$8:$8,0))</f>
        <v>5</v>
      </c>
      <c r="D594" s="78">
        <f>INDEX(Parameter!$B$10:$AB$10,MATCH(C594,Parameter!$B$9:$AB$9,0))</f>
        <v>4</v>
      </c>
      <c r="H594" s="78">
        <f ca="1">INDEX(OFFSET(Data!$CS$1:$DS$1,B594-1,0),MATCH("Total/"&amp;C594,Data!$CS$1:$DS$1,0))</f>
        <v>0</v>
      </c>
      <c r="I594" s="78" t="str">
        <f ca="1">IF(H594=1,INDEX(Parameter!$B$10:$AB$10,MATCH(C594,Parameter!$B$9:$AB$9,0))+9,"")</f>
        <v/>
      </c>
      <c r="J594" s="78" t="str">
        <f t="array" aca="1" ref="J594" ca="1">IF(H594=1,MATCH(1,(OFFSET(Data!$DY$1:$IB$1,B594-1,0))*(Data!$DY$90:$IB$90=C594),0),"")</f>
        <v/>
      </c>
      <c r="K594" s="78" t="str">
        <f t="array" aca="1" ref="K594" ca="1">IF(H594=1,MATCH(I594,OFFSET(Data!$DX$91:$DX$190,0,Specials!J594)*(Data!$AM$91:$AM$190&gt;Parameter!$B$32)*(Data!$DW$91:$DW$190="M"),0),"")</f>
        <v/>
      </c>
      <c r="L594" s="78" t="str">
        <f ca="1">IF(H594=1,INDEX(Data!$DT$91:$DT$190,$K594)&amp;" / "&amp;OFFSET(Data!$DX$89,0,Specials!J594),"")</f>
        <v/>
      </c>
      <c r="M594" s="78" t="s">
        <v>1</v>
      </c>
      <c r="N594" s="78" t="s">
        <v>255</v>
      </c>
      <c r="O594" s="78" t="e">
        <f t="shared" ca="1" si="40"/>
        <v>#VALUE!</v>
      </c>
      <c r="P594" s="78" t="str">
        <f ca="1">IF(AND(H594=1,ISERROR(K594)=FALSE),"Only 1 Oh Dear on hole "&amp;C594&amp;" (par "&amp;D594&amp;")","")</f>
        <v/>
      </c>
    </row>
    <row r="595" spans="1:16" s="78" customFormat="1" hidden="1" x14ac:dyDescent="0.25">
      <c r="A595" s="317" t="str">
        <f>"# Oh dear Men Rating &gt; "&amp;Parameter!$B$32</f>
        <v># Oh dear Men Rating &gt; 850</v>
      </c>
      <c r="B595" s="297">
        <f>MATCH(A595,Data!$DT:$DT,0)</f>
        <v>17</v>
      </c>
      <c r="C595" s="78">
        <f>INDEX(Parameter!$9:$9,,MATCH(6,Parameter!$8:$8,0))</f>
        <v>6</v>
      </c>
      <c r="D595" s="78">
        <f>INDEX(Parameter!$B$10:$AB$10,MATCH(C595,Parameter!$B$9:$AB$9,0))</f>
        <v>3</v>
      </c>
      <c r="H595" s="78">
        <f ca="1">INDEX(OFFSET(Data!$CS$1:$DS$1,B595-1,0),MATCH("Total/"&amp;C595,Data!$CS$1:$DS$1,0))</f>
        <v>0</v>
      </c>
      <c r="I595" s="78" t="str">
        <f ca="1">IF(H595=1,INDEX(Parameter!$B$10:$AB$10,MATCH(C595,Parameter!$B$9:$AB$9,0))+9,"")</f>
        <v/>
      </c>
      <c r="J595" s="78" t="str">
        <f t="array" aca="1" ref="J595" ca="1">IF(H595=1,MATCH(1,(OFFSET(Data!$DY$1:$IB$1,B595-1,0))*(Data!$DY$90:$IB$90=C595),0),"")</f>
        <v/>
      </c>
      <c r="K595" s="78" t="str">
        <f t="array" aca="1" ref="K595" ca="1">IF(H595=1,MATCH(I595,OFFSET(Data!$DX$91:$DX$190,0,Specials!J595)*(Data!$AM$91:$AM$190&gt;Parameter!$B$32)*(Data!$DW$91:$DW$190="M"),0),"")</f>
        <v/>
      </c>
      <c r="L595" s="78" t="str">
        <f ca="1">IF(H595=1,INDEX(Data!$DT$91:$DT$190,$K595)&amp;" / "&amp;OFFSET(Data!$DX$89,0,Specials!J595),"")</f>
        <v/>
      </c>
      <c r="M595" s="78" t="s">
        <v>1</v>
      </c>
      <c r="N595" s="78" t="s">
        <v>255</v>
      </c>
      <c r="O595" s="78" t="e">
        <f t="shared" ca="1" si="40"/>
        <v>#VALUE!</v>
      </c>
      <c r="P595" s="78" t="str">
        <f t="shared" ref="P595:P642" ca="1" si="42">IF(AND(H595=1,ISERROR(K595)=FALSE),"Only 1 Oh Dear on hole "&amp;C595&amp;" (par "&amp;D595&amp;")","")</f>
        <v/>
      </c>
    </row>
    <row r="596" spans="1:16" s="78" customFormat="1" hidden="1" x14ac:dyDescent="0.25">
      <c r="A596" s="317" t="str">
        <f>"# Oh dear Men Rating &gt; "&amp;Parameter!$B$32</f>
        <v># Oh dear Men Rating &gt; 850</v>
      </c>
      <c r="B596" s="297">
        <f>MATCH(A596,Data!$DT:$DT,0)</f>
        <v>17</v>
      </c>
      <c r="C596" s="78">
        <f>INDEX(Parameter!$9:$9,,MATCH(7,Parameter!$8:$8,0))</f>
        <v>7</v>
      </c>
      <c r="D596" s="78">
        <f>INDEX(Parameter!$B$10:$AB$10,MATCH(C596,Parameter!$B$9:$AB$9,0))</f>
        <v>3</v>
      </c>
      <c r="H596" s="78">
        <f ca="1">INDEX(OFFSET(Data!$CS$1:$DS$1,B596-1,0),MATCH("Total/"&amp;C596,Data!$CS$1:$DS$1,0))</f>
        <v>0</v>
      </c>
      <c r="I596" s="78" t="str">
        <f ca="1">IF(H596=1,INDEX(Parameter!$B$10:$AB$10,MATCH(C596,Parameter!$B$9:$AB$9,0))+9,"")</f>
        <v/>
      </c>
      <c r="J596" s="78" t="str">
        <f t="array" aca="1" ref="J596" ca="1">IF(H596=1,MATCH(1,(OFFSET(Data!$DY$1:$IB$1,B596-1,0))*(Data!$DY$90:$IB$90=C596),0),"")</f>
        <v/>
      </c>
      <c r="K596" s="78" t="str">
        <f t="array" aca="1" ref="K596" ca="1">IF(H596=1,MATCH(I596,OFFSET(Data!$DX$91:$DX$190,0,Specials!J596)*(Data!$AM$91:$AM$190&gt;Parameter!$B$32)*(Data!$DW$91:$DW$190="M"),0),"")</f>
        <v/>
      </c>
      <c r="L596" s="78" t="str">
        <f ca="1">IF(H596=1,INDEX(Data!$DT$91:$DT$190,$K596)&amp;" / "&amp;OFFSET(Data!$DX$89,0,Specials!J596),"")</f>
        <v/>
      </c>
      <c r="M596" s="78" t="s">
        <v>1</v>
      </c>
      <c r="N596" s="78" t="s">
        <v>255</v>
      </c>
      <c r="O596" s="78" t="e">
        <f t="shared" ca="1" si="40"/>
        <v>#VALUE!</v>
      </c>
      <c r="P596" s="78" t="str">
        <f t="shared" ca="1" si="42"/>
        <v/>
      </c>
    </row>
    <row r="597" spans="1:16" s="78" customFormat="1" hidden="1" x14ac:dyDescent="0.25">
      <c r="A597" s="317" t="str">
        <f>"# Oh dear Men Rating &gt; "&amp;Parameter!$B$32</f>
        <v># Oh dear Men Rating &gt; 850</v>
      </c>
      <c r="B597" s="297">
        <f>MATCH(A597,Data!$DT:$DT,0)</f>
        <v>17</v>
      </c>
      <c r="C597" s="78">
        <f>INDEX(Parameter!$9:$9,,MATCH(8,Parameter!$8:$8,0))</f>
        <v>8</v>
      </c>
      <c r="D597" s="78">
        <f>INDEX(Parameter!$B$10:$AB$10,MATCH(C597,Parameter!$B$9:$AB$9,0))</f>
        <v>3</v>
      </c>
      <c r="H597" s="78">
        <f ca="1">INDEX(OFFSET(Data!$CS$1:$DS$1,B597-1,0),MATCH("Total/"&amp;C597,Data!$CS$1:$DS$1,0))</f>
        <v>0</v>
      </c>
      <c r="I597" s="78" t="str">
        <f ca="1">IF(H597=1,INDEX(Parameter!$B$10:$AB$10,MATCH(C597,Parameter!$B$9:$AB$9,0))+9,"")</f>
        <v/>
      </c>
      <c r="J597" s="78" t="str">
        <f t="array" aca="1" ref="J597" ca="1">IF(H597=1,MATCH(1,(OFFSET(Data!$DY$1:$IB$1,B597-1,0))*(Data!$DY$90:$IB$90=C597),0),"")</f>
        <v/>
      </c>
      <c r="K597" s="78" t="str">
        <f t="array" aca="1" ref="K597" ca="1">IF(H597=1,MATCH(I597,OFFSET(Data!$DX$91:$DX$190,0,Specials!J597)*(Data!$AM$91:$AM$190&gt;Parameter!$B$32)*(Data!$DW$91:$DW$190="M"),0),"")</f>
        <v/>
      </c>
      <c r="L597" s="78" t="str">
        <f ca="1">IF(H597=1,INDEX(Data!$DT$91:$DT$190,$K597)&amp;" / "&amp;OFFSET(Data!$DX$89,0,Specials!J597),"")</f>
        <v/>
      </c>
      <c r="M597" s="78" t="s">
        <v>1</v>
      </c>
      <c r="N597" s="78" t="s">
        <v>255</v>
      </c>
      <c r="O597" s="78" t="e">
        <f t="shared" ca="1" si="40"/>
        <v>#VALUE!</v>
      </c>
      <c r="P597" s="78" t="str">
        <f t="shared" ca="1" si="42"/>
        <v/>
      </c>
    </row>
    <row r="598" spans="1:16" s="78" customFormat="1" hidden="1" x14ac:dyDescent="0.25">
      <c r="A598" s="317" t="str">
        <f>"# Oh dear Men Rating &gt; "&amp;Parameter!$B$32</f>
        <v># Oh dear Men Rating &gt; 850</v>
      </c>
      <c r="B598" s="297">
        <f>MATCH(A598,Data!$DT:$DT,0)</f>
        <v>17</v>
      </c>
      <c r="C598" s="78">
        <f>INDEX(Parameter!$9:$9,,MATCH(9,Parameter!$8:$8,0))</f>
        <v>9</v>
      </c>
      <c r="D598" s="78">
        <f>INDEX(Parameter!$B$10:$AB$10,MATCH(C598,Parameter!$B$9:$AB$9,0))</f>
        <v>4</v>
      </c>
      <c r="H598" s="78">
        <f ca="1">INDEX(OFFSET(Data!$CS$1:$DS$1,B598-1,0),MATCH("Total/"&amp;C598,Data!$CS$1:$DS$1,0))</f>
        <v>0</v>
      </c>
      <c r="I598" s="78" t="str">
        <f ca="1">IF(H598=1,INDEX(Parameter!$B$10:$AB$10,MATCH(C598,Parameter!$B$9:$AB$9,0))+9,"")</f>
        <v/>
      </c>
      <c r="J598" s="78" t="str">
        <f t="array" aca="1" ref="J598" ca="1">IF(H598=1,MATCH(1,(OFFSET(Data!$DY$1:$IB$1,B598-1,0))*(Data!$DY$90:$IB$90=C598),0),"")</f>
        <v/>
      </c>
      <c r="K598" s="78" t="str">
        <f t="array" aca="1" ref="K598" ca="1">IF(H598=1,MATCH(I598,OFFSET(Data!$DX$91:$DX$190,0,Specials!J598)*(Data!$AM$91:$AM$190&gt;Parameter!$B$32)*(Data!$DW$91:$DW$190="M"),0),"")</f>
        <v/>
      </c>
      <c r="L598" s="78" t="str">
        <f ca="1">IF(H598=1,INDEX(Data!$DT$91:$DT$190,$K598)&amp;" / "&amp;OFFSET(Data!$DX$89,0,Specials!J598),"")</f>
        <v/>
      </c>
      <c r="M598" s="78" t="s">
        <v>1</v>
      </c>
      <c r="N598" s="78" t="s">
        <v>255</v>
      </c>
      <c r="O598" s="78" t="e">
        <f t="shared" ca="1" si="40"/>
        <v>#VALUE!</v>
      </c>
      <c r="P598" s="78" t="str">
        <f t="shared" ca="1" si="42"/>
        <v/>
      </c>
    </row>
    <row r="599" spans="1:16" s="78" customFormat="1" hidden="1" x14ac:dyDescent="0.25">
      <c r="A599" s="317" t="str">
        <f>"# Oh dear Men Rating &gt; "&amp;Parameter!$B$32</f>
        <v># Oh dear Men Rating &gt; 850</v>
      </c>
      <c r="B599" s="297">
        <f>MATCH(A599,Data!$DT:$DT,0)</f>
        <v>17</v>
      </c>
      <c r="C599" s="78">
        <f>INDEX(Parameter!$9:$9,,MATCH(10,Parameter!$8:$8,0))</f>
        <v>10</v>
      </c>
      <c r="D599" s="78">
        <f>INDEX(Parameter!$B$10:$AB$10,MATCH(C599,Parameter!$B$9:$AB$9,0))</f>
        <v>4</v>
      </c>
      <c r="H599" s="78">
        <f ca="1">INDEX(OFFSET(Data!$CS$1:$DS$1,B599-1,0),MATCH("Total/"&amp;C599,Data!$CS$1:$DS$1,0))</f>
        <v>0</v>
      </c>
      <c r="I599" s="78" t="str">
        <f ca="1">IF(H599=1,INDEX(Parameter!$B$10:$AB$10,MATCH(C599,Parameter!$B$9:$AB$9,0))+9,"")</f>
        <v/>
      </c>
      <c r="J599" s="78" t="str">
        <f t="array" aca="1" ref="J599" ca="1">IF(H599=1,MATCH(1,(OFFSET(Data!$DY$1:$IB$1,B599-1,0))*(Data!$DY$90:$IB$90=C599),0),"")</f>
        <v/>
      </c>
      <c r="K599" s="78" t="str">
        <f t="array" aca="1" ref="K599" ca="1">IF(H599=1,MATCH(I599,OFFSET(Data!$DX$91:$DX$190,0,Specials!J599)*(Data!$AM$91:$AM$190&gt;Parameter!$B$32)*(Data!$DW$91:$DW$190="M"),0),"")</f>
        <v/>
      </c>
      <c r="L599" s="78" t="str">
        <f ca="1">IF(H599=1,INDEX(Data!$DT$91:$DT$190,$K599)&amp;" / "&amp;OFFSET(Data!$DX$89,0,Specials!J599),"")</f>
        <v/>
      </c>
      <c r="M599" s="78" t="s">
        <v>1</v>
      </c>
      <c r="N599" s="78" t="s">
        <v>255</v>
      </c>
      <c r="O599" s="78" t="e">
        <f t="shared" ca="1" si="40"/>
        <v>#VALUE!</v>
      </c>
      <c r="P599" s="78" t="str">
        <f t="shared" ca="1" si="42"/>
        <v/>
      </c>
    </row>
    <row r="600" spans="1:16" s="78" customFormat="1" hidden="1" x14ac:dyDescent="0.25">
      <c r="A600" s="317" t="str">
        <f>"# Oh dear Men Rating &gt; "&amp;Parameter!$B$32</f>
        <v># Oh dear Men Rating &gt; 850</v>
      </c>
      <c r="B600" s="297">
        <f>MATCH(A600,Data!$DT:$DT,0)</f>
        <v>17</v>
      </c>
      <c r="C600" s="78">
        <f>INDEX(Parameter!$9:$9,,MATCH(11,Parameter!$8:$8,0))</f>
        <v>11</v>
      </c>
      <c r="D600" s="78">
        <f>INDEX(Parameter!$B$10:$AB$10,MATCH(C600,Parameter!$B$9:$AB$9,0))</f>
        <v>4</v>
      </c>
      <c r="H600" s="78">
        <f ca="1">INDEX(OFFSET(Data!$CS$1:$DS$1,B600-1,0),MATCH("Total/"&amp;C600,Data!$CS$1:$DS$1,0))</f>
        <v>0</v>
      </c>
      <c r="I600" s="78" t="str">
        <f ca="1">IF(H600=1,INDEX(Parameter!$B$10:$AB$10,MATCH(C600,Parameter!$B$9:$AB$9,0))+9,"")</f>
        <v/>
      </c>
      <c r="J600" s="78" t="str">
        <f t="array" aca="1" ref="J600" ca="1">IF(H600=1,MATCH(1,(OFFSET(Data!$DY$1:$IB$1,B600-1,0))*(Data!$DY$90:$IB$90=C600),0),"")</f>
        <v/>
      </c>
      <c r="K600" s="78" t="str">
        <f t="array" aca="1" ref="K600" ca="1">IF(H600=1,MATCH(I600,OFFSET(Data!$DX$91:$DX$190,0,Specials!J600)*(Data!$AM$91:$AM$190&gt;Parameter!$B$32)*(Data!$DW$91:$DW$190="M"),0),"")</f>
        <v/>
      </c>
      <c r="L600" s="78" t="str">
        <f ca="1">IF(H600=1,INDEX(Data!$DT$91:$DT$190,$K600)&amp;" / "&amp;OFFSET(Data!$DX$89,0,Specials!J600),"")</f>
        <v/>
      </c>
      <c r="M600" s="78" t="s">
        <v>1</v>
      </c>
      <c r="N600" s="78" t="s">
        <v>255</v>
      </c>
      <c r="O600" s="78" t="e">
        <f t="shared" ca="1" si="40"/>
        <v>#VALUE!</v>
      </c>
      <c r="P600" s="78" t="str">
        <f t="shared" ca="1" si="42"/>
        <v/>
      </c>
    </row>
    <row r="601" spans="1:16" s="78" customFormat="1" hidden="1" x14ac:dyDescent="0.25">
      <c r="A601" s="317" t="str">
        <f>"# Oh dear Men Rating &gt; "&amp;Parameter!$B$32</f>
        <v># Oh dear Men Rating &gt; 850</v>
      </c>
      <c r="B601" s="297">
        <f>MATCH(A601,Data!$DT:$DT,0)</f>
        <v>17</v>
      </c>
      <c r="C601" s="78" t="str">
        <f>INDEX(Parameter!$9:$9,,MATCH(12,Parameter!$8:$8,0))</f>
        <v>11b</v>
      </c>
      <c r="D601" s="78">
        <f>INDEX(Parameter!$B$10:$AB$10,MATCH(C601,Parameter!$B$9:$AB$9,0))</f>
        <v>3</v>
      </c>
      <c r="H601" s="78">
        <f ca="1">INDEX(OFFSET(Data!$CS$1:$DS$1,B601-1,0),MATCH("Total/"&amp;C601,Data!$CS$1:$DS$1,0))</f>
        <v>0</v>
      </c>
      <c r="I601" s="78" t="str">
        <f ca="1">IF(H601=1,INDEX(Parameter!$B$10:$AB$10,MATCH(C601,Parameter!$B$9:$AB$9,0))+9,"")</f>
        <v/>
      </c>
      <c r="J601" s="78" t="str">
        <f t="array" aca="1" ref="J601" ca="1">IF(H601=1,MATCH(1,(OFFSET(Data!$DY$1:$IB$1,B601-1,0))*(Data!$DY$90:$IB$90=C601),0),"")</f>
        <v/>
      </c>
      <c r="K601" s="78" t="str">
        <f t="array" aca="1" ref="K601" ca="1">IF(H601=1,MATCH(I601,OFFSET(Data!$DX$91:$DX$190,0,Specials!J601)*(Data!$AM$91:$AM$190&gt;Parameter!$B$32)*(Data!$DW$91:$DW$190="M"),0),"")</f>
        <v/>
      </c>
      <c r="L601" s="78" t="str">
        <f ca="1">IF(H601=1,INDEX(Data!$DT$91:$DT$190,$K601)&amp;" / "&amp;OFFSET(Data!$DX$89,0,Specials!J601),"")</f>
        <v/>
      </c>
      <c r="M601" s="78" t="s">
        <v>1</v>
      </c>
      <c r="N601" s="78" t="s">
        <v>255</v>
      </c>
      <c r="O601" s="78" t="e">
        <f t="shared" ca="1" si="40"/>
        <v>#VALUE!</v>
      </c>
      <c r="P601" s="78" t="str">
        <f t="shared" ca="1" si="42"/>
        <v/>
      </c>
    </row>
    <row r="602" spans="1:16" s="78" customFormat="1" hidden="1" x14ac:dyDescent="0.25">
      <c r="A602" s="317" t="str">
        <f>"# Oh dear Men Rating &gt; "&amp;Parameter!$B$32</f>
        <v># Oh dear Men Rating &gt; 850</v>
      </c>
      <c r="B602" s="297">
        <f>MATCH(A602,Data!$DT:$DT,0)</f>
        <v>17</v>
      </c>
      <c r="C602" s="78">
        <f>INDEX(Parameter!$9:$9,,MATCH(13,Parameter!$8:$8,0))</f>
        <v>12</v>
      </c>
      <c r="D602" s="78">
        <f>INDEX(Parameter!$B$10:$AB$10,MATCH(C602,Parameter!$B$9:$AB$9,0))</f>
        <v>3</v>
      </c>
      <c r="H602" s="78">
        <f ca="1">INDEX(OFFSET(Data!$CS$1:$DS$1,B602-1,0),MATCH("Total/"&amp;C602,Data!$CS$1:$DS$1,0))</f>
        <v>0</v>
      </c>
      <c r="I602" s="78" t="str">
        <f ca="1">IF(H602=1,INDEX(Parameter!$B$10:$AB$10,MATCH(C602,Parameter!$B$9:$AB$9,0))+9,"")</f>
        <v/>
      </c>
      <c r="J602" s="78" t="str">
        <f t="array" aca="1" ref="J602" ca="1">IF(H602=1,MATCH(1,(OFFSET(Data!$DY$1:$IB$1,B602-1,0))*(Data!$DY$90:$IB$90=C602),0),"")</f>
        <v/>
      </c>
      <c r="K602" s="78" t="str">
        <f t="array" aca="1" ref="K602" ca="1">IF(H602=1,MATCH(I602,OFFSET(Data!$DX$91:$DX$190,0,Specials!J602)*(Data!$AM$91:$AM$190&gt;Parameter!$B$32)*(Data!$DW$91:$DW$190="M"),0),"")</f>
        <v/>
      </c>
      <c r="L602" s="78" t="str">
        <f ca="1">IF(H602=1,INDEX(Data!$DT$91:$DT$190,$K602)&amp;" / "&amp;OFFSET(Data!$DX$89,0,Specials!J602),"")</f>
        <v/>
      </c>
      <c r="M602" s="78" t="s">
        <v>1</v>
      </c>
      <c r="N602" s="78" t="s">
        <v>255</v>
      </c>
      <c r="O602" s="78" t="e">
        <f t="shared" ca="1" si="40"/>
        <v>#VALUE!</v>
      </c>
      <c r="P602" s="78" t="str">
        <f t="shared" ca="1" si="42"/>
        <v/>
      </c>
    </row>
    <row r="603" spans="1:16" s="78" customFormat="1" hidden="1" x14ac:dyDescent="0.25">
      <c r="A603" s="317" t="str">
        <f>"# Oh dear Men Rating &gt; "&amp;Parameter!$B$32</f>
        <v># Oh dear Men Rating &gt; 850</v>
      </c>
      <c r="B603" s="297">
        <f>MATCH(A603,Data!$DT:$DT,0)</f>
        <v>17</v>
      </c>
      <c r="C603" s="78">
        <f>INDEX(Parameter!$9:$9,,MATCH(14,Parameter!$8:$8,0))</f>
        <v>13</v>
      </c>
      <c r="D603" s="78">
        <f>INDEX(Parameter!$B$10:$AB$10,MATCH(C603,Parameter!$B$9:$AB$9,0))</f>
        <v>3</v>
      </c>
      <c r="H603" s="78">
        <f ca="1">INDEX(OFFSET(Data!$CS$1:$DS$1,B603-1,0),MATCH("Total/"&amp;C603,Data!$CS$1:$DS$1,0))</f>
        <v>0</v>
      </c>
      <c r="I603" s="78" t="str">
        <f ca="1">IF(H603=1,INDEX(Parameter!$B$10:$AB$10,MATCH(C603,Parameter!$B$9:$AB$9,0))+9,"")</f>
        <v/>
      </c>
      <c r="J603" s="78" t="str">
        <f t="array" aca="1" ref="J603" ca="1">IF(H603=1,MATCH(1,(OFFSET(Data!$DY$1:$IB$1,B603-1,0))*(Data!$DY$90:$IB$90=C603),0),"")</f>
        <v/>
      </c>
      <c r="K603" s="78" t="str">
        <f t="array" aca="1" ref="K603" ca="1">IF(H603=1,MATCH(I603,OFFSET(Data!$DX$91:$DX$190,0,Specials!J603)*(Data!$AM$91:$AM$190&gt;Parameter!$B$32)*(Data!$DW$91:$DW$190="M"),0),"")</f>
        <v/>
      </c>
      <c r="L603" s="78" t="str">
        <f ca="1">IF(H603=1,INDEX(Data!$DT$91:$DT$190,$K603)&amp;" / "&amp;OFFSET(Data!$DX$89,0,Specials!J603),"")</f>
        <v/>
      </c>
      <c r="M603" s="78" t="s">
        <v>1</v>
      </c>
      <c r="N603" s="78" t="s">
        <v>255</v>
      </c>
      <c r="O603" s="78" t="e">
        <f t="shared" ca="1" si="40"/>
        <v>#VALUE!</v>
      </c>
      <c r="P603" s="78" t="str">
        <f t="shared" ca="1" si="42"/>
        <v/>
      </c>
    </row>
    <row r="604" spans="1:16" s="78" customFormat="1" hidden="1" x14ac:dyDescent="0.25">
      <c r="A604" s="317" t="str">
        <f>"# Oh dear Men Rating &gt; "&amp;Parameter!$B$32</f>
        <v># Oh dear Men Rating &gt; 850</v>
      </c>
      <c r="B604" s="297">
        <f>MATCH(A604,Data!$DT:$DT,0)</f>
        <v>17</v>
      </c>
      <c r="C604" s="78">
        <f>INDEX(Parameter!$9:$9,,MATCH(15,Parameter!$8:$8,0))</f>
        <v>14</v>
      </c>
      <c r="D604" s="78">
        <f>INDEX(Parameter!$B$10:$AB$10,MATCH(C604,Parameter!$B$9:$AB$9,0))</f>
        <v>3</v>
      </c>
      <c r="H604" s="78">
        <f ca="1">INDEX(OFFSET(Data!$CS$1:$DS$1,B604-1,0),MATCH("Total/"&amp;C604,Data!$CS$1:$DS$1,0))</f>
        <v>0</v>
      </c>
      <c r="I604" s="78" t="str">
        <f ca="1">IF(H604=1,INDEX(Parameter!$B$10:$AB$10,MATCH(C604,Parameter!$B$9:$AB$9,0))+9,"")</f>
        <v/>
      </c>
      <c r="J604" s="78" t="str">
        <f t="array" aca="1" ref="J604" ca="1">IF(H604=1,MATCH(1,(OFFSET(Data!$DY$1:$IB$1,B604-1,0))*(Data!$DY$90:$IB$90=C604),0),"")</f>
        <v/>
      </c>
      <c r="K604" s="78" t="str">
        <f t="array" aca="1" ref="K604" ca="1">IF(H604=1,MATCH(I604,OFFSET(Data!$DX$91:$DX$190,0,Specials!J604)*(Data!$AM$91:$AM$190&gt;Parameter!$B$32)*(Data!$DW$91:$DW$190="M"),0),"")</f>
        <v/>
      </c>
      <c r="L604" s="78" t="str">
        <f ca="1">IF(H604=1,INDEX(Data!$DT$91:$DT$190,$K604)&amp;" / "&amp;OFFSET(Data!$DX$89,0,Specials!J604),"")</f>
        <v/>
      </c>
      <c r="M604" s="78" t="s">
        <v>1</v>
      </c>
      <c r="N604" s="78" t="s">
        <v>255</v>
      </c>
      <c r="O604" s="78" t="e">
        <f t="shared" ca="1" si="40"/>
        <v>#VALUE!</v>
      </c>
      <c r="P604" s="78" t="str">
        <f t="shared" ca="1" si="42"/>
        <v/>
      </c>
    </row>
    <row r="605" spans="1:16" s="78" customFormat="1" hidden="1" x14ac:dyDescent="0.25">
      <c r="A605" s="317" t="str">
        <f>"# Oh dear Men Rating &gt; "&amp;Parameter!$B$32</f>
        <v># Oh dear Men Rating &gt; 850</v>
      </c>
      <c r="B605" s="297">
        <f>MATCH(A605,Data!$DT:$DT,0)</f>
        <v>17</v>
      </c>
      <c r="C605" s="78">
        <f>INDEX(Parameter!$9:$9,,MATCH(16,Parameter!$8:$8,0))</f>
        <v>15</v>
      </c>
      <c r="D605" s="78">
        <f>INDEX(Parameter!$B$10:$AB$10,MATCH(C605,Parameter!$B$9:$AB$9,0))</f>
        <v>3</v>
      </c>
      <c r="H605" s="78">
        <f ca="1">INDEX(OFFSET(Data!$CS$1:$DS$1,B605-1,0),MATCH("Total/"&amp;C605,Data!$CS$1:$DS$1,0))</f>
        <v>0</v>
      </c>
      <c r="I605" s="78" t="str">
        <f ca="1">IF(H605=1,INDEX(Parameter!$B$10:$AB$10,MATCH(C605,Parameter!$B$9:$AB$9,0))+9,"")</f>
        <v/>
      </c>
      <c r="J605" s="78" t="str">
        <f t="array" aca="1" ref="J605" ca="1">IF(H605=1,MATCH(1,(OFFSET(Data!$DY$1:$IB$1,B605-1,0))*(Data!$DY$90:$IB$90=C605),0),"")</f>
        <v/>
      </c>
      <c r="K605" s="78" t="str">
        <f t="array" aca="1" ref="K605" ca="1">IF(H605=1,MATCH(I605,OFFSET(Data!$DX$91:$DX$190,0,Specials!J605)*(Data!$AM$91:$AM$190&gt;Parameter!$B$32)*(Data!$DW$91:$DW$190="M"),0),"")</f>
        <v/>
      </c>
      <c r="L605" s="78" t="str">
        <f ca="1">IF(H605=1,INDEX(Data!$DT$91:$DT$190,$K605)&amp;" / "&amp;OFFSET(Data!$DX$89,0,Specials!J605),"")</f>
        <v/>
      </c>
      <c r="M605" s="78" t="s">
        <v>1</v>
      </c>
      <c r="N605" s="78" t="s">
        <v>255</v>
      </c>
      <c r="O605" s="78" t="e">
        <f t="shared" ca="1" si="40"/>
        <v>#VALUE!</v>
      </c>
      <c r="P605" s="78" t="str">
        <f t="shared" ca="1" si="42"/>
        <v/>
      </c>
    </row>
    <row r="606" spans="1:16" s="78" customFormat="1" hidden="1" x14ac:dyDescent="0.25">
      <c r="A606" s="317" t="str">
        <f>"# Oh dear Men Rating &gt; "&amp;Parameter!$B$32</f>
        <v># Oh dear Men Rating &gt; 850</v>
      </c>
      <c r="B606" s="297">
        <f>MATCH(A606,Data!$DT:$DT,0)</f>
        <v>17</v>
      </c>
      <c r="C606" s="78">
        <f>INDEX(Parameter!$9:$9,,MATCH(17,Parameter!$8:$8,0))</f>
        <v>16</v>
      </c>
      <c r="D606" s="78">
        <f>INDEX(Parameter!$B$10:$AB$10,MATCH(C606,Parameter!$B$9:$AB$9,0))</f>
        <v>3</v>
      </c>
      <c r="H606" s="78">
        <f ca="1">INDEX(OFFSET(Data!$CS$1:$DS$1,B606-1,0),MATCH("Total/"&amp;C606,Data!$CS$1:$DS$1,0))</f>
        <v>0</v>
      </c>
      <c r="I606" s="78" t="str">
        <f ca="1">IF(H606=1,INDEX(Parameter!$B$10:$AB$10,MATCH(C606,Parameter!$B$9:$AB$9,0))+9,"")</f>
        <v/>
      </c>
      <c r="J606" s="78" t="str">
        <f t="array" aca="1" ref="J606" ca="1">IF(H606=1,MATCH(1,(OFFSET(Data!$DY$1:$IB$1,B606-1,0))*(Data!$DY$90:$IB$90=C606),0),"")</f>
        <v/>
      </c>
      <c r="K606" s="78" t="str">
        <f t="array" aca="1" ref="K606" ca="1">IF(H606=1,MATCH(I606,OFFSET(Data!$DX$91:$DX$190,0,Specials!J606)*(Data!$AM$91:$AM$190&gt;Parameter!$B$32)*(Data!$DW$91:$DW$190="M"),0),"")</f>
        <v/>
      </c>
      <c r="L606" s="78" t="str">
        <f ca="1">IF(H606=1,INDEX(Data!$DT$91:$DT$190,$K606)&amp;" / "&amp;OFFSET(Data!$DX$89,0,Specials!J606),"")</f>
        <v/>
      </c>
      <c r="M606" s="78" t="s">
        <v>1</v>
      </c>
      <c r="N606" s="78" t="s">
        <v>255</v>
      </c>
      <c r="O606" s="78" t="e">
        <f t="shared" ca="1" si="40"/>
        <v>#VALUE!</v>
      </c>
      <c r="P606" s="78" t="str">
        <f t="shared" ca="1" si="42"/>
        <v/>
      </c>
    </row>
    <row r="607" spans="1:16" s="78" customFormat="1" hidden="1" x14ac:dyDescent="0.25">
      <c r="A607" s="317" t="str">
        <f>"# Oh dear Men Rating &gt; "&amp;Parameter!$B$32</f>
        <v># Oh dear Men Rating &gt; 850</v>
      </c>
      <c r="B607" s="297">
        <f>MATCH(A607,Data!$DT:$DT,0)</f>
        <v>17</v>
      </c>
      <c r="C607" s="78">
        <f>INDEX(Parameter!$9:$9,,MATCH(18,Parameter!$8:$8,0))</f>
        <v>17</v>
      </c>
      <c r="D607" s="78">
        <f>INDEX(Parameter!$B$10:$AB$10,MATCH(C607,Parameter!$B$9:$AB$9,0))</f>
        <v>3</v>
      </c>
      <c r="H607" s="78">
        <f ca="1">INDEX(OFFSET(Data!$CS$1:$DS$1,B607-1,0),MATCH("Total/"&amp;C607,Data!$CS$1:$DS$1,0))</f>
        <v>0</v>
      </c>
      <c r="I607" s="78" t="str">
        <f ca="1">IF(H607=1,INDEX(Parameter!$B$10:$AB$10,MATCH(C607,Parameter!$B$9:$AB$9,0))+9,"")</f>
        <v/>
      </c>
      <c r="J607" s="78" t="str">
        <f t="array" aca="1" ref="J607" ca="1">IF(H607=1,MATCH(1,(OFFSET(Data!$DY$1:$IB$1,B607-1,0))*(Data!$DY$90:$IB$90=C607),0),"")</f>
        <v/>
      </c>
      <c r="K607" s="78" t="str">
        <f t="array" aca="1" ref="K607" ca="1">IF(H607=1,MATCH(I607,OFFSET(Data!$DX$91:$DX$190,0,Specials!J607)*(Data!$AM$91:$AM$190&gt;Parameter!$B$32)*(Data!$DW$91:$DW$190="M"),0),"")</f>
        <v/>
      </c>
      <c r="L607" s="78" t="str">
        <f ca="1">IF(H607=1,INDEX(Data!$DT$91:$DT$190,$K607)&amp;" / "&amp;OFFSET(Data!$DX$89,0,Specials!J607),"")</f>
        <v/>
      </c>
      <c r="M607" s="78" t="s">
        <v>1</v>
      </c>
      <c r="N607" s="78" t="s">
        <v>255</v>
      </c>
      <c r="O607" s="78" t="e">
        <f t="shared" ca="1" si="40"/>
        <v>#VALUE!</v>
      </c>
      <c r="P607" s="78" t="str">
        <f t="shared" ca="1" si="42"/>
        <v/>
      </c>
    </row>
    <row r="608" spans="1:16" s="78" customFormat="1" hidden="1" x14ac:dyDescent="0.25">
      <c r="A608" s="317" t="str">
        <f>"# Oh dear Men Rating &gt; "&amp;Parameter!$B$32</f>
        <v># Oh dear Men Rating &gt; 850</v>
      </c>
      <c r="B608" s="297">
        <f>MATCH(A608,Data!$DT:$DT,0)</f>
        <v>17</v>
      </c>
      <c r="C608" s="78">
        <f>INDEX(Parameter!$9:$9,,MATCH(19,Parameter!$8:$8,0))</f>
        <v>18</v>
      </c>
      <c r="D608" s="78">
        <f>INDEX(Parameter!$B$10:$AB$10,MATCH(C608,Parameter!$B$9:$AB$9,0))</f>
        <v>3</v>
      </c>
      <c r="H608" s="78">
        <f ca="1">INDEX(OFFSET(Data!$CS$1:$DS$1,B608-1,0),MATCH("Total/"&amp;C608,Data!$CS$1:$DS$1,0))</f>
        <v>0</v>
      </c>
      <c r="I608" s="78" t="str">
        <f ca="1">IF(H608=1,INDEX(Parameter!$B$10:$AB$10,MATCH(C608,Parameter!$B$9:$AB$9,0))+9,"")</f>
        <v/>
      </c>
      <c r="J608" s="78" t="str">
        <f t="array" aca="1" ref="J608" ca="1">IF(H608=1,MATCH(1,(OFFSET(Data!$DY$1:$IB$1,B608-1,0))*(Data!$DY$90:$IB$90=C608),0),"")</f>
        <v/>
      </c>
      <c r="K608" s="78" t="str">
        <f t="array" aca="1" ref="K608" ca="1">IF(H608=1,MATCH(I608,OFFSET(Data!$DX$91:$DX$190,0,Specials!J608)*(Data!$AM$91:$AM$190&gt;Parameter!$B$32)*(Data!$DW$91:$DW$190="M"),0),"")</f>
        <v/>
      </c>
      <c r="L608" s="78" t="str">
        <f ca="1">IF(H608=1,INDEX(Data!$DT$91:$DT$190,$K608)&amp;" / "&amp;OFFSET(Data!$DX$89,0,Specials!J608),"")</f>
        <v/>
      </c>
      <c r="M608" s="78" t="s">
        <v>1</v>
      </c>
      <c r="N608" s="78" t="s">
        <v>255</v>
      </c>
      <c r="O608" s="78" t="e">
        <f t="shared" ca="1" si="40"/>
        <v>#VALUE!</v>
      </c>
      <c r="P608" s="78" t="str">
        <f t="shared" ca="1" si="42"/>
        <v/>
      </c>
    </row>
    <row r="609" spans="1:16" s="78" customFormat="1" hidden="1" x14ac:dyDescent="0.25">
      <c r="A609" s="317" t="str">
        <f>"# Oh dear Men Rating &gt; "&amp;Parameter!$B$32</f>
        <v># Oh dear Men Rating &gt; 850</v>
      </c>
      <c r="B609" s="297">
        <f>MATCH(A609,Data!$DT:$DT,0)</f>
        <v>17</v>
      </c>
      <c r="C609" s="78">
        <f>INDEX(Parameter!$9:$9,,MATCH(20,Parameter!$8:$8,0))</f>
        <v>20</v>
      </c>
      <c r="D609" s="78" t="str">
        <f>INDEX(Parameter!$B$10:$AB$10,MATCH(C609,Parameter!$B$9:$AB$9,0))</f>
        <v>no</v>
      </c>
      <c r="H609" s="78">
        <f ca="1">INDEX(OFFSET(Data!$CS$1:$DS$1,B609-1,0),MATCH("Total/"&amp;C609,Data!$CS$1:$DS$1,0))</f>
        <v>0</v>
      </c>
      <c r="I609" s="78" t="str">
        <f ca="1">IF(H609=1,INDEX(Parameter!$B$10:$AB$10,MATCH(C609,Parameter!$B$9:$AB$9,0))+9,"")</f>
        <v/>
      </c>
      <c r="J609" s="78" t="str">
        <f t="array" aca="1" ref="J609" ca="1">IF(H609=1,MATCH(1,(OFFSET(Data!$DY$1:$IB$1,B609-1,0))*(Data!$DY$90:$IB$90=C609),0),"")</f>
        <v/>
      </c>
      <c r="K609" s="78" t="str">
        <f t="array" aca="1" ref="K609" ca="1">IF(H609=1,MATCH(I609,OFFSET(Data!$DX$91:$DX$190,0,Specials!J609)*(Data!$AM$91:$AM$190&gt;Parameter!$B$32)*(Data!$DW$91:$DW$190="M"),0),"")</f>
        <v/>
      </c>
      <c r="L609" s="78" t="str">
        <f ca="1">IF(H609=1,INDEX(Data!$DT$91:$DT$190,$K609)&amp;" / "&amp;OFFSET(Data!$DX$89,0,Specials!J609),"")</f>
        <v/>
      </c>
      <c r="M609" s="78" t="s">
        <v>1</v>
      </c>
      <c r="N609" s="78" t="s">
        <v>255</v>
      </c>
      <c r="O609" s="78" t="e">
        <f t="shared" ca="1" si="40"/>
        <v>#VALUE!</v>
      </c>
      <c r="P609" s="78" t="str">
        <f t="shared" ca="1" si="42"/>
        <v/>
      </c>
    </row>
    <row r="610" spans="1:16" s="78" customFormat="1" hidden="1" x14ac:dyDescent="0.25">
      <c r="A610" s="317" t="str">
        <f>"# Oh dear Men Rating &gt; "&amp;Parameter!$B$32</f>
        <v># Oh dear Men Rating &gt; 850</v>
      </c>
      <c r="B610" s="297">
        <f>MATCH(A610,Data!$DT:$DT,0)</f>
        <v>17</v>
      </c>
      <c r="C610" s="78">
        <f>INDEX(Parameter!$9:$9,,MATCH(21,Parameter!$8:$8,0))</f>
        <v>21</v>
      </c>
      <c r="D610" s="78" t="str">
        <f>INDEX(Parameter!$B$10:$AB$10,MATCH(C610,Parameter!$B$9:$AB$9,0))</f>
        <v>no</v>
      </c>
      <c r="H610" s="78">
        <f ca="1">INDEX(OFFSET(Data!$CS$1:$DS$1,B610-1,0),MATCH("Total/"&amp;C610,Data!$CS$1:$DS$1,0))</f>
        <v>0</v>
      </c>
      <c r="I610" s="78" t="str">
        <f ca="1">IF(H610=1,INDEX(Parameter!$B$10:$AB$10,MATCH(C610,Parameter!$B$9:$AB$9,0))+9,"")</f>
        <v/>
      </c>
      <c r="J610" s="78" t="str">
        <f t="array" aca="1" ref="J610" ca="1">IF(H610=1,MATCH(1,(OFFSET(Data!$DY$1:$IB$1,B610-1,0))*(Data!$DY$90:$IB$90=C610),0),"")</f>
        <v/>
      </c>
      <c r="K610" s="78" t="str">
        <f t="array" aca="1" ref="K610" ca="1">IF(H610=1,MATCH(I610,OFFSET(Data!$DX$91:$DX$190,0,Specials!J610)*(Data!$AM$91:$AM$190&gt;Parameter!$B$32)*(Data!$DW$91:$DW$190="M"),0),"")</f>
        <v/>
      </c>
      <c r="L610" s="78" t="str">
        <f ca="1">IF(H610=1,INDEX(Data!$DT$91:$DT$190,$K610)&amp;" / "&amp;OFFSET(Data!$DX$89,0,Specials!J610),"")</f>
        <v/>
      </c>
      <c r="M610" s="78" t="s">
        <v>1</v>
      </c>
      <c r="N610" s="78" t="s">
        <v>255</v>
      </c>
      <c r="O610" s="78" t="e">
        <f t="shared" ca="1" si="40"/>
        <v>#VALUE!</v>
      </c>
      <c r="P610" s="78" t="str">
        <f t="shared" ca="1" si="42"/>
        <v/>
      </c>
    </row>
    <row r="611" spans="1:16" s="78" customFormat="1" hidden="1" x14ac:dyDescent="0.25">
      <c r="A611" s="317" t="str">
        <f>"# Oh dear Men Rating &gt; "&amp;Parameter!$B$32</f>
        <v># Oh dear Men Rating &gt; 850</v>
      </c>
      <c r="B611" s="297">
        <f>MATCH(A611,Data!$DT:$DT,0)</f>
        <v>17</v>
      </c>
      <c r="C611" s="78">
        <f>INDEX(Parameter!$9:$9,,MATCH(22,Parameter!$8:$8,0))</f>
        <v>22</v>
      </c>
      <c r="D611" s="78" t="str">
        <f>INDEX(Parameter!$B$10:$AB$10,MATCH(C611,Parameter!$B$9:$AB$9,0))</f>
        <v>no</v>
      </c>
      <c r="H611" s="78">
        <f ca="1">INDEX(OFFSET(Data!$CS$1:$DS$1,B611-1,0),MATCH("Total/"&amp;C611,Data!$CS$1:$DS$1,0))</f>
        <v>0</v>
      </c>
      <c r="I611" s="78" t="str">
        <f ca="1">IF(H611=1,INDEX(Parameter!$B$10:$AB$10,MATCH(C611,Parameter!$B$9:$AB$9,0))+9,"")</f>
        <v/>
      </c>
      <c r="J611" s="78" t="str">
        <f t="array" aca="1" ref="J611" ca="1">IF(H611=1,MATCH(1,(OFFSET(Data!$DY$1:$IB$1,B611-1,0))*(Data!$DY$90:$IB$90=C611),0),"")</f>
        <v/>
      </c>
      <c r="K611" s="78" t="str">
        <f t="array" aca="1" ref="K611" ca="1">IF(H611=1,MATCH(I611,OFFSET(Data!$DX$91:$DX$190,0,Specials!J611)*(Data!$AM$91:$AM$190&gt;Parameter!$B$32)*(Data!$DW$91:$DW$190="M"),0),"")</f>
        <v/>
      </c>
      <c r="L611" s="78" t="str">
        <f ca="1">IF(H611=1,INDEX(Data!$DT$91:$DT$190,$K611)&amp;" / "&amp;OFFSET(Data!$DX$89,0,Specials!J611),"")</f>
        <v/>
      </c>
      <c r="M611" s="78" t="s">
        <v>1</v>
      </c>
      <c r="N611" s="78" t="s">
        <v>255</v>
      </c>
      <c r="O611" s="78" t="e">
        <f t="shared" ca="1" si="40"/>
        <v>#VALUE!</v>
      </c>
      <c r="P611" s="78" t="str">
        <f t="shared" ca="1" si="42"/>
        <v/>
      </c>
    </row>
    <row r="612" spans="1:16" s="78" customFormat="1" hidden="1" x14ac:dyDescent="0.25">
      <c r="A612" s="317" t="str">
        <f>"# Oh dear Men Rating &gt; "&amp;Parameter!$B$32</f>
        <v># Oh dear Men Rating &gt; 850</v>
      </c>
      <c r="B612" s="297">
        <f>MATCH(A612,Data!$DT:$DT,0)</f>
        <v>17</v>
      </c>
      <c r="C612" s="78">
        <f>INDEX(Parameter!$9:$9,,MATCH(23,Parameter!$8:$8,0))</f>
        <v>23</v>
      </c>
      <c r="D612" s="78" t="str">
        <f>INDEX(Parameter!$B$10:$AB$10,MATCH(C612,Parameter!$B$9:$AB$9,0))</f>
        <v>no</v>
      </c>
      <c r="H612" s="78">
        <f ca="1">INDEX(OFFSET(Data!$CS$1:$DS$1,B612-1,0),MATCH("Total/"&amp;C612,Data!$CS$1:$DS$1,0))</f>
        <v>0</v>
      </c>
      <c r="I612" s="78" t="str">
        <f ca="1">IF(H612=1,INDEX(Parameter!$B$10:$AB$10,MATCH(C612,Parameter!$B$9:$AB$9,0))+9,"")</f>
        <v/>
      </c>
      <c r="J612" s="78" t="str">
        <f t="array" aca="1" ref="J612" ca="1">IF(H612=1,MATCH(1,(OFFSET(Data!$DY$1:$IB$1,B612-1,0))*(Data!$DY$90:$IB$90=C612),0),"")</f>
        <v/>
      </c>
      <c r="K612" s="78" t="str">
        <f t="array" aca="1" ref="K612" ca="1">IF(H612=1,MATCH(I612,OFFSET(Data!$DX$91:$DX$190,0,Specials!J612)*(Data!$AM$91:$AM$190&gt;Parameter!$B$32)*(Data!$DW$91:$DW$190="M"),0),"")</f>
        <v/>
      </c>
      <c r="L612" s="78" t="str">
        <f ca="1">IF(H612=1,INDEX(Data!$DT$91:$DT$190,$K612)&amp;" / "&amp;OFFSET(Data!$DX$89,0,Specials!J612),"")</f>
        <v/>
      </c>
      <c r="M612" s="78" t="s">
        <v>1</v>
      </c>
      <c r="N612" s="78" t="s">
        <v>255</v>
      </c>
      <c r="O612" s="78" t="e">
        <f t="shared" ca="1" si="40"/>
        <v>#VALUE!</v>
      </c>
      <c r="P612" s="78" t="str">
        <f t="shared" ca="1" si="42"/>
        <v/>
      </c>
    </row>
    <row r="613" spans="1:16" s="78" customFormat="1" hidden="1" x14ac:dyDescent="0.25">
      <c r="A613" s="317" t="str">
        <f>"# Oh dear Men Rating &gt; "&amp;Parameter!$B$32</f>
        <v># Oh dear Men Rating &gt; 850</v>
      </c>
      <c r="B613" s="297">
        <f>MATCH(A613,Data!$DT:$DT,0)</f>
        <v>17</v>
      </c>
      <c r="C613" s="78">
        <f>INDEX(Parameter!$9:$9,,MATCH(24,Parameter!$8:$8,0))</f>
        <v>24</v>
      </c>
      <c r="D613" s="78" t="str">
        <f>INDEX(Parameter!$B$10:$AB$10,MATCH(C613,Parameter!$B$9:$AB$9,0))</f>
        <v>no</v>
      </c>
      <c r="H613" s="78">
        <f ca="1">INDEX(OFFSET(Data!$CS$1:$DS$1,B613-1,0),MATCH("Total/"&amp;C613,Data!$CS$1:$DS$1,0))</f>
        <v>0</v>
      </c>
      <c r="I613" s="78" t="str">
        <f ca="1">IF(H613=1,INDEX(Parameter!$B$10:$AB$10,MATCH(C613,Parameter!$B$9:$AB$9,0))+9,"")</f>
        <v/>
      </c>
      <c r="J613" s="78" t="str">
        <f t="array" aca="1" ref="J613" ca="1">IF(H613=1,MATCH(1,(OFFSET(Data!$DY$1:$IB$1,B613-1,0))*(Data!$DY$90:$IB$90=C613),0),"")</f>
        <v/>
      </c>
      <c r="K613" s="78" t="str">
        <f t="array" aca="1" ref="K613" ca="1">IF(H613=1,MATCH(I613,OFFSET(Data!$DX$91:$DX$190,0,Specials!J613)*(Data!$AM$91:$AM$190&gt;Parameter!$B$32)*(Data!$DW$91:$DW$190="M"),0),"")</f>
        <v/>
      </c>
      <c r="L613" s="78" t="str">
        <f ca="1">IF(H613=1,INDEX(Data!$DT$91:$DT$190,$K613)&amp;" / "&amp;OFFSET(Data!$DX$89,0,Specials!J613),"")</f>
        <v/>
      </c>
      <c r="M613" s="78" t="s">
        <v>1</v>
      </c>
      <c r="N613" s="78" t="s">
        <v>255</v>
      </c>
      <c r="O613" s="78" t="e">
        <f t="shared" ca="1" si="40"/>
        <v>#VALUE!</v>
      </c>
      <c r="P613" s="78" t="str">
        <f t="shared" ca="1" si="42"/>
        <v/>
      </c>
    </row>
    <row r="614" spans="1:16" s="78" customFormat="1" hidden="1" x14ac:dyDescent="0.25">
      <c r="A614" s="317" t="str">
        <f>"# Oh dear Men Rating &gt; "&amp;Parameter!$B$32</f>
        <v># Oh dear Men Rating &gt; 850</v>
      </c>
      <c r="B614" s="297">
        <f>MATCH(A614,Data!$DT:$DT,0)</f>
        <v>17</v>
      </c>
      <c r="C614" s="78">
        <f>INDEX(Parameter!$9:$9,,MATCH(25,Parameter!$8:$8,0))</f>
        <v>25</v>
      </c>
      <c r="D614" s="78" t="str">
        <f>INDEX(Parameter!$B$10:$AB$10,MATCH(C614,Parameter!$B$9:$AB$9,0))</f>
        <v>no</v>
      </c>
      <c r="H614" s="78">
        <f ca="1">INDEX(OFFSET(Data!$CS$1:$DS$1,B614-1,0),MATCH("Total/"&amp;C614,Data!$CS$1:$DS$1,0))</f>
        <v>0</v>
      </c>
      <c r="I614" s="78" t="str">
        <f ca="1">IF(H614=1,INDEX(Parameter!$B$10:$AB$10,MATCH(C614,Parameter!$B$9:$AB$9,0))+9,"")</f>
        <v/>
      </c>
      <c r="J614" s="78" t="str">
        <f t="array" aca="1" ref="J614" ca="1">IF(H614=1,MATCH(1,(OFFSET(Data!$DY$1:$IB$1,B614-1,0))*(Data!$DY$90:$IB$90=C614),0),"")</f>
        <v/>
      </c>
      <c r="K614" s="78" t="str">
        <f t="array" aca="1" ref="K614" ca="1">IF(H614=1,MATCH(I614,OFFSET(Data!$DX$91:$DX$190,0,Specials!J614)*(Data!$AM$91:$AM$190&gt;Parameter!$B$32)*(Data!$DW$91:$DW$190="M"),0),"")</f>
        <v/>
      </c>
      <c r="L614" s="78" t="str">
        <f ca="1">IF(H614=1,INDEX(Data!$DT$91:$DT$190,$K614)&amp;" / "&amp;OFFSET(Data!$DX$89,0,Specials!J614),"")</f>
        <v/>
      </c>
      <c r="M614" s="78" t="s">
        <v>1</v>
      </c>
      <c r="N614" s="78" t="s">
        <v>255</v>
      </c>
      <c r="O614" s="78" t="e">
        <f t="shared" ca="1" si="40"/>
        <v>#VALUE!</v>
      </c>
      <c r="P614" s="78" t="str">
        <f t="shared" ca="1" si="42"/>
        <v/>
      </c>
    </row>
    <row r="615" spans="1:16" s="78" customFormat="1" hidden="1" x14ac:dyDescent="0.25">
      <c r="A615" s="317" t="str">
        <f>"# Oh dear Men Rating &gt; "&amp;Parameter!$B$32</f>
        <v># Oh dear Men Rating &gt; 850</v>
      </c>
      <c r="B615" s="297">
        <f>MATCH(A615,Data!$DT:$DT,0)</f>
        <v>17</v>
      </c>
      <c r="C615" s="78">
        <f>INDEX(Parameter!$9:$9,,MATCH(26,Parameter!$8:$8,0))</f>
        <v>26</v>
      </c>
      <c r="D615" s="78" t="str">
        <f>INDEX(Parameter!$B$10:$AB$10,MATCH(C615,Parameter!$B$9:$AB$9,0))</f>
        <v>no</v>
      </c>
      <c r="H615" s="78">
        <f ca="1">INDEX(OFFSET(Data!$CS$1:$DS$1,B615-1,0),MATCH("Total/"&amp;C615,Data!$CS$1:$DS$1,0))</f>
        <v>0</v>
      </c>
      <c r="I615" s="78" t="str">
        <f ca="1">IF(H615=1,INDEX(Parameter!$B$10:$AB$10,MATCH(C615,Parameter!$B$9:$AB$9,0))+9,"")</f>
        <v/>
      </c>
      <c r="J615" s="78" t="str">
        <f t="array" aca="1" ref="J615" ca="1">IF(H615=1,MATCH(1,(OFFSET(Data!$DY$1:$IB$1,B615-1,0))*(Data!$DY$90:$IB$90=C615),0),"")</f>
        <v/>
      </c>
      <c r="K615" s="78" t="str">
        <f t="array" aca="1" ref="K615" ca="1">IF(H615=1,MATCH(I615,OFFSET(Data!$DX$91:$DX$190,0,Specials!J615)*(Data!$AM$91:$AM$190&gt;Parameter!$B$32)*(Data!$DW$91:$DW$190="M"),0),"")</f>
        <v/>
      </c>
      <c r="L615" s="78" t="str">
        <f ca="1">IF(H615=1,INDEX(Data!$DT$91:$DT$190,$K615)&amp;" / "&amp;OFFSET(Data!$DX$89,0,Specials!J615),"")</f>
        <v/>
      </c>
      <c r="M615" s="78" t="s">
        <v>1</v>
      </c>
      <c r="N615" s="78" t="s">
        <v>255</v>
      </c>
      <c r="O615" s="78" t="e">
        <f t="shared" ca="1" si="40"/>
        <v>#VALUE!</v>
      </c>
      <c r="P615" s="78" t="str">
        <f t="shared" ca="1" si="42"/>
        <v/>
      </c>
    </row>
    <row r="616" spans="1:16" s="78" customFormat="1" hidden="1" x14ac:dyDescent="0.25">
      <c r="A616" s="317" t="str">
        <f>"# Oh dear Men Rating &gt; "&amp;Parameter!$B$32</f>
        <v># Oh dear Men Rating &gt; 850</v>
      </c>
      <c r="B616" s="297">
        <f>MATCH(A616,Data!$DT:$DT,0)</f>
        <v>17</v>
      </c>
      <c r="C616" s="78">
        <f>INDEX(Parameter!$9:$9,,MATCH(27,Parameter!$8:$8,0))</f>
        <v>27</v>
      </c>
      <c r="D616" s="78" t="str">
        <f>INDEX(Parameter!$B$10:$AB$10,MATCH(C616,Parameter!$B$9:$AB$9,0))</f>
        <v>no</v>
      </c>
      <c r="H616" s="78">
        <f ca="1">INDEX(OFFSET(Data!$CS$1:$DS$1,B616-1,0),MATCH("Total/"&amp;C616,Data!$CS$1:$DS$1,0))</f>
        <v>0</v>
      </c>
      <c r="I616" s="78" t="str">
        <f ca="1">IF(H616=1,INDEX(Parameter!$B$10:$AB$10,MATCH(C616,Parameter!$B$9:$AB$9,0))+9,"")</f>
        <v/>
      </c>
      <c r="J616" s="78" t="str">
        <f t="array" aca="1" ref="J616" ca="1">IF(H616=1,MATCH(1,(OFFSET(Data!$DY$1:$IB$1,B616-1,0))*(Data!$DY$90:$IB$90=C616),0),"")</f>
        <v/>
      </c>
      <c r="K616" s="78" t="str">
        <f t="array" aca="1" ref="K616" ca="1">IF(H616=1,MATCH(I616,OFFSET(Data!$DX$91:$DX$190,0,Specials!J616)*(Data!$AM$91:$AM$190&gt;Parameter!$B$32)*(Data!$DW$91:$DW$190="M"),0),"")</f>
        <v/>
      </c>
      <c r="L616" s="78" t="str">
        <f ca="1">IF(H616=1,INDEX(Data!$DT$91:$DT$190,$K616)&amp;" / "&amp;OFFSET(Data!$DX$89,0,Specials!J616),"")</f>
        <v/>
      </c>
      <c r="M616" s="78" t="s">
        <v>1</v>
      </c>
      <c r="N616" s="78" t="s">
        <v>255</v>
      </c>
      <c r="O616" s="78" t="e">
        <f t="shared" ca="1" si="40"/>
        <v>#VALUE!</v>
      </c>
      <c r="P616" s="78" t="str">
        <f t="shared" ca="1" si="42"/>
        <v/>
      </c>
    </row>
    <row r="617" spans="1:16" s="78" customFormat="1" ht="15" hidden="1" customHeight="1" x14ac:dyDescent="0.25">
      <c r="A617" s="317" t="str">
        <f>"# Oh dear Men Rating &gt; "&amp;Parameter!$B$32</f>
        <v># Oh dear Men Rating &gt; 850</v>
      </c>
      <c r="B617" s="297">
        <f>MATCH(A617,Data!$DT:$DT,0)</f>
        <v>17</v>
      </c>
      <c r="C617" s="78">
        <f>INDEX(Parameter!$9:$9,,MATCH(1,Parameter!$8:$8,0))</f>
        <v>1</v>
      </c>
      <c r="D617" s="78">
        <f>INDEX(Parameter!$B$10:$AB$10,MATCH(C617,Parameter!$B$9:$AB$9,0))</f>
        <v>3</v>
      </c>
      <c r="H617" s="78">
        <f ca="1">INDEX(OFFSET(Data!$CS$1:$DS$1,B617-1,0),MATCH("Total/"&amp;C617,Data!$CS$1:$DS$1,0))</f>
        <v>0</v>
      </c>
      <c r="I617" s="78" t="str">
        <f ca="1">IF(H617=1,INDEX(Parameter!$B$10:$AB$10,MATCH(C617,Parameter!$B$9:$AB$9,0))+10,"")</f>
        <v/>
      </c>
      <c r="J617" s="78" t="str">
        <f t="array" aca="1" ref="J617" ca="1">IF(H617=1,MATCH(1,(OFFSET(Data!$DY$1:$IB$1,B617-1,0))*(Data!$DY$90:$IB$90=C617),0),"")</f>
        <v/>
      </c>
      <c r="K617" s="78" t="str">
        <f t="array" aca="1" ref="K617" ca="1">IF(H617=1,MATCH(I617,OFFSET(Data!$DX$91:$DX$190,0,Specials!J617)*(Data!$AM$91:$AM$190&gt;Parameter!$B$32)*(Data!$DW$91:$DW$190="M"),0),"")</f>
        <v/>
      </c>
      <c r="L617" s="78" t="str">
        <f ca="1">IF(H617=1,INDEX(Data!$DT$91:$DT$190,$K617)&amp;" / "&amp;OFFSET(Data!$DX$89,0,Specials!J617),"")</f>
        <v/>
      </c>
      <c r="M617" s="78" t="s">
        <v>1</v>
      </c>
      <c r="N617" s="78" t="s">
        <v>255</v>
      </c>
      <c r="O617" s="78" t="e">
        <f t="shared" ca="1" si="40"/>
        <v>#VALUE!</v>
      </c>
      <c r="P617" s="78" t="str">
        <f t="shared" ca="1" si="42"/>
        <v/>
      </c>
    </row>
    <row r="618" spans="1:16" s="78" customFormat="1" hidden="1" x14ac:dyDescent="0.25">
      <c r="A618" s="317" t="str">
        <f>"# Oh dear Men Rating &gt; "&amp;Parameter!$B$32</f>
        <v># Oh dear Men Rating &gt; 850</v>
      </c>
      <c r="B618" s="297">
        <f>MATCH(A618,Data!$DT:$DT,0)</f>
        <v>17</v>
      </c>
      <c r="C618" s="78">
        <f>INDEX(Parameter!$9:$9,,MATCH(2,Parameter!$8:$8,0))</f>
        <v>2</v>
      </c>
      <c r="D618" s="78">
        <f>INDEX(Parameter!$B$10:$AB$10,MATCH(C618,Parameter!$B$9:$AB$9,0))</f>
        <v>3</v>
      </c>
      <c r="H618" s="78">
        <f ca="1">INDEX(OFFSET(Data!$CS$1:$DS$1,B618-1,0),MATCH("Total/"&amp;C618,Data!$CS$1:$DS$1,0))</f>
        <v>0</v>
      </c>
      <c r="I618" s="78" t="str">
        <f ca="1">IF(H618=1,INDEX(Parameter!$B$10:$AB$10,MATCH(C618,Parameter!$B$9:$AB$9,0))+10,"")</f>
        <v/>
      </c>
      <c r="J618" s="78" t="str">
        <f t="array" aca="1" ref="J618" ca="1">IF(H618=1,MATCH(1,(OFFSET(Data!$DY$1:$IB$1,B618-1,0))*(Data!$DY$90:$IB$90=C618),0),"")</f>
        <v/>
      </c>
      <c r="K618" s="78" t="str">
        <f t="array" aca="1" ref="K618" ca="1">IF(H618=1,MATCH(I618,OFFSET(Data!$DX$91:$DX$190,0,Specials!J618)*(Data!$AM$91:$AM$190&gt;Parameter!$B$32)*(Data!$DW$91:$DW$190="M"),0),"")</f>
        <v/>
      </c>
      <c r="L618" s="78" t="str">
        <f ca="1">IF(H618=1,INDEX(Data!$DT$91:$DT$190,$K618)&amp;" / "&amp;OFFSET(Data!$DX$89,0,Specials!J618),"")</f>
        <v/>
      </c>
      <c r="M618" s="78" t="s">
        <v>1</v>
      </c>
      <c r="N618" s="78" t="s">
        <v>255</v>
      </c>
      <c r="O618" s="78" t="e">
        <f t="shared" ca="1" si="40"/>
        <v>#VALUE!</v>
      </c>
      <c r="P618" s="78" t="str">
        <f t="shared" ca="1" si="42"/>
        <v/>
      </c>
    </row>
    <row r="619" spans="1:16" s="78" customFormat="1" hidden="1" x14ac:dyDescent="0.25">
      <c r="A619" s="317" t="str">
        <f>"# Oh dear Men Rating &gt; "&amp;Parameter!$B$32</f>
        <v># Oh dear Men Rating &gt; 850</v>
      </c>
      <c r="B619" s="297">
        <f>MATCH(A619,Data!$DT:$DT,0)</f>
        <v>17</v>
      </c>
      <c r="C619" s="78">
        <f>INDEX(Parameter!$9:$9,,MATCH(3,Parameter!$8:$8,0))</f>
        <v>3</v>
      </c>
      <c r="D619" s="78">
        <f>INDEX(Parameter!$B$10:$AB$10,MATCH(C619,Parameter!$B$9:$AB$9,0))</f>
        <v>3</v>
      </c>
      <c r="H619" s="78">
        <f ca="1">INDEX(OFFSET(Data!$CS$1:$DS$1,B619-1,0),MATCH("Total/"&amp;C619,Data!$CS$1:$DS$1,0))</f>
        <v>0</v>
      </c>
      <c r="I619" s="78" t="str">
        <f ca="1">IF(H619=1,INDEX(Parameter!$B$10:$AB$10,MATCH(C619,Parameter!$B$9:$AB$9,0))+10,"")</f>
        <v/>
      </c>
      <c r="J619" s="78" t="str">
        <f t="array" aca="1" ref="J619" ca="1">IF(H619=1,MATCH(1,(OFFSET(Data!$DY$1:$IB$1,B619-1,0))*(Data!$DY$90:$IB$90=C619),0),"")</f>
        <v/>
      </c>
      <c r="K619" s="78" t="str">
        <f t="array" aca="1" ref="K619" ca="1">IF(H619=1,MATCH(I619,OFFSET(Data!$DX$91:$DX$190,0,Specials!J619)*(Data!$AM$91:$AM$190&gt;Parameter!$B$32)*(Data!$DW$91:$DW$190="M"),0),"")</f>
        <v/>
      </c>
      <c r="L619" s="78" t="str">
        <f ca="1">IF(H619=1,INDEX(Data!$DT$91:$DT$190,$K619)&amp;" / "&amp;OFFSET(Data!$DX$89,0,Specials!J619),"")</f>
        <v/>
      </c>
      <c r="M619" s="78" t="s">
        <v>1</v>
      </c>
      <c r="N619" s="78" t="s">
        <v>255</v>
      </c>
      <c r="O619" s="78" t="e">
        <f t="shared" ca="1" si="40"/>
        <v>#VALUE!</v>
      </c>
      <c r="P619" s="78" t="str">
        <f t="shared" ca="1" si="42"/>
        <v/>
      </c>
    </row>
    <row r="620" spans="1:16" s="78" customFormat="1" hidden="1" x14ac:dyDescent="0.25">
      <c r="A620" s="317" t="str">
        <f>"# Oh dear Men Rating &gt; "&amp;Parameter!$B$32</f>
        <v># Oh dear Men Rating &gt; 850</v>
      </c>
      <c r="B620" s="297">
        <f>MATCH(A620,Data!$DT:$DT,0)</f>
        <v>17</v>
      </c>
      <c r="C620" s="78">
        <f>INDEX(Parameter!$9:$9,,MATCH(4,Parameter!$8:$8,0))</f>
        <v>4</v>
      </c>
      <c r="D620" s="78">
        <f>INDEX(Parameter!$B$10:$AB$10,MATCH(C620,Parameter!$B$9:$AB$9,0))</f>
        <v>3</v>
      </c>
      <c r="H620" s="78">
        <f ca="1">INDEX(OFFSET(Data!$CS$1:$DS$1,B620-1,0),MATCH("Total/"&amp;C620,Data!$CS$1:$DS$1,0))</f>
        <v>0</v>
      </c>
      <c r="I620" s="78" t="str">
        <f ca="1">IF(H620=1,INDEX(Parameter!$B$10:$AB$10,MATCH(C620,Parameter!$B$9:$AB$9,0))+10,"")</f>
        <v/>
      </c>
      <c r="J620" s="78" t="str">
        <f t="array" aca="1" ref="J620" ca="1">IF(H620=1,MATCH(1,(OFFSET(Data!$DY$1:$IB$1,B620-1,0))*(Data!$DY$90:$IB$90=C620),0),"")</f>
        <v/>
      </c>
      <c r="K620" s="78" t="str">
        <f t="array" aca="1" ref="K620" ca="1">IF(H620=1,MATCH(I620,OFFSET(Data!$DX$91:$DX$190,0,Specials!J620)*(Data!$AM$91:$AM$190&gt;Parameter!$B$32)*(Data!$DW$91:$DW$190="M"),0),"")</f>
        <v/>
      </c>
      <c r="L620" s="78" t="str">
        <f ca="1">IF(H620=1,INDEX(Data!$DT$91:$DT$190,$K620)&amp;" / "&amp;OFFSET(Data!$DX$89,0,Specials!J620),"")</f>
        <v/>
      </c>
      <c r="M620" s="78" t="s">
        <v>1</v>
      </c>
      <c r="N620" s="78" t="s">
        <v>255</v>
      </c>
      <c r="O620" s="78" t="e">
        <f t="shared" ca="1" si="40"/>
        <v>#VALUE!</v>
      </c>
      <c r="P620" s="78" t="str">
        <f t="shared" ca="1" si="42"/>
        <v/>
      </c>
    </row>
    <row r="621" spans="1:16" s="78" customFormat="1" hidden="1" x14ac:dyDescent="0.25">
      <c r="A621" s="317" t="str">
        <f>"# Oh dear Men Rating &gt; "&amp;Parameter!$B$32</f>
        <v># Oh dear Men Rating &gt; 850</v>
      </c>
      <c r="B621" s="297">
        <f>MATCH(A621,Data!$DT:$DT,0)</f>
        <v>17</v>
      </c>
      <c r="C621" s="78">
        <f>INDEX(Parameter!$9:$9,,MATCH(5,Parameter!$8:$8,0))</f>
        <v>5</v>
      </c>
      <c r="D621" s="78">
        <f>INDEX(Parameter!$B$10:$AB$10,MATCH(C621,Parameter!$B$9:$AB$9,0))</f>
        <v>4</v>
      </c>
      <c r="H621" s="78">
        <f ca="1">INDEX(OFFSET(Data!$CS$1:$DS$1,B621-1,0),MATCH("Total/"&amp;C621,Data!$CS$1:$DS$1,0))</f>
        <v>0</v>
      </c>
      <c r="I621" s="78" t="str">
        <f ca="1">IF(H621=1,INDEX(Parameter!$B$10:$AB$10,MATCH(C621,Parameter!$B$9:$AB$9,0))+10,"")</f>
        <v/>
      </c>
      <c r="J621" s="78" t="str">
        <f t="array" aca="1" ref="J621" ca="1">IF(H621=1,MATCH(1,(OFFSET(Data!$DY$1:$IB$1,B621-1,0))*(Data!$DY$90:$IB$90=C621),0),"")</f>
        <v/>
      </c>
      <c r="K621" s="78" t="str">
        <f t="array" aca="1" ref="K621" ca="1">IF(H621=1,MATCH(I621,OFFSET(Data!$DX$91:$DX$190,0,Specials!J621)*(Data!$AM$91:$AM$190&gt;Parameter!$B$32)*(Data!$DW$91:$DW$190="M"),0),"")</f>
        <v/>
      </c>
      <c r="L621" s="78" t="str">
        <f ca="1">IF(H621=1,INDEX(Data!$DT$91:$DT$190,$K621)&amp;" / "&amp;OFFSET(Data!$DX$89,0,Specials!J621),"")</f>
        <v/>
      </c>
      <c r="M621" s="78" t="s">
        <v>1</v>
      </c>
      <c r="N621" s="78" t="s">
        <v>255</v>
      </c>
      <c r="O621" s="78" t="e">
        <f t="shared" ca="1" si="40"/>
        <v>#VALUE!</v>
      </c>
      <c r="P621" s="78" t="str">
        <f t="shared" ca="1" si="42"/>
        <v/>
      </c>
    </row>
    <row r="622" spans="1:16" s="78" customFormat="1" hidden="1" x14ac:dyDescent="0.25">
      <c r="A622" s="317" t="str">
        <f>"# Oh dear Men Rating &gt; "&amp;Parameter!$B$32</f>
        <v># Oh dear Men Rating &gt; 850</v>
      </c>
      <c r="B622" s="297">
        <f>MATCH(A622,Data!$DT:$DT,0)</f>
        <v>17</v>
      </c>
      <c r="C622" s="78">
        <f>INDEX(Parameter!$9:$9,,MATCH(6,Parameter!$8:$8,0))</f>
        <v>6</v>
      </c>
      <c r="D622" s="78">
        <f>INDEX(Parameter!$B$10:$AB$10,MATCH(C622,Parameter!$B$9:$AB$9,0))</f>
        <v>3</v>
      </c>
      <c r="H622" s="78">
        <f ca="1">INDEX(OFFSET(Data!$CS$1:$DS$1,B622-1,0),MATCH("Total/"&amp;C622,Data!$CS$1:$DS$1,0))</f>
        <v>0</v>
      </c>
      <c r="I622" s="78" t="str">
        <f ca="1">IF(H622=1,INDEX(Parameter!$B$10:$AB$10,MATCH(C622,Parameter!$B$9:$AB$9,0))+10,"")</f>
        <v/>
      </c>
      <c r="J622" s="78" t="str">
        <f t="array" aca="1" ref="J622" ca="1">IF(H622=1,MATCH(1,(OFFSET(Data!$DY$1:$IB$1,B622-1,0))*(Data!$DY$90:$IB$90=C622),0),"")</f>
        <v/>
      </c>
      <c r="K622" s="78" t="str">
        <f t="array" aca="1" ref="K622" ca="1">IF(H622=1,MATCH(I622,OFFSET(Data!$DX$91:$DX$190,0,Specials!J622)*(Data!$AM$91:$AM$190&gt;Parameter!$B$32)*(Data!$DW$91:$DW$190="M"),0),"")</f>
        <v/>
      </c>
      <c r="L622" s="78" t="str">
        <f ca="1">IF(H622=1,INDEX(Data!$DT$91:$DT$190,$K622)&amp;" / "&amp;OFFSET(Data!$DX$89,0,Specials!J622),"")</f>
        <v/>
      </c>
      <c r="M622" s="78" t="s">
        <v>1</v>
      </c>
      <c r="N622" s="78" t="s">
        <v>255</v>
      </c>
      <c r="O622" s="78" t="e">
        <f t="shared" ca="1" si="40"/>
        <v>#VALUE!</v>
      </c>
      <c r="P622" s="78" t="str">
        <f t="shared" ca="1" si="42"/>
        <v/>
      </c>
    </row>
    <row r="623" spans="1:16" s="78" customFormat="1" hidden="1" x14ac:dyDescent="0.25">
      <c r="A623" s="317" t="str">
        <f>"# Oh dear Men Rating &gt; "&amp;Parameter!$B$32</f>
        <v># Oh dear Men Rating &gt; 850</v>
      </c>
      <c r="B623" s="297">
        <f>MATCH(A623,Data!$DT:$DT,0)</f>
        <v>17</v>
      </c>
      <c r="C623" s="78">
        <f>INDEX(Parameter!$9:$9,,MATCH(7,Parameter!$8:$8,0))</f>
        <v>7</v>
      </c>
      <c r="D623" s="78">
        <f>INDEX(Parameter!$B$10:$AB$10,MATCH(C623,Parameter!$B$9:$AB$9,0))</f>
        <v>3</v>
      </c>
      <c r="H623" s="78">
        <f ca="1">INDEX(OFFSET(Data!$CS$1:$DS$1,B623-1,0),MATCH("Total/"&amp;C623,Data!$CS$1:$DS$1,0))</f>
        <v>0</v>
      </c>
      <c r="I623" s="78" t="str">
        <f ca="1">IF(H623=1,INDEX(Parameter!$B$10:$AB$10,MATCH(C623,Parameter!$B$9:$AB$9,0))+10,"")</f>
        <v/>
      </c>
      <c r="J623" s="78" t="str">
        <f t="array" aca="1" ref="J623" ca="1">IF(H623=1,MATCH(1,(OFFSET(Data!$DY$1:$IB$1,B623-1,0))*(Data!$DY$90:$IB$90=C623),0),"")</f>
        <v/>
      </c>
      <c r="K623" s="78" t="str">
        <f t="array" aca="1" ref="K623" ca="1">IF(H623=1,MATCH(I623,OFFSET(Data!$DX$91:$DX$190,0,Specials!J623)*(Data!$AM$91:$AM$190&gt;Parameter!$B$32)*(Data!$DW$91:$DW$190="M"),0),"")</f>
        <v/>
      </c>
      <c r="L623" s="78" t="str">
        <f ca="1">IF(H623=1,INDEX(Data!$DT$91:$DT$190,$K623)&amp;" / "&amp;OFFSET(Data!$DX$89,0,Specials!J623),"")</f>
        <v/>
      </c>
      <c r="M623" s="78" t="s">
        <v>1</v>
      </c>
      <c r="N623" s="78" t="s">
        <v>255</v>
      </c>
      <c r="O623" s="78" t="e">
        <f t="shared" ca="1" si="40"/>
        <v>#VALUE!</v>
      </c>
      <c r="P623" s="78" t="str">
        <f t="shared" ca="1" si="42"/>
        <v/>
      </c>
    </row>
    <row r="624" spans="1:16" s="78" customFormat="1" hidden="1" x14ac:dyDescent="0.25">
      <c r="A624" s="317" t="str">
        <f>"# Oh dear Men Rating &gt; "&amp;Parameter!$B$32</f>
        <v># Oh dear Men Rating &gt; 850</v>
      </c>
      <c r="B624" s="297">
        <f>MATCH(A624,Data!$DT:$DT,0)</f>
        <v>17</v>
      </c>
      <c r="C624" s="78">
        <f>INDEX(Parameter!$9:$9,,MATCH(8,Parameter!$8:$8,0))</f>
        <v>8</v>
      </c>
      <c r="D624" s="78">
        <f>INDEX(Parameter!$B$10:$AB$10,MATCH(C624,Parameter!$B$9:$AB$9,0))</f>
        <v>3</v>
      </c>
      <c r="H624" s="78">
        <f ca="1">INDEX(OFFSET(Data!$CS$1:$DS$1,B624-1,0),MATCH("Total/"&amp;C624,Data!$CS$1:$DS$1,0))</f>
        <v>0</v>
      </c>
      <c r="I624" s="78" t="str">
        <f ca="1">IF(H624=1,INDEX(Parameter!$B$10:$AB$10,MATCH(C624,Parameter!$B$9:$AB$9,0))+10,"")</f>
        <v/>
      </c>
      <c r="J624" s="78" t="str">
        <f t="array" aca="1" ref="J624" ca="1">IF(H624=1,MATCH(1,(OFFSET(Data!$DY$1:$IB$1,B624-1,0))*(Data!$DY$90:$IB$90=C624),0),"")</f>
        <v/>
      </c>
      <c r="K624" s="78" t="str">
        <f t="array" aca="1" ref="K624" ca="1">IF(H624=1,MATCH(I624,OFFSET(Data!$DX$91:$DX$190,0,Specials!J624)*(Data!$AM$91:$AM$190&gt;Parameter!$B$32)*(Data!$DW$91:$DW$190="M"),0),"")</f>
        <v/>
      </c>
      <c r="L624" s="78" t="str">
        <f ca="1">IF(H624=1,INDEX(Data!$DT$91:$DT$190,$K624)&amp;" / "&amp;OFFSET(Data!$DX$89,0,Specials!J624),"")</f>
        <v/>
      </c>
      <c r="M624" s="78" t="s">
        <v>1</v>
      </c>
      <c r="N624" s="78" t="s">
        <v>255</v>
      </c>
      <c r="O624" s="78" t="e">
        <f t="shared" ca="1" si="40"/>
        <v>#VALUE!</v>
      </c>
      <c r="P624" s="78" t="str">
        <f t="shared" ca="1" si="42"/>
        <v/>
      </c>
    </row>
    <row r="625" spans="1:16" s="78" customFormat="1" hidden="1" x14ac:dyDescent="0.25">
      <c r="A625" s="317" t="str">
        <f>"# Oh dear Men Rating &gt; "&amp;Parameter!$B$32</f>
        <v># Oh dear Men Rating &gt; 850</v>
      </c>
      <c r="B625" s="297">
        <f>MATCH(A625,Data!$DT:$DT,0)</f>
        <v>17</v>
      </c>
      <c r="C625" s="78">
        <f>INDEX(Parameter!$9:$9,,MATCH(9,Parameter!$8:$8,0))</f>
        <v>9</v>
      </c>
      <c r="D625" s="78">
        <f>INDEX(Parameter!$B$10:$AB$10,MATCH(C625,Parameter!$B$9:$AB$9,0))</f>
        <v>4</v>
      </c>
      <c r="H625" s="78">
        <f ca="1">INDEX(OFFSET(Data!$CS$1:$DS$1,B625-1,0),MATCH("Total/"&amp;C625,Data!$CS$1:$DS$1,0))</f>
        <v>0</v>
      </c>
      <c r="I625" s="78" t="str">
        <f ca="1">IF(H625=1,INDEX(Parameter!$B$10:$AB$10,MATCH(C625,Parameter!$B$9:$AB$9,0))+10,"")</f>
        <v/>
      </c>
      <c r="J625" s="78" t="str">
        <f t="array" aca="1" ref="J625" ca="1">IF(H625=1,MATCH(1,(OFFSET(Data!$DY$1:$IB$1,B625-1,0))*(Data!$DY$90:$IB$90=C625),0),"")</f>
        <v/>
      </c>
      <c r="K625" s="78" t="str">
        <f t="array" aca="1" ref="K625" ca="1">IF(H625=1,MATCH(I625,OFFSET(Data!$DX$91:$DX$190,0,Specials!J625)*(Data!$AM$91:$AM$190&gt;Parameter!$B$32)*(Data!$DW$91:$DW$190="M"),0),"")</f>
        <v/>
      </c>
      <c r="L625" s="78" t="str">
        <f ca="1">IF(H625=1,INDEX(Data!$DT$91:$DT$190,$K625)&amp;" / "&amp;OFFSET(Data!$DX$89,0,Specials!J625),"")</f>
        <v/>
      </c>
      <c r="M625" s="78" t="s">
        <v>1</v>
      </c>
      <c r="N625" s="78" t="s">
        <v>255</v>
      </c>
      <c r="O625" s="78" t="e">
        <f t="shared" ca="1" si="40"/>
        <v>#VALUE!</v>
      </c>
      <c r="P625" s="78" t="str">
        <f t="shared" ca="1" si="42"/>
        <v/>
      </c>
    </row>
    <row r="626" spans="1:16" s="78" customFormat="1" hidden="1" x14ac:dyDescent="0.25">
      <c r="A626" s="317" t="str">
        <f>"# Oh dear Men Rating &gt; "&amp;Parameter!$B$32</f>
        <v># Oh dear Men Rating &gt; 850</v>
      </c>
      <c r="B626" s="297">
        <f>MATCH(A626,Data!$DT:$DT,0)</f>
        <v>17</v>
      </c>
      <c r="C626" s="78">
        <f>INDEX(Parameter!$9:$9,,MATCH(10,Parameter!$8:$8,0))</f>
        <v>10</v>
      </c>
      <c r="D626" s="78">
        <f>INDEX(Parameter!$B$10:$AB$10,MATCH(C626,Parameter!$B$9:$AB$9,0))</f>
        <v>4</v>
      </c>
      <c r="H626" s="78">
        <f ca="1">INDEX(OFFSET(Data!$CS$1:$DS$1,B626-1,0),MATCH("Total/"&amp;C626,Data!$CS$1:$DS$1,0))</f>
        <v>0</v>
      </c>
      <c r="I626" s="78" t="str">
        <f ca="1">IF(H626=1,INDEX(Parameter!$B$10:$AB$10,MATCH(C626,Parameter!$B$9:$AB$9,0))+10,"")</f>
        <v/>
      </c>
      <c r="J626" s="78" t="str">
        <f t="array" aca="1" ref="J626" ca="1">IF(H626=1,MATCH(1,(OFFSET(Data!$DY$1:$IB$1,B626-1,0))*(Data!$DY$90:$IB$90=C626),0),"")</f>
        <v/>
      </c>
      <c r="K626" s="78" t="str">
        <f t="array" aca="1" ref="K626" ca="1">IF(H626=1,MATCH(I626,OFFSET(Data!$DX$91:$DX$190,0,Specials!J626)*(Data!$AM$91:$AM$190&gt;Parameter!$B$32)*(Data!$DW$91:$DW$190="M"),0),"")</f>
        <v/>
      </c>
      <c r="L626" s="78" t="str">
        <f ca="1">IF(H626=1,INDEX(Data!$DT$91:$DT$190,$K626)&amp;" / "&amp;OFFSET(Data!$DX$89,0,Specials!J626),"")</f>
        <v/>
      </c>
      <c r="M626" s="78" t="s">
        <v>1</v>
      </c>
      <c r="N626" s="78" t="s">
        <v>255</v>
      </c>
      <c r="O626" s="78" t="e">
        <f t="shared" ca="1" si="40"/>
        <v>#VALUE!</v>
      </c>
      <c r="P626" s="78" t="str">
        <f t="shared" ca="1" si="42"/>
        <v/>
      </c>
    </row>
    <row r="627" spans="1:16" s="78" customFormat="1" hidden="1" x14ac:dyDescent="0.25">
      <c r="A627" s="317" t="str">
        <f>"# Oh dear Men Rating &gt; "&amp;Parameter!$B$32</f>
        <v># Oh dear Men Rating &gt; 850</v>
      </c>
      <c r="B627" s="297">
        <f>MATCH(A627,Data!$DT:$DT,0)</f>
        <v>17</v>
      </c>
      <c r="C627" s="78">
        <f>INDEX(Parameter!$9:$9,,MATCH(11,Parameter!$8:$8,0))</f>
        <v>11</v>
      </c>
      <c r="D627" s="78">
        <f>INDEX(Parameter!$B$10:$AB$10,MATCH(C627,Parameter!$B$9:$AB$9,0))</f>
        <v>4</v>
      </c>
      <c r="H627" s="78">
        <f ca="1">INDEX(OFFSET(Data!$CS$1:$DS$1,B627-1,0),MATCH("Total/"&amp;C627,Data!$CS$1:$DS$1,0))</f>
        <v>0</v>
      </c>
      <c r="I627" s="78" t="str">
        <f ca="1">IF(H627=1,INDEX(Parameter!$B$10:$AB$10,MATCH(C627,Parameter!$B$9:$AB$9,0))+10,"")</f>
        <v/>
      </c>
      <c r="J627" s="78" t="str">
        <f t="array" aca="1" ref="J627" ca="1">IF(H627=1,MATCH(1,(OFFSET(Data!$DY$1:$IB$1,B627-1,0))*(Data!$DY$90:$IB$90=C627),0),"")</f>
        <v/>
      </c>
      <c r="K627" s="78" t="str">
        <f t="array" aca="1" ref="K627" ca="1">IF(H627=1,MATCH(I627,OFFSET(Data!$DX$91:$DX$190,0,Specials!J627)*(Data!$AM$91:$AM$190&gt;Parameter!$B$32)*(Data!$DW$91:$DW$190="M"),0),"")</f>
        <v/>
      </c>
      <c r="L627" s="78" t="str">
        <f ca="1">IF(H627=1,INDEX(Data!$DT$91:$DT$190,$K627)&amp;" / "&amp;OFFSET(Data!$DX$89,0,Specials!J627),"")</f>
        <v/>
      </c>
      <c r="M627" s="78" t="s">
        <v>1</v>
      </c>
      <c r="N627" s="78" t="s">
        <v>255</v>
      </c>
      <c r="O627" s="78" t="e">
        <f t="shared" ca="1" si="40"/>
        <v>#VALUE!</v>
      </c>
      <c r="P627" s="78" t="str">
        <f t="shared" ca="1" si="42"/>
        <v/>
      </c>
    </row>
    <row r="628" spans="1:16" s="78" customFormat="1" hidden="1" x14ac:dyDescent="0.25">
      <c r="A628" s="317" t="str">
        <f>"# Oh dear Men Rating &gt; "&amp;Parameter!$B$32</f>
        <v># Oh dear Men Rating &gt; 850</v>
      </c>
      <c r="B628" s="297">
        <f>MATCH(A628,Data!$DT:$DT,0)</f>
        <v>17</v>
      </c>
      <c r="C628" s="78" t="str">
        <f>INDEX(Parameter!$9:$9,,MATCH(12,Parameter!$8:$8,0))</f>
        <v>11b</v>
      </c>
      <c r="D628" s="78">
        <f>INDEX(Parameter!$B$10:$AB$10,MATCH(C628,Parameter!$B$9:$AB$9,0))</f>
        <v>3</v>
      </c>
      <c r="H628" s="78">
        <f ca="1">INDEX(OFFSET(Data!$CS$1:$DS$1,B628-1,0),MATCH("Total/"&amp;C628,Data!$CS$1:$DS$1,0))</f>
        <v>0</v>
      </c>
      <c r="I628" s="78" t="str">
        <f ca="1">IF(H628=1,INDEX(Parameter!$B$10:$AB$10,MATCH(C628,Parameter!$B$9:$AB$9,0))+10,"")</f>
        <v/>
      </c>
      <c r="J628" s="78" t="str">
        <f t="array" aca="1" ref="J628" ca="1">IF(H628=1,MATCH(1,(OFFSET(Data!$DY$1:$IB$1,B628-1,0))*(Data!$DY$90:$IB$90=C628),0),"")</f>
        <v/>
      </c>
      <c r="K628" s="78" t="str">
        <f t="array" aca="1" ref="K628" ca="1">IF(H628=1,MATCH(I628,OFFSET(Data!$DX$91:$DX$190,0,Specials!J628)*(Data!$AM$91:$AM$190&gt;Parameter!$B$32)*(Data!$DW$91:$DW$190="M"),0),"")</f>
        <v/>
      </c>
      <c r="L628" s="78" t="str">
        <f ca="1">IF(H628=1,INDEX(Data!$DT$91:$DT$190,$K628)&amp;" / "&amp;OFFSET(Data!$DX$89,0,Specials!J628),"")</f>
        <v/>
      </c>
      <c r="M628" s="78" t="s">
        <v>1</v>
      </c>
      <c r="N628" s="78" t="s">
        <v>255</v>
      </c>
      <c r="O628" s="78" t="e">
        <f t="shared" ca="1" si="40"/>
        <v>#VALUE!</v>
      </c>
      <c r="P628" s="78" t="str">
        <f t="shared" ca="1" si="42"/>
        <v/>
      </c>
    </row>
    <row r="629" spans="1:16" s="78" customFormat="1" hidden="1" x14ac:dyDescent="0.25">
      <c r="A629" s="317" t="str">
        <f>"# Oh dear Men Rating &gt; "&amp;Parameter!$B$32</f>
        <v># Oh dear Men Rating &gt; 850</v>
      </c>
      <c r="B629" s="297">
        <f>MATCH(A629,Data!$DT:$DT,0)</f>
        <v>17</v>
      </c>
      <c r="C629" s="78">
        <f>INDEX(Parameter!$9:$9,,MATCH(13,Parameter!$8:$8,0))</f>
        <v>12</v>
      </c>
      <c r="D629" s="78">
        <f>INDEX(Parameter!$B$10:$AB$10,MATCH(C629,Parameter!$B$9:$AB$9,0))</f>
        <v>3</v>
      </c>
      <c r="H629" s="78">
        <f ca="1">INDEX(OFFSET(Data!$CS$1:$DS$1,B629-1,0),MATCH("Total/"&amp;C629,Data!$CS$1:$DS$1,0))</f>
        <v>0</v>
      </c>
      <c r="I629" s="78" t="str">
        <f ca="1">IF(H629=1,INDEX(Parameter!$B$10:$AB$10,MATCH(C629,Parameter!$B$9:$AB$9,0))+10,"")</f>
        <v/>
      </c>
      <c r="J629" s="78" t="str">
        <f t="array" aca="1" ref="J629" ca="1">IF(H629=1,MATCH(1,(OFFSET(Data!$DY$1:$IB$1,B629-1,0))*(Data!$DY$90:$IB$90=C629),0),"")</f>
        <v/>
      </c>
      <c r="K629" s="78" t="str">
        <f t="array" aca="1" ref="K629" ca="1">IF(H629=1,MATCH(I629,OFFSET(Data!$DX$91:$DX$190,0,Specials!J629)*(Data!$AM$91:$AM$190&gt;Parameter!$B$32)*(Data!$DW$91:$DW$190="M"),0),"")</f>
        <v/>
      </c>
      <c r="L629" s="78" t="str">
        <f ca="1">IF(H629=1,INDEX(Data!$DT$91:$DT$190,$K629)&amp;" / "&amp;OFFSET(Data!$DX$89,0,Specials!J629),"")</f>
        <v/>
      </c>
      <c r="M629" s="78" t="s">
        <v>1</v>
      </c>
      <c r="N629" s="78" t="s">
        <v>255</v>
      </c>
      <c r="O629" s="78" t="e">
        <f t="shared" ca="1" si="40"/>
        <v>#VALUE!</v>
      </c>
      <c r="P629" s="78" t="str">
        <f t="shared" ca="1" si="42"/>
        <v/>
      </c>
    </row>
    <row r="630" spans="1:16" s="78" customFormat="1" hidden="1" x14ac:dyDescent="0.25">
      <c r="A630" s="317" t="str">
        <f>"# Oh dear Men Rating &gt; "&amp;Parameter!$B$32</f>
        <v># Oh dear Men Rating &gt; 850</v>
      </c>
      <c r="B630" s="297">
        <f>MATCH(A630,Data!$DT:$DT,0)</f>
        <v>17</v>
      </c>
      <c r="C630" s="78">
        <f>INDEX(Parameter!$9:$9,,MATCH(14,Parameter!$8:$8,0))</f>
        <v>13</v>
      </c>
      <c r="D630" s="78">
        <f>INDEX(Parameter!$B$10:$AB$10,MATCH(C630,Parameter!$B$9:$AB$9,0))</f>
        <v>3</v>
      </c>
      <c r="H630" s="78">
        <f ca="1">INDEX(OFFSET(Data!$CS$1:$DS$1,B630-1,0),MATCH("Total/"&amp;C630,Data!$CS$1:$DS$1,0))</f>
        <v>0</v>
      </c>
      <c r="I630" s="78" t="str">
        <f ca="1">IF(H630=1,INDEX(Parameter!$B$10:$AB$10,MATCH(C630,Parameter!$B$9:$AB$9,0))+10,"")</f>
        <v/>
      </c>
      <c r="J630" s="78" t="str">
        <f t="array" aca="1" ref="J630" ca="1">IF(H630=1,MATCH(1,(OFFSET(Data!$DY$1:$IB$1,B630-1,0))*(Data!$DY$90:$IB$90=C630),0),"")</f>
        <v/>
      </c>
      <c r="K630" s="78" t="str">
        <f t="array" aca="1" ref="K630" ca="1">IF(H630=1,MATCH(I630,OFFSET(Data!$DX$91:$DX$190,0,Specials!J630)*(Data!$AM$91:$AM$190&gt;Parameter!$B$32)*(Data!$DW$91:$DW$190="M"),0),"")</f>
        <v/>
      </c>
      <c r="L630" s="78" t="str">
        <f ca="1">IF(H630=1,INDEX(Data!$DT$91:$DT$190,$K630)&amp;" / "&amp;OFFSET(Data!$DX$89,0,Specials!J630),"")</f>
        <v/>
      </c>
      <c r="M630" s="78" t="s">
        <v>1</v>
      </c>
      <c r="N630" s="78" t="s">
        <v>255</v>
      </c>
      <c r="O630" s="78" t="e">
        <f t="shared" ca="1" si="40"/>
        <v>#VALUE!</v>
      </c>
      <c r="P630" s="78" t="str">
        <f t="shared" ca="1" si="42"/>
        <v/>
      </c>
    </row>
    <row r="631" spans="1:16" s="78" customFormat="1" hidden="1" x14ac:dyDescent="0.25">
      <c r="A631" s="317" t="str">
        <f>"# Oh dear Men Rating &gt; "&amp;Parameter!$B$32</f>
        <v># Oh dear Men Rating &gt; 850</v>
      </c>
      <c r="B631" s="297">
        <f>MATCH(A631,Data!$DT:$DT,0)</f>
        <v>17</v>
      </c>
      <c r="C631" s="78">
        <f>INDEX(Parameter!$9:$9,,MATCH(15,Parameter!$8:$8,0))</f>
        <v>14</v>
      </c>
      <c r="D631" s="78">
        <f>INDEX(Parameter!$B$10:$AB$10,MATCH(C631,Parameter!$B$9:$AB$9,0))</f>
        <v>3</v>
      </c>
      <c r="H631" s="78">
        <f ca="1">INDEX(OFFSET(Data!$CS$1:$DS$1,B631-1,0),MATCH("Total/"&amp;C631,Data!$CS$1:$DS$1,0))</f>
        <v>0</v>
      </c>
      <c r="I631" s="78" t="str">
        <f ca="1">IF(H631=1,INDEX(Parameter!$B$10:$AB$10,MATCH(C631,Parameter!$B$9:$AB$9,0))+10,"")</f>
        <v/>
      </c>
      <c r="J631" s="78" t="str">
        <f t="array" aca="1" ref="J631" ca="1">IF(H631=1,MATCH(1,(OFFSET(Data!$DY$1:$IB$1,B631-1,0))*(Data!$DY$90:$IB$90=C631),0),"")</f>
        <v/>
      </c>
      <c r="K631" s="78" t="str">
        <f t="array" aca="1" ref="K631" ca="1">IF(H631=1,MATCH(I631,OFFSET(Data!$DX$91:$DX$190,0,Specials!J631)*(Data!$AM$91:$AM$190&gt;Parameter!$B$32)*(Data!$DW$91:$DW$190="M"),0),"")</f>
        <v/>
      </c>
      <c r="L631" s="78" t="str">
        <f ca="1">IF(H631=1,INDEX(Data!$DT$91:$DT$190,$K631)&amp;" / "&amp;OFFSET(Data!$DX$89,0,Specials!J631),"")</f>
        <v/>
      </c>
      <c r="M631" s="78" t="s">
        <v>1</v>
      </c>
      <c r="N631" s="78" t="s">
        <v>255</v>
      </c>
      <c r="O631" s="78" t="e">
        <f t="shared" ca="1" si="40"/>
        <v>#VALUE!</v>
      </c>
      <c r="P631" s="78" t="str">
        <f t="shared" ca="1" si="42"/>
        <v/>
      </c>
    </row>
    <row r="632" spans="1:16" s="78" customFormat="1" hidden="1" x14ac:dyDescent="0.25">
      <c r="A632" s="317" t="str">
        <f>"# Oh dear Men Rating &gt; "&amp;Parameter!$B$32</f>
        <v># Oh dear Men Rating &gt; 850</v>
      </c>
      <c r="B632" s="297">
        <f>MATCH(A632,Data!$DT:$DT,0)</f>
        <v>17</v>
      </c>
      <c r="C632" s="78">
        <f>INDEX(Parameter!$9:$9,,MATCH(16,Parameter!$8:$8,0))</f>
        <v>15</v>
      </c>
      <c r="D632" s="78">
        <f>INDEX(Parameter!$B$10:$AB$10,MATCH(C632,Parameter!$B$9:$AB$9,0))</f>
        <v>3</v>
      </c>
      <c r="H632" s="78">
        <f ca="1">INDEX(OFFSET(Data!$CS$1:$DS$1,B632-1,0),MATCH("Total/"&amp;C632,Data!$CS$1:$DS$1,0))</f>
        <v>0</v>
      </c>
      <c r="I632" s="78" t="str">
        <f ca="1">IF(H632=1,INDEX(Parameter!$B$10:$AB$10,MATCH(C632,Parameter!$B$9:$AB$9,0))+10,"")</f>
        <v/>
      </c>
      <c r="J632" s="78" t="str">
        <f t="array" aca="1" ref="J632" ca="1">IF(H632=1,MATCH(1,(OFFSET(Data!$DY$1:$IB$1,B632-1,0))*(Data!$DY$90:$IB$90=C632),0),"")</f>
        <v/>
      </c>
      <c r="K632" s="78" t="str">
        <f t="array" aca="1" ref="K632" ca="1">IF(H632=1,MATCH(I632,OFFSET(Data!$DX$91:$DX$190,0,Specials!J632)*(Data!$AM$91:$AM$190&gt;Parameter!$B$32)*(Data!$DW$91:$DW$190="M"),0),"")</f>
        <v/>
      </c>
      <c r="L632" s="78" t="str">
        <f ca="1">IF(H632=1,INDEX(Data!$DT$91:$DT$190,$K632)&amp;" / "&amp;OFFSET(Data!$DX$89,0,Specials!J632),"")</f>
        <v/>
      </c>
      <c r="M632" s="78" t="s">
        <v>1</v>
      </c>
      <c r="N632" s="78" t="s">
        <v>255</v>
      </c>
      <c r="O632" s="78" t="e">
        <f t="shared" ca="1" si="40"/>
        <v>#VALUE!</v>
      </c>
      <c r="P632" s="78" t="str">
        <f t="shared" ca="1" si="42"/>
        <v/>
      </c>
    </row>
    <row r="633" spans="1:16" s="78" customFormat="1" hidden="1" x14ac:dyDescent="0.25">
      <c r="A633" s="317" t="str">
        <f>"# Oh dear Men Rating &gt; "&amp;Parameter!$B$32</f>
        <v># Oh dear Men Rating &gt; 850</v>
      </c>
      <c r="B633" s="297">
        <f>MATCH(A633,Data!$DT:$DT,0)</f>
        <v>17</v>
      </c>
      <c r="C633" s="78">
        <f>INDEX(Parameter!$9:$9,,MATCH(17,Parameter!$8:$8,0))</f>
        <v>16</v>
      </c>
      <c r="D633" s="78">
        <f>INDEX(Parameter!$B$10:$AB$10,MATCH(C633,Parameter!$B$9:$AB$9,0))</f>
        <v>3</v>
      </c>
      <c r="H633" s="78">
        <f ca="1">INDEX(OFFSET(Data!$CS$1:$DS$1,B633-1,0),MATCH("Total/"&amp;C633,Data!$CS$1:$DS$1,0))</f>
        <v>0</v>
      </c>
      <c r="I633" s="78" t="str">
        <f ca="1">IF(H633=1,INDEX(Parameter!$B$10:$AB$10,MATCH(C633,Parameter!$B$9:$AB$9,0))+10,"")</f>
        <v/>
      </c>
      <c r="J633" s="78" t="str">
        <f t="array" aca="1" ref="J633" ca="1">IF(H633=1,MATCH(1,(OFFSET(Data!$DY$1:$IB$1,B633-1,0))*(Data!$DY$90:$IB$90=C633),0),"")</f>
        <v/>
      </c>
      <c r="K633" s="78" t="str">
        <f t="array" aca="1" ref="K633" ca="1">IF(H633=1,MATCH(I633,OFFSET(Data!$DX$91:$DX$190,0,Specials!J633)*(Data!$AM$91:$AM$190&gt;Parameter!$B$32)*(Data!$DW$91:$DW$190="M"),0),"")</f>
        <v/>
      </c>
      <c r="L633" s="78" t="str">
        <f ca="1">IF(H633=1,INDEX(Data!$DT$91:$DT$190,$K633)&amp;" / "&amp;OFFSET(Data!$DX$89,0,Specials!J633),"")</f>
        <v/>
      </c>
      <c r="M633" s="78" t="s">
        <v>1</v>
      </c>
      <c r="N633" s="78" t="s">
        <v>255</v>
      </c>
      <c r="O633" s="78" t="e">
        <f t="shared" ca="1" si="40"/>
        <v>#VALUE!</v>
      </c>
      <c r="P633" s="78" t="str">
        <f t="shared" ca="1" si="42"/>
        <v/>
      </c>
    </row>
    <row r="634" spans="1:16" s="78" customFormat="1" hidden="1" x14ac:dyDescent="0.25">
      <c r="A634" s="317" t="str">
        <f>"# Oh dear Men Rating &gt; "&amp;Parameter!$B$32</f>
        <v># Oh dear Men Rating &gt; 850</v>
      </c>
      <c r="B634" s="297">
        <f>MATCH(A634,Data!$DT:$DT,0)</f>
        <v>17</v>
      </c>
      <c r="C634" s="78">
        <f>INDEX(Parameter!$9:$9,,MATCH(18,Parameter!$8:$8,0))</f>
        <v>17</v>
      </c>
      <c r="D634" s="78">
        <f>INDEX(Parameter!$B$10:$AB$10,MATCH(C634,Parameter!$B$9:$AB$9,0))</f>
        <v>3</v>
      </c>
      <c r="H634" s="78">
        <f ca="1">INDEX(OFFSET(Data!$CS$1:$DS$1,B634-1,0),MATCH("Total/"&amp;C634,Data!$CS$1:$DS$1,0))</f>
        <v>0</v>
      </c>
      <c r="I634" s="78" t="str">
        <f ca="1">IF(H634=1,INDEX(Parameter!$B$10:$AB$10,MATCH(C634,Parameter!$B$9:$AB$9,0))+10,"")</f>
        <v/>
      </c>
      <c r="J634" s="78" t="str">
        <f t="array" aca="1" ref="J634" ca="1">IF(H634=1,MATCH(1,(OFFSET(Data!$DY$1:$IB$1,B634-1,0))*(Data!$DY$90:$IB$90=C634),0),"")</f>
        <v/>
      </c>
      <c r="K634" s="78" t="str">
        <f t="array" aca="1" ref="K634" ca="1">IF(H634=1,MATCH(I634,OFFSET(Data!$DX$91:$DX$190,0,Specials!J634)*(Data!$AM$91:$AM$190&gt;Parameter!$B$32)*(Data!$DW$91:$DW$190="M"),0),"")</f>
        <v/>
      </c>
      <c r="L634" s="78" t="str">
        <f ca="1">IF(H634=1,INDEX(Data!$DT$91:$DT$190,$K634)&amp;" / "&amp;OFFSET(Data!$DX$89,0,Specials!J634),"")</f>
        <v/>
      </c>
      <c r="M634" s="78" t="s">
        <v>1</v>
      </c>
      <c r="N634" s="78" t="s">
        <v>255</v>
      </c>
      <c r="O634" s="78" t="e">
        <f t="shared" ca="1" si="40"/>
        <v>#VALUE!</v>
      </c>
      <c r="P634" s="78" t="str">
        <f t="shared" ca="1" si="42"/>
        <v/>
      </c>
    </row>
    <row r="635" spans="1:16" s="78" customFormat="1" hidden="1" x14ac:dyDescent="0.25">
      <c r="A635" s="317" t="str">
        <f>"# Oh dear Men Rating &gt; "&amp;Parameter!$B$32</f>
        <v># Oh dear Men Rating &gt; 850</v>
      </c>
      <c r="B635" s="297">
        <f>MATCH(A635,Data!$DT:$DT,0)</f>
        <v>17</v>
      </c>
      <c r="C635" s="78">
        <f>INDEX(Parameter!$9:$9,,MATCH(19,Parameter!$8:$8,0))</f>
        <v>18</v>
      </c>
      <c r="D635" s="78">
        <f>INDEX(Parameter!$B$10:$AB$10,MATCH(C635,Parameter!$B$9:$AB$9,0))</f>
        <v>3</v>
      </c>
      <c r="H635" s="78">
        <f ca="1">INDEX(OFFSET(Data!$CS$1:$DS$1,B635-1,0),MATCH("Total/"&amp;C635,Data!$CS$1:$DS$1,0))</f>
        <v>0</v>
      </c>
      <c r="I635" s="78" t="str">
        <f ca="1">IF(H635=1,INDEX(Parameter!$B$10:$AB$10,MATCH(C635,Parameter!$B$9:$AB$9,0))+10,"")</f>
        <v/>
      </c>
      <c r="J635" s="78" t="str">
        <f t="array" aca="1" ref="J635" ca="1">IF(H635=1,MATCH(1,(OFFSET(Data!$DY$1:$IB$1,B635-1,0))*(Data!$DY$90:$IB$90=C635),0),"")</f>
        <v/>
      </c>
      <c r="K635" s="78" t="str">
        <f t="array" aca="1" ref="K635" ca="1">IF(H635=1,MATCH(I635,OFFSET(Data!$DX$91:$DX$190,0,Specials!J635)*(Data!$AM$91:$AM$190&gt;Parameter!$B$32)*(Data!$DW$91:$DW$190="M"),0),"")</f>
        <v/>
      </c>
      <c r="L635" s="78" t="str">
        <f ca="1">IF(H635=1,INDEX(Data!$DT$91:$DT$190,$K635)&amp;" / "&amp;OFFSET(Data!$DX$89,0,Specials!J635),"")</f>
        <v/>
      </c>
      <c r="M635" s="78" t="s">
        <v>1</v>
      </c>
      <c r="N635" s="78" t="s">
        <v>255</v>
      </c>
      <c r="O635" s="78" t="e">
        <f t="shared" ca="1" si="40"/>
        <v>#VALUE!</v>
      </c>
      <c r="P635" s="78" t="str">
        <f t="shared" ca="1" si="42"/>
        <v/>
      </c>
    </row>
    <row r="636" spans="1:16" s="78" customFormat="1" hidden="1" x14ac:dyDescent="0.25">
      <c r="A636" s="317" t="str">
        <f>"# Oh dear Men Rating &gt; "&amp;Parameter!$B$32</f>
        <v># Oh dear Men Rating &gt; 850</v>
      </c>
      <c r="B636" s="297">
        <f>MATCH(A636,Data!$DT:$DT,0)</f>
        <v>17</v>
      </c>
      <c r="C636" s="78">
        <f>INDEX(Parameter!$9:$9,,MATCH(20,Parameter!$8:$8,0))</f>
        <v>20</v>
      </c>
      <c r="D636" s="78" t="str">
        <f>INDEX(Parameter!$B$10:$AB$10,MATCH(C636,Parameter!$B$9:$AB$9,0))</f>
        <v>no</v>
      </c>
      <c r="H636" s="78">
        <f ca="1">INDEX(OFFSET(Data!$CS$1:$DS$1,B636-1,0),MATCH("Total/"&amp;C636,Data!$CS$1:$DS$1,0))</f>
        <v>0</v>
      </c>
      <c r="I636" s="78" t="str">
        <f ca="1">IF(H636=1,INDEX(Parameter!$B$10:$AB$10,MATCH(C636,Parameter!$B$9:$AB$9,0))+10,"")</f>
        <v/>
      </c>
      <c r="J636" s="78" t="str">
        <f t="array" aca="1" ref="J636" ca="1">IF(H636=1,MATCH(1,(OFFSET(Data!$DY$1:$IB$1,B636-1,0))*(Data!$DY$90:$IB$90=C636),0),"")</f>
        <v/>
      </c>
      <c r="K636" s="78" t="str">
        <f t="array" aca="1" ref="K636" ca="1">IF(H636=1,MATCH(I636,OFFSET(Data!$DX$91:$DX$190,0,Specials!J636)*(Data!$AM$91:$AM$190&gt;Parameter!$B$32)*(Data!$DW$91:$DW$190="M"),0),"")</f>
        <v/>
      </c>
      <c r="L636" s="78" t="str">
        <f ca="1">IF(H636=1,INDEX(Data!$DT$91:$DT$190,$K636)&amp;" / "&amp;OFFSET(Data!$DX$89,0,Specials!J636),"")</f>
        <v/>
      </c>
      <c r="M636" s="78" t="s">
        <v>1</v>
      </c>
      <c r="N636" s="78" t="s">
        <v>255</v>
      </c>
      <c r="O636" s="78" t="e">
        <f t="shared" ca="1" si="40"/>
        <v>#VALUE!</v>
      </c>
      <c r="P636" s="78" t="str">
        <f t="shared" ca="1" si="42"/>
        <v/>
      </c>
    </row>
    <row r="637" spans="1:16" s="78" customFormat="1" hidden="1" x14ac:dyDescent="0.25">
      <c r="A637" s="317" t="str">
        <f>"# Oh dear Men Rating &gt; "&amp;Parameter!$B$32</f>
        <v># Oh dear Men Rating &gt; 850</v>
      </c>
      <c r="B637" s="297">
        <f>MATCH(A637,Data!$DT:$DT,0)</f>
        <v>17</v>
      </c>
      <c r="C637" s="78">
        <f>INDEX(Parameter!$9:$9,,MATCH(21,Parameter!$8:$8,0))</f>
        <v>21</v>
      </c>
      <c r="D637" s="78" t="str">
        <f>INDEX(Parameter!$B$10:$AB$10,MATCH(C637,Parameter!$B$9:$AB$9,0))</f>
        <v>no</v>
      </c>
      <c r="H637" s="78">
        <f ca="1">INDEX(OFFSET(Data!$CS$1:$DS$1,B637-1,0),MATCH("Total/"&amp;C637,Data!$CS$1:$DS$1,0))</f>
        <v>0</v>
      </c>
      <c r="I637" s="78" t="str">
        <f ca="1">IF(H637=1,INDEX(Parameter!$B$10:$AB$10,MATCH(C637,Parameter!$B$9:$AB$9,0))+10,"")</f>
        <v/>
      </c>
      <c r="J637" s="78" t="str">
        <f t="array" aca="1" ref="J637" ca="1">IF(H637=1,MATCH(1,(OFFSET(Data!$DY$1:$IB$1,B637-1,0))*(Data!$DY$90:$IB$90=C637),0),"")</f>
        <v/>
      </c>
      <c r="K637" s="78" t="str">
        <f t="array" aca="1" ref="K637" ca="1">IF(H637=1,MATCH(I637,OFFSET(Data!$DX$91:$DX$190,0,Specials!J637)*(Data!$AM$91:$AM$190&gt;Parameter!$B$32)*(Data!$DW$91:$DW$190="M"),0),"")</f>
        <v/>
      </c>
      <c r="L637" s="78" t="str">
        <f ca="1">IF(H637=1,INDEX(Data!$DT$91:$DT$190,$K637)&amp;" / "&amp;OFFSET(Data!$DX$89,0,Specials!J637),"")</f>
        <v/>
      </c>
      <c r="M637" s="78" t="s">
        <v>1</v>
      </c>
      <c r="N637" s="78" t="s">
        <v>255</v>
      </c>
      <c r="O637" s="78" t="e">
        <f t="shared" ca="1" si="40"/>
        <v>#VALUE!</v>
      </c>
      <c r="P637" s="78" t="str">
        <f t="shared" ca="1" si="42"/>
        <v/>
      </c>
    </row>
    <row r="638" spans="1:16" s="78" customFormat="1" hidden="1" x14ac:dyDescent="0.25">
      <c r="A638" s="317" t="str">
        <f>"# Oh dear Men Rating &gt; "&amp;Parameter!$B$32</f>
        <v># Oh dear Men Rating &gt; 850</v>
      </c>
      <c r="B638" s="297">
        <f>MATCH(A638,Data!$DT:$DT,0)</f>
        <v>17</v>
      </c>
      <c r="C638" s="78">
        <f>INDEX(Parameter!$9:$9,,MATCH(22,Parameter!$8:$8,0))</f>
        <v>22</v>
      </c>
      <c r="D638" s="78" t="str">
        <f>INDEX(Parameter!$B$10:$AB$10,MATCH(C638,Parameter!$B$9:$AB$9,0))</f>
        <v>no</v>
      </c>
      <c r="H638" s="78">
        <f ca="1">INDEX(OFFSET(Data!$CS$1:$DS$1,B638-1,0),MATCH("Total/"&amp;C638,Data!$CS$1:$DS$1,0))</f>
        <v>0</v>
      </c>
      <c r="I638" s="78" t="str">
        <f ca="1">IF(H638=1,INDEX(Parameter!$B$10:$AB$10,MATCH(C638,Parameter!$B$9:$AB$9,0))+10,"")</f>
        <v/>
      </c>
      <c r="J638" s="78" t="str">
        <f t="array" aca="1" ref="J638" ca="1">IF(H638=1,MATCH(1,(OFFSET(Data!$DY$1:$IB$1,B638-1,0))*(Data!$DY$90:$IB$90=C638),0),"")</f>
        <v/>
      </c>
      <c r="K638" s="78" t="str">
        <f t="array" aca="1" ref="K638" ca="1">IF(H638=1,MATCH(I638,OFFSET(Data!$DX$91:$DX$190,0,Specials!J638)*(Data!$AM$91:$AM$190&gt;Parameter!$B$32)*(Data!$DW$91:$DW$190="M"),0),"")</f>
        <v/>
      </c>
      <c r="L638" s="78" t="str">
        <f ca="1">IF(H638=1,INDEX(Data!$DT$91:$DT$190,$K638)&amp;" / "&amp;OFFSET(Data!$DX$89,0,Specials!J638),"")</f>
        <v/>
      </c>
      <c r="M638" s="78" t="s">
        <v>1</v>
      </c>
      <c r="N638" s="78" t="s">
        <v>255</v>
      </c>
      <c r="O638" s="78" t="e">
        <f t="shared" ca="1" si="40"/>
        <v>#VALUE!</v>
      </c>
      <c r="P638" s="78" t="str">
        <f t="shared" ca="1" si="42"/>
        <v/>
      </c>
    </row>
    <row r="639" spans="1:16" s="78" customFormat="1" hidden="1" x14ac:dyDescent="0.25">
      <c r="A639" s="317" t="str">
        <f>"# Oh dear Men Rating &gt; "&amp;Parameter!$B$32</f>
        <v># Oh dear Men Rating &gt; 850</v>
      </c>
      <c r="B639" s="297">
        <f>MATCH(A639,Data!$DT:$DT,0)</f>
        <v>17</v>
      </c>
      <c r="C639" s="78">
        <f>INDEX(Parameter!$9:$9,,MATCH(23,Parameter!$8:$8,0))</f>
        <v>23</v>
      </c>
      <c r="D639" s="78" t="str">
        <f>INDEX(Parameter!$B$10:$AB$10,MATCH(C639,Parameter!$B$9:$AB$9,0))</f>
        <v>no</v>
      </c>
      <c r="H639" s="78">
        <f ca="1">INDEX(OFFSET(Data!$CS$1:$DS$1,B639-1,0),MATCH("Total/"&amp;C639,Data!$CS$1:$DS$1,0))</f>
        <v>0</v>
      </c>
      <c r="I639" s="78" t="str">
        <f ca="1">IF(H639=1,INDEX(Parameter!$B$10:$AB$10,MATCH(C639,Parameter!$B$9:$AB$9,0))+10,"")</f>
        <v/>
      </c>
      <c r="J639" s="78" t="str">
        <f t="array" aca="1" ref="J639" ca="1">IF(H639=1,MATCH(1,(OFFSET(Data!$DY$1:$IB$1,B639-1,0))*(Data!$DY$90:$IB$90=C639),0),"")</f>
        <v/>
      </c>
      <c r="K639" s="78" t="str">
        <f t="array" aca="1" ref="K639" ca="1">IF(H639=1,MATCH(I639,OFFSET(Data!$DX$91:$DX$190,0,Specials!J639)*(Data!$AM$91:$AM$190&gt;Parameter!$B$32)*(Data!$DW$91:$DW$190="M"),0),"")</f>
        <v/>
      </c>
      <c r="L639" s="78" t="str">
        <f ca="1">IF(H639=1,INDEX(Data!$DT$91:$DT$190,$K639)&amp;" / "&amp;OFFSET(Data!$DX$89,0,Specials!J639),"")</f>
        <v/>
      </c>
      <c r="M639" s="78" t="s">
        <v>1</v>
      </c>
      <c r="N639" s="78" t="s">
        <v>255</v>
      </c>
      <c r="O639" s="78" t="e">
        <f t="shared" ca="1" si="40"/>
        <v>#VALUE!</v>
      </c>
      <c r="P639" s="78" t="str">
        <f t="shared" ca="1" si="42"/>
        <v/>
      </c>
    </row>
    <row r="640" spans="1:16" s="78" customFormat="1" hidden="1" x14ac:dyDescent="0.25">
      <c r="A640" s="317" t="str">
        <f>"# Oh dear Men Rating &gt; "&amp;Parameter!$B$32</f>
        <v># Oh dear Men Rating &gt; 850</v>
      </c>
      <c r="B640" s="297">
        <f>MATCH(A640,Data!$DT:$DT,0)</f>
        <v>17</v>
      </c>
      <c r="C640" s="78">
        <f>INDEX(Parameter!$9:$9,,MATCH(24,Parameter!$8:$8,0))</f>
        <v>24</v>
      </c>
      <c r="D640" s="78" t="str">
        <f>INDEX(Parameter!$B$10:$AB$10,MATCH(C640,Parameter!$B$9:$AB$9,0))</f>
        <v>no</v>
      </c>
      <c r="H640" s="78">
        <f ca="1">INDEX(OFFSET(Data!$CS$1:$DS$1,B640-1,0),MATCH("Total/"&amp;C640,Data!$CS$1:$DS$1,0))</f>
        <v>0</v>
      </c>
      <c r="I640" s="78" t="str">
        <f ca="1">IF(H640=1,INDEX(Parameter!$B$10:$AB$10,MATCH(C640,Parameter!$B$9:$AB$9,0))+10,"")</f>
        <v/>
      </c>
      <c r="J640" s="78" t="str">
        <f t="array" aca="1" ref="J640" ca="1">IF(H640=1,MATCH(1,(OFFSET(Data!$DY$1:$IB$1,B640-1,0))*(Data!$DY$90:$IB$90=C640),0),"")</f>
        <v/>
      </c>
      <c r="K640" s="78" t="str">
        <f t="array" aca="1" ref="K640" ca="1">IF(H640=1,MATCH(I640,OFFSET(Data!$DX$91:$DX$190,0,Specials!J640)*(Data!$AM$91:$AM$190&gt;Parameter!$B$32)*(Data!$DW$91:$DW$190="M"),0),"")</f>
        <v/>
      </c>
      <c r="L640" s="78" t="str">
        <f ca="1">IF(H640=1,INDEX(Data!$DT$91:$DT$190,$K640)&amp;" / "&amp;OFFSET(Data!$DX$89,0,Specials!J640),"")</f>
        <v/>
      </c>
      <c r="M640" s="78" t="s">
        <v>1</v>
      </c>
      <c r="N640" s="78" t="s">
        <v>255</v>
      </c>
      <c r="O640" s="78" t="e">
        <f t="shared" ca="1" si="40"/>
        <v>#VALUE!</v>
      </c>
      <c r="P640" s="78" t="str">
        <f t="shared" ca="1" si="42"/>
        <v/>
      </c>
    </row>
    <row r="641" spans="1:16" s="78" customFormat="1" hidden="1" x14ac:dyDescent="0.25">
      <c r="A641" s="317" t="str">
        <f>"# Oh dear Men Rating &gt; "&amp;Parameter!$B$32</f>
        <v># Oh dear Men Rating &gt; 850</v>
      </c>
      <c r="B641" s="297">
        <f>MATCH(A641,Data!$DT:$DT,0)</f>
        <v>17</v>
      </c>
      <c r="C641" s="78">
        <f>INDEX(Parameter!$9:$9,,MATCH(25,Parameter!$8:$8,0))</f>
        <v>25</v>
      </c>
      <c r="D641" s="78" t="str">
        <f>INDEX(Parameter!$B$10:$AB$10,MATCH(C641,Parameter!$B$9:$AB$9,0))</f>
        <v>no</v>
      </c>
      <c r="H641" s="78">
        <f ca="1">INDEX(OFFSET(Data!$CS$1:$DS$1,B641-1,0),MATCH("Total/"&amp;C641,Data!$CS$1:$DS$1,0))</f>
        <v>0</v>
      </c>
      <c r="I641" s="78" t="str">
        <f ca="1">IF(H641=1,INDEX(Parameter!$B$10:$AB$10,MATCH(C641,Parameter!$B$9:$AB$9,0))+10,"")</f>
        <v/>
      </c>
      <c r="J641" s="78" t="str">
        <f t="array" aca="1" ref="J641" ca="1">IF(H641=1,MATCH(1,(OFFSET(Data!$DY$1:$IB$1,B641-1,0))*(Data!$DY$90:$IB$90=C641),0),"")</f>
        <v/>
      </c>
      <c r="K641" s="78" t="str">
        <f t="array" aca="1" ref="K641" ca="1">IF(H641=1,MATCH(I641,OFFSET(Data!$DX$91:$DX$190,0,Specials!J641)*(Data!$AM$91:$AM$190&gt;Parameter!$B$32)*(Data!$DW$91:$DW$190="M"),0),"")</f>
        <v/>
      </c>
      <c r="L641" s="78" t="str">
        <f ca="1">IF(H641=1,INDEX(Data!$DT$91:$DT$190,$K641)&amp;" / "&amp;OFFSET(Data!$DX$89,0,Specials!J641),"")</f>
        <v/>
      </c>
      <c r="M641" s="78" t="s">
        <v>1</v>
      </c>
      <c r="N641" s="78" t="s">
        <v>255</v>
      </c>
      <c r="O641" s="78" t="e">
        <f t="shared" ca="1" si="40"/>
        <v>#VALUE!</v>
      </c>
      <c r="P641" s="78" t="str">
        <f t="shared" ca="1" si="42"/>
        <v/>
      </c>
    </row>
    <row r="642" spans="1:16" s="78" customFormat="1" hidden="1" x14ac:dyDescent="0.25">
      <c r="A642" s="317" t="str">
        <f>"# Oh dear Men Rating &gt; "&amp;Parameter!$B$32</f>
        <v># Oh dear Men Rating &gt; 850</v>
      </c>
      <c r="B642" s="297">
        <f>MATCH(A642,Data!$DT:$DT,0)</f>
        <v>17</v>
      </c>
      <c r="C642" s="78">
        <f>INDEX(Parameter!$9:$9,,MATCH(26,Parameter!$8:$8,0))</f>
        <v>26</v>
      </c>
      <c r="D642" s="78" t="str">
        <f>INDEX(Parameter!$B$10:$AB$10,MATCH(C642,Parameter!$B$9:$AB$9,0))</f>
        <v>no</v>
      </c>
      <c r="H642" s="78">
        <f ca="1">INDEX(OFFSET(Data!$CS$1:$DS$1,B642-1,0),MATCH("Total/"&amp;C642,Data!$CS$1:$DS$1,0))</f>
        <v>0</v>
      </c>
      <c r="I642" s="78" t="str">
        <f ca="1">IF(H642=1,INDEX(Parameter!$B$10:$AB$10,MATCH(C642,Parameter!$B$9:$AB$9,0))+10,"")</f>
        <v/>
      </c>
      <c r="J642" s="78" t="str">
        <f t="array" aca="1" ref="J642" ca="1">IF(H642=1,MATCH(1,(OFFSET(Data!$DY$1:$IB$1,B642-1,0))*(Data!$DY$90:$IB$90=C642),0),"")</f>
        <v/>
      </c>
      <c r="K642" s="78" t="str">
        <f t="array" aca="1" ref="K642" ca="1">IF(H642=1,MATCH(I642,OFFSET(Data!$DX$91:$DX$190,0,Specials!J642)*(Data!$AM$91:$AM$190&gt;Parameter!$B$32)*(Data!$DW$91:$DW$190="M"),0),"")</f>
        <v/>
      </c>
      <c r="L642" s="78" t="str">
        <f ca="1">IF(H642=1,INDEX(Data!$DT$91:$DT$190,$K642)&amp;" / "&amp;OFFSET(Data!$DX$89,0,Specials!J642),"")</f>
        <v/>
      </c>
      <c r="M642" s="78" t="s">
        <v>1</v>
      </c>
      <c r="N642" s="78" t="s">
        <v>255</v>
      </c>
      <c r="O642" s="78" t="e">
        <f t="shared" ca="1" si="40"/>
        <v>#VALUE!</v>
      </c>
      <c r="P642" s="78" t="str">
        <f t="shared" ca="1" si="42"/>
        <v/>
      </c>
    </row>
    <row r="643" spans="1:16" s="78" customFormat="1" hidden="1" x14ac:dyDescent="0.25">
      <c r="A643" s="317" t="str">
        <f>"# Oh dear Men Rating &gt; "&amp;Parameter!$B$32</f>
        <v># Oh dear Men Rating &gt; 850</v>
      </c>
      <c r="B643" s="297">
        <f>MATCH(A643,Data!$DT:$DT,0)</f>
        <v>17</v>
      </c>
      <c r="C643" s="78">
        <f>INDEX(Parameter!$9:$9,,MATCH(27,Parameter!$8:$8,0))</f>
        <v>27</v>
      </c>
      <c r="D643" s="78" t="str">
        <f>INDEX(Parameter!$B$10:$AB$10,MATCH(C643,Parameter!$B$9:$AB$9,0))</f>
        <v>no</v>
      </c>
      <c r="H643" s="78">
        <f ca="1">INDEX(OFFSET(Data!$CS$1:$DS$1,B643-1,0),MATCH("Total/"&amp;C643,Data!$CS$1:$DS$1,0))</f>
        <v>0</v>
      </c>
      <c r="I643" s="78" t="str">
        <f ca="1">IF(H643=1,INDEX(Parameter!$B$10:$AB$10,MATCH(C643,Parameter!$B$9:$AB$9,0))+10,"")</f>
        <v/>
      </c>
      <c r="J643" s="78" t="str">
        <f t="array" aca="1" ref="J643" ca="1">IF(H643=1,MATCH(1,(OFFSET(Data!$DY$1:$IB$1,B643-1,0))*(Data!$DY$90:$IB$90=C643),0),"")</f>
        <v/>
      </c>
      <c r="K643" s="78" t="str">
        <f t="array" aca="1" ref="K643" ca="1">IF(H643=1,MATCH(I643,OFFSET(Data!$DX$91:$DX$190,0,Specials!J643)*(Data!$AM$91:$AM$190&gt;Parameter!$B$32)*(Data!$DW$91:$DW$190="M"),0),"")</f>
        <v/>
      </c>
      <c r="L643" s="78" t="str">
        <f ca="1">IF(H643=1,INDEX(Data!$DT$91:$DT$190,$K643)&amp;" / "&amp;OFFSET(Data!$DX$89,0,Specials!J643),"")</f>
        <v/>
      </c>
      <c r="M643" s="78" t="s">
        <v>1</v>
      </c>
      <c r="N643" s="78" t="s">
        <v>255</v>
      </c>
      <c r="O643" s="78" t="e">
        <f t="shared" ca="1" si="40"/>
        <v>#VALUE!</v>
      </c>
      <c r="P643" s="78" t="str">
        <f ca="1">IF(AND(H643=1,ISERROR(K643)=FALSE),"Only 1 Oh Dear on hole "&amp;C643&amp;" (par "&amp;D643&amp;")","")</f>
        <v/>
      </c>
    </row>
    <row r="644" spans="1:16" s="65" customFormat="1" ht="15" hidden="1" customHeight="1" x14ac:dyDescent="0.25">
      <c r="A644" s="65" t="str">
        <f>"Best/Worst-Difference Men Rating &gt; "&amp;Parameter!$B$32</f>
        <v>Best/Worst-Difference Men Rating &gt; 850</v>
      </c>
      <c r="B644" s="294"/>
      <c r="C644" s="65">
        <f>INDEX(Parameter!$9:$9,,MATCH(1,Parameter!$8:$8,0))</f>
        <v>1</v>
      </c>
      <c r="D644" s="65">
        <f>INDEX(Parameter!$B$10:$AB$10,MATCH(C644,Parameter!$B$9:$AB$9,0))</f>
        <v>3</v>
      </c>
      <c r="E644" s="65">
        <f>COUNTIF(Data!$DY$90:$IB$90,Specials!C644)</f>
        <v>2</v>
      </c>
      <c r="F644" s="65">
        <f ca="1">OFFSET(Data!$CS$91,MATCH("M1",Data!$A$91:$A$190,0)-1,MATCH(C644,Data!$CS$90:$DS$90,0)-1)</f>
        <v>5</v>
      </c>
      <c r="G644" s="65">
        <f t="array" aca="1" ref="G644" ca="1">LARGE(IF((Data!$AM$91:$AM$190&lt;&gt;0)*(Data!$DW$91:$DW$190="M")*(Data!$AM$91:$AM$190&gt;Parameter!$B$32),OFFSET(Data!$CS$91:$CS$190,,MATCH(C644,Data!$CS$90:$DS$90,0)-1)),1)</f>
        <v>9</v>
      </c>
      <c r="H644" s="65">
        <f t="array" aca="1" ref="H644" ca="1">IF(AND(G644&gt;=F644+E644*2,G644&gt;0),SUM(IF((OFFSET(Data!$CS$91:$CS$190,,MATCH(C644,Data!$CS$90:$DS$90,0)-1)=Specials!G644)*(Data!$DW$91:$DW$190="M")*(Data!$AM$91:$AM$190&gt;Parameter!$B$32),1)),0)</f>
        <v>1</v>
      </c>
      <c r="K644" s="65" t="str">
        <f t="array" aca="1" ref="K644" ca="1">IF(H644=1,INDEX(Data!$DT$91:$DT$190,MATCH(G644,(OFFSET(Data!$CS$91:$CS$190,,MATCH(C644,Data!$CS$90:$DS$90,0)-1))*(Data!$DW$91:$DW$190="M")*(Data!$AM$91:$AM$190&gt;Parameter!$B$32),0)),H644&amp;" Players")</f>
        <v>Reinhold Schachner</v>
      </c>
      <c r="L644" s="65" t="str">
        <f ca="1">"Best men took only "&amp;F644&amp;" throws"</f>
        <v>Best men took only 5 throws</v>
      </c>
      <c r="M644" s="65" t="s">
        <v>1</v>
      </c>
      <c r="N644" s="65" t="s">
        <v>255</v>
      </c>
      <c r="O644" s="65" t="e">
        <f t="shared" ref="O644:O707" ca="1" si="43">IF(AND($P644&lt;&gt;"",$N644="yes"),O643+1,O643)</f>
        <v>#VALUE!</v>
      </c>
      <c r="P644" s="65" t="str">
        <f ca="1">IF(H644&gt;0,"On hole "&amp;C644&amp;" (par "&amp;D644&amp;") "&amp;K644&amp;" took "&amp;G644&amp;" throws in total ("&amp;$E644&amp;" rounds)","")</f>
        <v>On hole 1 (par 3) Reinhold Schachner took 9 throws in total (2 rounds)</v>
      </c>
    </row>
    <row r="645" spans="1:16" s="65" customFormat="1" hidden="1" x14ac:dyDescent="0.25">
      <c r="A645" s="65" t="str">
        <f>"Best/Worst-Difference Men Rating &gt; "&amp;Parameter!$B$32</f>
        <v>Best/Worst-Difference Men Rating &gt; 850</v>
      </c>
      <c r="B645" s="294"/>
      <c r="C645" s="65">
        <f>INDEX(Parameter!$9:$9,,MATCH(2,Parameter!$8:$8,0))</f>
        <v>2</v>
      </c>
      <c r="D645" s="65">
        <f>INDEX(Parameter!$B$10:$AB$10,MATCH(C645,Parameter!$B$9:$AB$9,0))</f>
        <v>3</v>
      </c>
      <c r="E645" s="65">
        <f>COUNTIF(Data!$DY$90:$IB$90,Specials!C645)</f>
        <v>2</v>
      </c>
      <c r="F645" s="65">
        <f ca="1">OFFSET(Data!$CS$91,MATCH("M1",Data!$A$91:$A$190,0)-1,MATCH(C645,Data!$CS$90:$DS$90,0)-1)</f>
        <v>6</v>
      </c>
      <c r="G645" s="65">
        <f t="array" aca="1" ref="G645" ca="1">LARGE(IF((Data!$AM$91:$AM$190&lt;&gt;0)*(Data!$DW$91:$DW$190="M")*(Data!$AM$91:$AM$190&gt;Parameter!$B$32),OFFSET(Data!$CS$91:$CS$190,,MATCH(C645,Data!$CS$90:$DS$90,0)-1)),1)</f>
        <v>7</v>
      </c>
      <c r="H645" s="65">
        <f t="array" aca="1" ref="H645" ca="1">IF(AND(G645&gt;=F645+E645*2,G645&gt;0),SUM(IF((OFFSET(Data!$CS$91:$CS$190,,MATCH(C645,Data!$CS$90:$DS$90,0)-1)=Specials!G645)*(Data!$DW$91:$DW$190="M")*(Data!$AM$91:$AM$190&gt;Parameter!$B$32),1)),0)</f>
        <v>0</v>
      </c>
      <c r="K645" s="65" t="str">
        <f t="array" aca="1" ref="K645" ca="1">IF(H645=1,INDEX(Data!$DT$91:$DT$190,MATCH(G645,(OFFSET(Data!$CS$91:$CS$190,,MATCH(C645,Data!$CS$90:$DS$90,0)-1))*(Data!$DW$91:$DW$190="M")*(Data!$AM$91:$AM$190&gt;Parameter!$B$32),0)),H645&amp;" Players")</f>
        <v>0 Players</v>
      </c>
      <c r="L645" s="65" t="str">
        <f t="shared" ref="L645:L670" ca="1" si="44">"Best men took only "&amp;F645&amp;" throws"</f>
        <v>Best men took only 6 throws</v>
      </c>
      <c r="M645" s="65" t="s">
        <v>1</v>
      </c>
      <c r="N645" s="65" t="s">
        <v>255</v>
      </c>
      <c r="O645" s="65" t="e">
        <f t="shared" ca="1" si="43"/>
        <v>#VALUE!</v>
      </c>
      <c r="P645" s="65" t="str">
        <f t="shared" ref="P645:P669" ca="1" si="45">IF(H645&gt;0,"On hole "&amp;C645&amp;" (par "&amp;D645&amp;") "&amp;K645&amp;" took "&amp;G645&amp;" throws in total ("&amp;$E645&amp;" rounds)","")</f>
        <v/>
      </c>
    </row>
    <row r="646" spans="1:16" s="65" customFormat="1" hidden="1" x14ac:dyDescent="0.25">
      <c r="A646" s="65" t="str">
        <f>"Best/Worst-Difference Men Rating &gt; "&amp;Parameter!$B$32</f>
        <v>Best/Worst-Difference Men Rating &gt; 850</v>
      </c>
      <c r="B646" s="294"/>
      <c r="C646" s="65">
        <f>INDEX(Parameter!$9:$9,,MATCH(3,Parameter!$8:$8,0))</f>
        <v>3</v>
      </c>
      <c r="D646" s="65">
        <f>INDEX(Parameter!$B$10:$AB$10,MATCH(C646,Parameter!$B$9:$AB$9,0))</f>
        <v>3</v>
      </c>
      <c r="E646" s="65">
        <f>COUNTIF(Data!$DY$90:$IB$90,Specials!C646)</f>
        <v>2</v>
      </c>
      <c r="F646" s="65">
        <f ca="1">OFFSET(Data!$CS$91,MATCH("M1",Data!$A$91:$A$190,0)-1,MATCH(C646,Data!$CS$90:$DS$90,0)-1)</f>
        <v>5</v>
      </c>
      <c r="G646" s="65">
        <f t="array" aca="1" ref="G646" ca="1">LARGE(IF((Data!$AM$91:$AM$190&lt;&gt;0)*(Data!$DW$91:$DW$190="M")*(Data!$AM$91:$AM$190&gt;Parameter!$B$32),OFFSET(Data!$CS$91:$CS$190,,MATCH(C646,Data!$CS$90:$DS$90,0)-1)),1)</f>
        <v>9</v>
      </c>
      <c r="H646" s="65">
        <f t="array" aca="1" ref="H646" ca="1">IF(AND(G646&gt;=F646+E646*2,G646&gt;0),SUM(IF((OFFSET(Data!$CS$91:$CS$190,,MATCH(C646,Data!$CS$90:$DS$90,0)-1)=Specials!G646)*(Data!$DW$91:$DW$190="M")*(Data!$AM$91:$AM$190&gt;Parameter!$B$32),1)),0)</f>
        <v>1</v>
      </c>
      <c r="K646" s="65" t="str">
        <f t="array" aca="1" ref="K646" ca="1">IF(H646=1,INDEX(Data!$DT$91:$DT$190,MATCH(G646,(OFFSET(Data!$CS$91:$CS$190,,MATCH(C646,Data!$CS$90:$DS$90,0)-1))*(Data!$DW$91:$DW$190="M")*(Data!$AM$91:$AM$190&gt;Parameter!$B$32),0)),H646&amp;" Players")</f>
        <v>Stefan Sonnleitner</v>
      </c>
      <c r="L646" s="65" t="str">
        <f t="shared" ca="1" si="44"/>
        <v>Best men took only 5 throws</v>
      </c>
      <c r="M646" s="65" t="s">
        <v>1</v>
      </c>
      <c r="N646" s="65" t="s">
        <v>255</v>
      </c>
      <c r="O646" s="65" t="e">
        <f t="shared" ca="1" si="43"/>
        <v>#VALUE!</v>
      </c>
      <c r="P646" s="65" t="str">
        <f t="shared" ca="1" si="45"/>
        <v>On hole 3 (par 3) Stefan Sonnleitner took 9 throws in total (2 rounds)</v>
      </c>
    </row>
    <row r="647" spans="1:16" s="65" customFormat="1" x14ac:dyDescent="0.25">
      <c r="A647" s="65" t="s">
        <v>63</v>
      </c>
      <c r="B647" s="294" t="s">
        <v>258</v>
      </c>
      <c r="C647" s="65" t="s">
        <v>258</v>
      </c>
      <c r="D647" s="65" t="s">
        <v>224</v>
      </c>
      <c r="E647" s="65" t="s">
        <v>225</v>
      </c>
      <c r="F647" s="65" t="s">
        <v>225</v>
      </c>
      <c r="G647" s="65" t="s">
        <v>226</v>
      </c>
      <c r="H647" s="65" t="s">
        <v>226</v>
      </c>
      <c r="I647" s="65" t="s">
        <v>58</v>
      </c>
      <c r="J647" s="65" t="s">
        <v>374</v>
      </c>
      <c r="K647" s="65" t="s">
        <v>60</v>
      </c>
      <c r="L647" s="65" t="s">
        <v>102</v>
      </c>
      <c r="M647" s="65" t="s">
        <v>102</v>
      </c>
      <c r="N647" s="65" t="s">
        <v>103</v>
      </c>
      <c r="O647" s="65" t="s">
        <v>103</v>
      </c>
      <c r="P647" s="65" t="s">
        <v>104</v>
      </c>
    </row>
    <row r="648" spans="1:16" s="65" customFormat="1" hidden="1" x14ac:dyDescent="0.25">
      <c r="A648" s="65" t="str">
        <f>"Best/Worst-Difference Men Rating &gt; "&amp;Parameter!$B$32</f>
        <v>Best/Worst-Difference Men Rating &gt; 850</v>
      </c>
      <c r="B648" s="294"/>
      <c r="C648" s="65">
        <f>INDEX(Parameter!$9:$9,,MATCH(5,Parameter!$8:$8,0))</f>
        <v>5</v>
      </c>
      <c r="D648" s="65">
        <f>INDEX(Parameter!$B$10:$AB$10,MATCH(C648,Parameter!$B$9:$AB$9,0))</f>
        <v>4</v>
      </c>
      <c r="E648" s="65">
        <f>COUNTIF(Data!$DY$90:$IB$90,Specials!C648)</f>
        <v>2</v>
      </c>
      <c r="F648" s="65">
        <f ca="1">OFFSET(Data!$CS$91,MATCH("M1",Data!$A$91:$A$190,0)-1,MATCH(C648,Data!$CS$90:$DS$90,0)-1)</f>
        <v>6</v>
      </c>
      <c r="G648" s="65">
        <f t="array" aca="1" ref="G648" ca="1">LARGE(IF((Data!$AM$91:$AM$190&lt;&gt;0)*(Data!$DW$91:$DW$190="M")*(Data!$AM$91:$AM$190&gt;Parameter!$B$32),OFFSET(Data!$CS$91:$CS$190,,MATCH(C648,Data!$CS$90:$DS$90,0)-1)),1)</f>
        <v>10</v>
      </c>
      <c r="H648" s="65">
        <f t="array" aca="1" ref="H648" ca="1">IF(AND(G648&gt;=F648+E648*2,G648&gt;0),SUM(IF((OFFSET(Data!$CS$91:$CS$190,,MATCH(C648,Data!$CS$90:$DS$90,0)-1)=Specials!G648)*(Data!$DW$91:$DW$190="M")*(Data!$AM$91:$AM$190&gt;Parameter!$B$32),1)),0)</f>
        <v>2</v>
      </c>
      <c r="K648" s="65" t="str">
        <f t="array" aca="1" ref="K648" ca="1">IF(H648=1,INDEX(Data!$DT$91:$DT$190,MATCH(G648,(OFFSET(Data!$CS$91:$CS$190,,MATCH(C648,Data!$CS$90:$DS$90,0)-1))*(Data!$DW$91:$DW$190="M")*(Data!$AM$91:$AM$190&gt;Parameter!$B$32),0)),H648&amp;" Players")</f>
        <v>2 Players</v>
      </c>
      <c r="L648" s="65" t="str">
        <f t="shared" ca="1" si="44"/>
        <v>Best men took only 6 throws</v>
      </c>
      <c r="M648" s="65" t="s">
        <v>1</v>
      </c>
      <c r="N648" s="65" t="s">
        <v>255</v>
      </c>
      <c r="O648" s="65" t="e">
        <f t="shared" ca="1" si="43"/>
        <v>#VALUE!</v>
      </c>
      <c r="P648" s="65" t="str">
        <f t="shared" ca="1" si="45"/>
        <v>On hole 5 (par 4) 2 Players took 10 throws in total (2 rounds)</v>
      </c>
    </row>
    <row r="649" spans="1:16" s="65" customFormat="1" hidden="1" x14ac:dyDescent="0.25">
      <c r="A649" s="65" t="str">
        <f>"Best/Worst-Difference Men Rating &gt; "&amp;Parameter!$B$32</f>
        <v>Best/Worst-Difference Men Rating &gt; 850</v>
      </c>
      <c r="B649" s="294"/>
      <c r="C649" s="65">
        <f>INDEX(Parameter!$9:$9,,MATCH(6,Parameter!$8:$8,0))</f>
        <v>6</v>
      </c>
      <c r="D649" s="65">
        <f>INDEX(Parameter!$B$10:$AB$10,MATCH(C649,Parameter!$B$9:$AB$9,0))</f>
        <v>3</v>
      </c>
      <c r="E649" s="65">
        <f>COUNTIF(Data!$DY$90:$IB$90,Specials!C649)</f>
        <v>2</v>
      </c>
      <c r="F649" s="65">
        <f ca="1">OFFSET(Data!$CS$91,MATCH("M1",Data!$A$91:$A$190,0)-1,MATCH(C649,Data!$CS$90:$DS$90,0)-1)</f>
        <v>5</v>
      </c>
      <c r="G649" s="65">
        <f t="array" aca="1" ref="G649" ca="1">LARGE(IF((Data!$AM$91:$AM$190&lt;&gt;0)*(Data!$DW$91:$DW$190="M")*(Data!$AM$91:$AM$190&gt;Parameter!$B$32),OFFSET(Data!$CS$91:$CS$190,,MATCH(C649,Data!$CS$90:$DS$90,0)-1)),1)</f>
        <v>9</v>
      </c>
      <c r="H649" s="65">
        <f t="array" aca="1" ref="H649" ca="1">IF(AND(G649&gt;=F649+E649*2,G649&gt;0),SUM(IF((OFFSET(Data!$CS$91:$CS$190,,MATCH(C649,Data!$CS$90:$DS$90,0)-1)=Specials!G649)*(Data!$DW$91:$DW$190="M")*(Data!$AM$91:$AM$190&gt;Parameter!$B$32),1)),0)</f>
        <v>1</v>
      </c>
      <c r="K649" s="65" t="str">
        <f t="array" aca="1" ref="K649" ca="1">IF(H649=1,INDEX(Data!$DT$91:$DT$190,MATCH(G649,(OFFSET(Data!$CS$91:$CS$190,,MATCH(C649,Data!$CS$90:$DS$90,0)-1))*(Data!$DW$91:$DW$190="M")*(Data!$AM$91:$AM$190&gt;Parameter!$B$32),0)),H649&amp;" Players")</f>
        <v>Tamás Kovács</v>
      </c>
      <c r="L649" s="65" t="str">
        <f t="shared" ca="1" si="44"/>
        <v>Best men took only 5 throws</v>
      </c>
      <c r="M649" s="65" t="s">
        <v>1</v>
      </c>
      <c r="N649" s="65" t="s">
        <v>255</v>
      </c>
      <c r="O649" s="65" t="e">
        <f t="shared" ca="1" si="43"/>
        <v>#VALUE!</v>
      </c>
      <c r="P649" s="65" t="str">
        <f t="shared" ca="1" si="45"/>
        <v>On hole 6 (par 3) Tamás Kovács took 9 throws in total (2 rounds)</v>
      </c>
    </row>
    <row r="650" spans="1:16" s="65" customFormat="1" hidden="1" x14ac:dyDescent="0.25">
      <c r="A650" s="65" t="str">
        <f>"Best/Worst-Difference Men Rating &gt; "&amp;Parameter!$B$32</f>
        <v>Best/Worst-Difference Men Rating &gt; 850</v>
      </c>
      <c r="B650" s="294"/>
      <c r="C650" s="65">
        <f>INDEX(Parameter!$9:$9,,MATCH(7,Parameter!$8:$8,0))</f>
        <v>7</v>
      </c>
      <c r="D650" s="65">
        <f>INDEX(Parameter!$B$10:$AB$10,MATCH(C650,Parameter!$B$9:$AB$9,0))</f>
        <v>3</v>
      </c>
      <c r="E650" s="65">
        <f>COUNTIF(Data!$DY$90:$IB$90,Specials!C650)</f>
        <v>2</v>
      </c>
      <c r="F650" s="65">
        <f ca="1">OFFSET(Data!$CS$91,MATCH("M1",Data!$A$91:$A$190,0)-1,MATCH(C650,Data!$CS$90:$DS$90,0)-1)</f>
        <v>6</v>
      </c>
      <c r="G650" s="65">
        <f t="array" aca="1" ref="G650" ca="1">LARGE(IF((Data!$AM$91:$AM$190&lt;&gt;0)*(Data!$DW$91:$DW$190="M")*(Data!$AM$91:$AM$190&gt;Parameter!$B$32),OFFSET(Data!$CS$91:$CS$190,,MATCH(C650,Data!$CS$90:$DS$90,0)-1)),1)</f>
        <v>8</v>
      </c>
      <c r="H650" s="65">
        <f t="array" aca="1" ref="H650" ca="1">IF(AND(G650&gt;=F650+E650*2,G650&gt;0),SUM(IF((OFFSET(Data!$CS$91:$CS$190,,MATCH(C650,Data!$CS$90:$DS$90,0)-1)=Specials!G650)*(Data!$DW$91:$DW$190="M")*(Data!$AM$91:$AM$190&gt;Parameter!$B$32),1)),0)</f>
        <v>0</v>
      </c>
      <c r="K650" s="65" t="str">
        <f t="array" aca="1" ref="K650" ca="1">IF(H650=1,INDEX(Data!$DT$91:$DT$190,MATCH(G650,(OFFSET(Data!$CS$91:$CS$190,,MATCH(C650,Data!$CS$90:$DS$90,0)-1))*(Data!$DW$91:$DW$190="M")*(Data!$AM$91:$AM$190&gt;Parameter!$B$32),0)),H650&amp;" Players")</f>
        <v>0 Players</v>
      </c>
      <c r="L650" s="65" t="str">
        <f t="shared" ca="1" si="44"/>
        <v>Best men took only 6 throws</v>
      </c>
      <c r="M650" s="65" t="s">
        <v>1</v>
      </c>
      <c r="N650" s="65" t="s">
        <v>255</v>
      </c>
      <c r="O650" s="65" t="e">
        <f t="shared" ca="1" si="43"/>
        <v>#VALUE!</v>
      </c>
      <c r="P650" s="65" t="str">
        <f t="shared" ca="1" si="45"/>
        <v/>
      </c>
    </row>
    <row r="651" spans="1:16" s="65" customFormat="1" hidden="1" x14ac:dyDescent="0.25">
      <c r="A651" s="65" t="str">
        <f>"Best/Worst-Difference Men Rating &gt; "&amp;Parameter!$B$32</f>
        <v>Best/Worst-Difference Men Rating &gt; 850</v>
      </c>
      <c r="B651" s="294"/>
      <c r="C651" s="65">
        <f>INDEX(Parameter!$9:$9,,MATCH(8,Parameter!$8:$8,0))</f>
        <v>8</v>
      </c>
      <c r="D651" s="65">
        <f>INDEX(Parameter!$B$10:$AB$10,MATCH(C651,Parameter!$B$9:$AB$9,0))</f>
        <v>3</v>
      </c>
      <c r="E651" s="65">
        <f>COUNTIF(Data!$DY$90:$IB$90,Specials!C651)</f>
        <v>2</v>
      </c>
      <c r="F651" s="65">
        <f ca="1">OFFSET(Data!$CS$91,MATCH("M1",Data!$A$91:$A$190,0)-1,MATCH(C651,Data!$CS$90:$DS$90,0)-1)</f>
        <v>5</v>
      </c>
      <c r="G651" s="65">
        <f t="array" aca="1" ref="G651" ca="1">LARGE(IF((Data!$AM$91:$AM$190&lt;&gt;0)*(Data!$DW$91:$DW$190="M")*(Data!$AM$91:$AM$190&gt;Parameter!$B$32),OFFSET(Data!$CS$91:$CS$190,,MATCH(C651,Data!$CS$90:$DS$90,0)-1)),1)</f>
        <v>7</v>
      </c>
      <c r="H651" s="65">
        <f t="array" aca="1" ref="H651" ca="1">IF(AND(G651&gt;=F651+E651*2,G651&gt;0),SUM(IF((OFFSET(Data!$CS$91:$CS$190,,MATCH(C651,Data!$CS$90:$DS$90,0)-1)=Specials!G651)*(Data!$DW$91:$DW$190="M")*(Data!$AM$91:$AM$190&gt;Parameter!$B$32),1)),0)</f>
        <v>0</v>
      </c>
      <c r="K651" s="65" t="str">
        <f t="array" aca="1" ref="K651" ca="1">IF(H651=1,INDEX(Data!$DT$91:$DT$190,MATCH(G651,(OFFSET(Data!$CS$91:$CS$190,,MATCH(C651,Data!$CS$90:$DS$90,0)-1))*(Data!$DW$91:$DW$190="M")*(Data!$AM$91:$AM$190&gt;Parameter!$B$32),0)),H651&amp;" Players")</f>
        <v>0 Players</v>
      </c>
      <c r="L651" s="65" t="str">
        <f t="shared" ca="1" si="44"/>
        <v>Best men took only 5 throws</v>
      </c>
      <c r="M651" s="65" t="s">
        <v>1</v>
      </c>
      <c r="N651" s="65" t="s">
        <v>255</v>
      </c>
      <c r="O651" s="65" t="e">
        <f t="shared" ca="1" si="43"/>
        <v>#VALUE!</v>
      </c>
      <c r="P651" s="65" t="str">
        <f t="shared" ca="1" si="45"/>
        <v/>
      </c>
    </row>
    <row r="652" spans="1:16" s="65" customFormat="1" x14ac:dyDescent="0.25">
      <c r="A652" s="65" t="s">
        <v>63</v>
      </c>
      <c r="B652" s="294" t="s">
        <v>240</v>
      </c>
      <c r="C652" s="65" t="s">
        <v>36</v>
      </c>
      <c r="D652" s="65" t="s">
        <v>241</v>
      </c>
      <c r="E652" s="65" t="s">
        <v>242</v>
      </c>
      <c r="F652" s="65" t="s">
        <v>243</v>
      </c>
      <c r="G652" s="65" t="s">
        <v>244</v>
      </c>
      <c r="H652" s="65" t="s">
        <v>245</v>
      </c>
      <c r="I652" s="65" t="s">
        <v>246</v>
      </c>
      <c r="J652" s="65" t="s">
        <v>247</v>
      </c>
      <c r="L652" s="65" t="s">
        <v>248</v>
      </c>
      <c r="M652" s="65" t="s">
        <v>249</v>
      </c>
      <c r="N652" s="65" t="s">
        <v>250</v>
      </c>
      <c r="O652" s="65" t="s">
        <v>251</v>
      </c>
      <c r="P652" s="65" t="s">
        <v>252</v>
      </c>
    </row>
    <row r="653" spans="1:16" s="65" customFormat="1" hidden="1" x14ac:dyDescent="0.25">
      <c r="A653" s="65" t="str">
        <f>"Best/Worst-Difference Men Rating &gt; "&amp;Parameter!$B$32</f>
        <v>Best/Worst-Difference Men Rating &gt; 850</v>
      </c>
      <c r="B653" s="294"/>
      <c r="C653" s="65">
        <f>INDEX(Parameter!$9:$9,,MATCH(10,Parameter!$8:$8,0))</f>
        <v>10</v>
      </c>
      <c r="D653" s="65">
        <f>INDEX(Parameter!$B$10:$AB$10,MATCH(C653,Parameter!$B$9:$AB$9,0))</f>
        <v>4</v>
      </c>
      <c r="E653" s="65">
        <f>COUNTIF(Data!$DY$90:$IB$90,Specials!C653)</f>
        <v>2</v>
      </c>
      <c r="F653" s="65">
        <f ca="1">OFFSET(Data!$CS$91,MATCH("M1",Data!$A$91:$A$190,0)-1,MATCH(C653,Data!$CS$90:$DS$90,0)-1)</f>
        <v>7</v>
      </c>
      <c r="G653" s="65">
        <f t="array" aca="1" ref="G653" ca="1">LARGE(IF((Data!$AM$91:$AM$190&lt;&gt;0)*(Data!$DW$91:$DW$190="M")*(Data!$AM$91:$AM$190&gt;Parameter!$B$32),OFFSET(Data!$CS$91:$CS$190,,MATCH(C653,Data!$CS$90:$DS$90,0)-1)),1)</f>
        <v>11</v>
      </c>
      <c r="H653" s="65">
        <f t="array" aca="1" ref="H653" ca="1">IF(AND(G653&gt;=F653+E653*2,G653&gt;0),SUM(IF((OFFSET(Data!$CS$91:$CS$190,,MATCH(C653,Data!$CS$90:$DS$90,0)-1)=Specials!G653)*(Data!$DW$91:$DW$190="M")*(Data!$AM$91:$AM$190&gt;Parameter!$B$32),1)),0)</f>
        <v>1</v>
      </c>
      <c r="K653" s="65" t="str">
        <f t="array" aca="1" ref="K653" ca="1">IF(H653=1,INDEX(Data!$DT$91:$DT$190,MATCH(G653,(OFFSET(Data!$CS$91:$CS$190,,MATCH(C653,Data!$CS$90:$DS$90,0)-1))*(Data!$DW$91:$DW$190="M")*(Data!$AM$91:$AM$190&gt;Parameter!$B$32),0)),H653&amp;" Players")</f>
        <v>Dani Hatvani</v>
      </c>
      <c r="L653" s="65" t="str">
        <f t="shared" ca="1" si="44"/>
        <v>Best men took only 7 throws</v>
      </c>
      <c r="M653" s="65" t="s">
        <v>1</v>
      </c>
      <c r="N653" s="65" t="s">
        <v>255</v>
      </c>
      <c r="O653" s="65" t="e">
        <f t="shared" ca="1" si="43"/>
        <v>#VALUE!</v>
      </c>
      <c r="P653" s="65" t="str">
        <f t="shared" ca="1" si="45"/>
        <v>On hole 10 (par 4) Dani Hatvani took 11 throws in total (2 rounds)</v>
      </c>
    </row>
    <row r="654" spans="1:16" s="65" customFormat="1" hidden="1" x14ac:dyDescent="0.25">
      <c r="A654" s="65" t="str">
        <f>"Best/Worst-Difference Men Rating &gt; "&amp;Parameter!$B$32</f>
        <v>Best/Worst-Difference Men Rating &gt; 850</v>
      </c>
      <c r="B654" s="294"/>
      <c r="C654" s="65">
        <f>INDEX(Parameter!$9:$9,,MATCH(11,Parameter!$8:$8,0))</f>
        <v>11</v>
      </c>
      <c r="D654" s="65">
        <f>INDEX(Parameter!$B$10:$AB$10,MATCH(C654,Parameter!$B$9:$AB$9,0))</f>
        <v>4</v>
      </c>
      <c r="E654" s="65">
        <f>COUNTIF(Data!$DY$90:$IB$90,Specials!C654)</f>
        <v>2</v>
      </c>
      <c r="F654" s="65">
        <f ca="1">OFFSET(Data!$CS$91,MATCH("M1",Data!$A$91:$A$190,0)-1,MATCH(C654,Data!$CS$90:$DS$90,0)-1)</f>
        <v>9</v>
      </c>
      <c r="G654" s="65">
        <f t="array" aca="1" ref="G654" ca="1">LARGE(IF((Data!$AM$91:$AM$190&lt;&gt;0)*(Data!$DW$91:$DW$190="M")*(Data!$AM$91:$AM$190&gt;Parameter!$B$32),OFFSET(Data!$CS$91:$CS$190,,MATCH(C654,Data!$CS$90:$DS$90,0)-1)),1)</f>
        <v>13</v>
      </c>
      <c r="H654" s="65">
        <f t="array" aca="1" ref="H654" ca="1">IF(AND(G654&gt;=F654+E654*2,G654&gt;0),SUM(IF((OFFSET(Data!$CS$91:$CS$190,,MATCH(C654,Data!$CS$90:$DS$90,0)-1)=Specials!G654)*(Data!$DW$91:$DW$190="M")*(Data!$AM$91:$AM$190&gt;Parameter!$B$32),1)),0)</f>
        <v>1</v>
      </c>
      <c r="K654" s="65" t="str">
        <f t="array" aca="1" ref="K654" ca="1">IF(H654=1,INDEX(Data!$DT$91:$DT$190,MATCH(G654,(OFFSET(Data!$CS$91:$CS$190,,MATCH(C654,Data!$CS$90:$DS$90,0)-1))*(Data!$DW$91:$DW$190="M")*(Data!$AM$91:$AM$190&gt;Parameter!$B$32),0)),H654&amp;" Players")</f>
        <v>Jakob Gusenbauer</v>
      </c>
      <c r="L654" s="65" t="str">
        <f t="shared" ca="1" si="44"/>
        <v>Best men took only 9 throws</v>
      </c>
      <c r="M654" s="65" t="s">
        <v>1</v>
      </c>
      <c r="N654" s="65" t="s">
        <v>255</v>
      </c>
      <c r="O654" s="65" t="e">
        <f t="shared" ca="1" si="43"/>
        <v>#VALUE!</v>
      </c>
      <c r="P654" s="65" t="str">
        <f t="shared" ca="1" si="45"/>
        <v>On hole 11 (par 4) Jakob Gusenbauer took 13 throws in total (2 rounds)</v>
      </c>
    </row>
    <row r="655" spans="1:16" s="65" customFormat="1" hidden="1" x14ac:dyDescent="0.25">
      <c r="A655" s="65" t="str">
        <f>"Best/Worst-Difference Men Rating &gt; "&amp;Parameter!$B$32</f>
        <v>Best/Worst-Difference Men Rating &gt; 850</v>
      </c>
      <c r="B655" s="294"/>
      <c r="C655" s="65" t="str">
        <f>INDEX(Parameter!$9:$9,,MATCH(12,Parameter!$8:$8,0))</f>
        <v>11b</v>
      </c>
      <c r="D655" s="65">
        <f>INDEX(Parameter!$B$10:$AB$10,MATCH(C655,Parameter!$B$9:$AB$9,0))</f>
        <v>3</v>
      </c>
      <c r="E655" s="65">
        <f>COUNTIF(Data!$DY$90:$IB$90,Specials!C655)</f>
        <v>2</v>
      </c>
      <c r="F655" s="65">
        <f ca="1">OFFSET(Data!$CS$91,MATCH("M1",Data!$A$91:$A$190,0)-1,MATCH(C655,Data!$CS$90:$DS$90,0)-1)</f>
        <v>5</v>
      </c>
      <c r="G655" s="65">
        <f t="array" aca="1" ref="G655" ca="1">LARGE(IF((Data!$AM$91:$AM$190&lt;&gt;0)*(Data!$DW$91:$DW$190="M")*(Data!$AM$91:$AM$190&gt;Parameter!$B$32),OFFSET(Data!$CS$91:$CS$190,,MATCH(C655,Data!$CS$90:$DS$90,0)-1)),1)</f>
        <v>9</v>
      </c>
      <c r="H655" s="65">
        <f t="array" aca="1" ref="H655" ca="1">IF(AND(G655&gt;=F655+E655*2,G655&gt;0),SUM(IF((OFFSET(Data!$CS$91:$CS$190,,MATCH(C655,Data!$CS$90:$DS$90,0)-1)=Specials!G655)*(Data!$DW$91:$DW$190="M")*(Data!$AM$91:$AM$190&gt;Parameter!$B$32),1)),0)</f>
        <v>3</v>
      </c>
      <c r="K655" s="65" t="str">
        <f t="array" aca="1" ref="K655" ca="1">IF(H655=1,INDEX(Data!$DT$91:$DT$190,MATCH(G655,(OFFSET(Data!$CS$91:$CS$190,,MATCH(C655,Data!$CS$90:$DS$90,0)-1))*(Data!$DW$91:$DW$190="M")*(Data!$AM$91:$AM$190&gt;Parameter!$B$32),0)),H655&amp;" Players")</f>
        <v>3 Players</v>
      </c>
      <c r="L655" s="65" t="str">
        <f t="shared" ca="1" si="44"/>
        <v>Best men took only 5 throws</v>
      </c>
      <c r="M655" s="65" t="s">
        <v>1</v>
      </c>
      <c r="N655" s="65" t="s">
        <v>255</v>
      </c>
      <c r="O655" s="65" t="e">
        <f t="shared" ca="1" si="43"/>
        <v>#VALUE!</v>
      </c>
      <c r="P655" s="65" t="str">
        <f t="shared" ca="1" si="45"/>
        <v>On hole 11b (par 3) 3 Players took 9 throws in total (2 rounds)</v>
      </c>
    </row>
    <row r="656" spans="1:16" s="65" customFormat="1" hidden="1" x14ac:dyDescent="0.25">
      <c r="A656" s="65" t="str">
        <f>"Best/Worst-Difference Men Rating &gt; "&amp;Parameter!$B$32</f>
        <v>Best/Worst-Difference Men Rating &gt; 850</v>
      </c>
      <c r="B656" s="294"/>
      <c r="C656" s="65">
        <f>INDEX(Parameter!$9:$9,,MATCH(13,Parameter!$8:$8,0))</f>
        <v>12</v>
      </c>
      <c r="D656" s="65">
        <f>INDEX(Parameter!$B$10:$AB$10,MATCH(C656,Parameter!$B$9:$AB$9,0))</f>
        <v>3</v>
      </c>
      <c r="E656" s="65">
        <f>COUNTIF(Data!$DY$90:$IB$90,Specials!C656)</f>
        <v>2</v>
      </c>
      <c r="F656" s="65">
        <f ca="1">OFFSET(Data!$CS$91,MATCH("M1",Data!$A$91:$A$190,0)-1,MATCH(C656,Data!$CS$90:$DS$90,0)-1)</f>
        <v>5</v>
      </c>
      <c r="G656" s="65">
        <f t="array" aca="1" ref="G656" ca="1">LARGE(IF((Data!$AM$91:$AM$190&lt;&gt;0)*(Data!$DW$91:$DW$190="M")*(Data!$AM$91:$AM$190&gt;Parameter!$B$32),OFFSET(Data!$CS$91:$CS$190,,MATCH(C656,Data!$CS$90:$DS$90,0)-1)),1)</f>
        <v>9</v>
      </c>
      <c r="H656" s="65">
        <f t="array" aca="1" ref="H656" ca="1">IF(AND(G656&gt;=F656+E656*2,G656&gt;0),SUM(IF((OFFSET(Data!$CS$91:$CS$190,,MATCH(C656,Data!$CS$90:$DS$90,0)-1)=Specials!G656)*(Data!$DW$91:$DW$190="M")*(Data!$AM$91:$AM$190&gt;Parameter!$B$32),1)),0)</f>
        <v>2</v>
      </c>
      <c r="K656" s="65" t="str">
        <f t="array" aca="1" ref="K656" ca="1">IF(H656=1,INDEX(Data!$DT$91:$DT$190,MATCH(G656,(OFFSET(Data!$CS$91:$CS$190,,MATCH(C656,Data!$CS$90:$DS$90,0)-1))*(Data!$DW$91:$DW$190="M")*(Data!$AM$91:$AM$190&gt;Parameter!$B$32),0)),H656&amp;" Players")</f>
        <v>2 Players</v>
      </c>
      <c r="L656" s="65" t="str">
        <f t="shared" ca="1" si="44"/>
        <v>Best men took only 5 throws</v>
      </c>
      <c r="M656" s="65" t="s">
        <v>1</v>
      </c>
      <c r="N656" s="65" t="s">
        <v>255</v>
      </c>
      <c r="O656" s="65" t="e">
        <f t="shared" ca="1" si="43"/>
        <v>#VALUE!</v>
      </c>
      <c r="P656" s="65" t="str">
        <f t="shared" ca="1" si="45"/>
        <v>On hole 12 (par 3) 2 Players took 9 throws in total (2 rounds)</v>
      </c>
    </row>
    <row r="657" spans="1:16" s="65" customFormat="1" hidden="1" x14ac:dyDescent="0.25">
      <c r="A657" s="65" t="str">
        <f>"Best/Worst-Difference Men Rating &gt; "&amp;Parameter!$B$32</f>
        <v>Best/Worst-Difference Men Rating &gt; 850</v>
      </c>
      <c r="B657" s="294"/>
      <c r="C657" s="65">
        <f>INDEX(Parameter!$9:$9,,MATCH(14,Parameter!$8:$8,0))</f>
        <v>13</v>
      </c>
      <c r="D657" s="65">
        <f>INDEX(Parameter!$B$10:$AB$10,MATCH(C657,Parameter!$B$9:$AB$9,0))</f>
        <v>3</v>
      </c>
      <c r="E657" s="65">
        <f>COUNTIF(Data!$DY$90:$IB$90,Specials!C657)</f>
        <v>2</v>
      </c>
      <c r="F657" s="65">
        <f ca="1">OFFSET(Data!$CS$91,MATCH("M1",Data!$A$91:$A$190,0)-1,MATCH(C657,Data!$CS$90:$DS$90,0)-1)</f>
        <v>6</v>
      </c>
      <c r="G657" s="65">
        <f t="array" aca="1" ref="G657" ca="1">LARGE(IF((Data!$AM$91:$AM$190&lt;&gt;0)*(Data!$DW$91:$DW$190="M")*(Data!$AM$91:$AM$190&gt;Parameter!$B$32),OFFSET(Data!$CS$91:$CS$190,,MATCH(C657,Data!$CS$90:$DS$90,0)-1)),1)</f>
        <v>8</v>
      </c>
      <c r="H657" s="65">
        <f t="array" aca="1" ref="H657" ca="1">IF(AND(G657&gt;=F657+E657*2,G657&gt;0),SUM(IF((OFFSET(Data!$CS$91:$CS$190,,MATCH(C657,Data!$CS$90:$DS$90,0)-1)=Specials!G657)*(Data!$DW$91:$DW$190="M")*(Data!$AM$91:$AM$190&gt;Parameter!$B$32),1)),0)</f>
        <v>0</v>
      </c>
      <c r="K657" s="65" t="str">
        <f t="array" aca="1" ref="K657" ca="1">IF(H657=1,INDEX(Data!$DT$91:$DT$190,MATCH(G657,(OFFSET(Data!$CS$91:$CS$190,,MATCH(C657,Data!$CS$90:$DS$90,0)-1))*(Data!$DW$91:$DW$190="M")*(Data!$AM$91:$AM$190&gt;Parameter!$B$32),0)),H657&amp;" Players")</f>
        <v>0 Players</v>
      </c>
      <c r="L657" s="65" t="str">
        <f t="shared" ca="1" si="44"/>
        <v>Best men took only 6 throws</v>
      </c>
      <c r="M657" s="65" t="s">
        <v>1</v>
      </c>
      <c r="N657" s="65" t="s">
        <v>255</v>
      </c>
      <c r="O657" s="65" t="e">
        <f t="shared" ca="1" si="43"/>
        <v>#VALUE!</v>
      </c>
      <c r="P657" s="65" t="str">
        <f t="shared" ca="1" si="45"/>
        <v/>
      </c>
    </row>
    <row r="658" spans="1:16" s="65" customFormat="1" hidden="1" x14ac:dyDescent="0.25">
      <c r="A658" s="65" t="str">
        <f>"Best/Worst-Difference Men Rating &gt; "&amp;Parameter!$B$32</f>
        <v>Best/Worst-Difference Men Rating &gt; 850</v>
      </c>
      <c r="B658" s="294"/>
      <c r="C658" s="65">
        <f>INDEX(Parameter!$9:$9,,MATCH(15,Parameter!$8:$8,0))</f>
        <v>14</v>
      </c>
      <c r="D658" s="65">
        <f>INDEX(Parameter!$B$10:$AB$10,MATCH(C658,Parameter!$B$9:$AB$9,0))</f>
        <v>3</v>
      </c>
      <c r="E658" s="65">
        <f>COUNTIF(Data!$DY$90:$IB$90,Specials!C658)</f>
        <v>2</v>
      </c>
      <c r="F658" s="65">
        <f ca="1">OFFSET(Data!$CS$91,MATCH("M1",Data!$A$91:$A$190,0)-1,MATCH(C658,Data!$CS$90:$DS$90,0)-1)</f>
        <v>7</v>
      </c>
      <c r="G658" s="65">
        <f t="array" aca="1" ref="G658" ca="1">LARGE(IF((Data!$AM$91:$AM$190&lt;&gt;0)*(Data!$DW$91:$DW$190="M")*(Data!$AM$91:$AM$190&gt;Parameter!$B$32),OFFSET(Data!$CS$91:$CS$190,,MATCH(C658,Data!$CS$90:$DS$90,0)-1)),1)</f>
        <v>10</v>
      </c>
      <c r="H658" s="65">
        <f t="array" aca="1" ref="H658" ca="1">IF(AND(G658&gt;=F658+E658*2,G658&gt;0),SUM(IF((OFFSET(Data!$CS$91:$CS$190,,MATCH(C658,Data!$CS$90:$DS$90,0)-1)=Specials!G658)*(Data!$DW$91:$DW$190="M")*(Data!$AM$91:$AM$190&gt;Parameter!$B$32),1)),0)</f>
        <v>0</v>
      </c>
      <c r="K658" s="65" t="str">
        <f t="array" aca="1" ref="K658" ca="1">IF(H658=1,INDEX(Data!$DT$91:$DT$190,MATCH(G658,(OFFSET(Data!$CS$91:$CS$190,,MATCH(C658,Data!$CS$90:$DS$90,0)-1))*(Data!$DW$91:$DW$190="M")*(Data!$AM$91:$AM$190&gt;Parameter!$B$32),0)),H658&amp;" Players")</f>
        <v>0 Players</v>
      </c>
      <c r="L658" s="65" t="str">
        <f t="shared" ca="1" si="44"/>
        <v>Best men took only 7 throws</v>
      </c>
      <c r="M658" s="65" t="s">
        <v>1</v>
      </c>
      <c r="N658" s="65" t="s">
        <v>255</v>
      </c>
      <c r="O658" s="65" t="e">
        <f t="shared" ca="1" si="43"/>
        <v>#VALUE!</v>
      </c>
      <c r="P658" s="65" t="str">
        <f t="shared" ca="1" si="45"/>
        <v/>
      </c>
    </row>
    <row r="659" spans="1:16" s="65" customFormat="1" x14ac:dyDescent="0.25">
      <c r="A659" s="65" t="s">
        <v>63</v>
      </c>
      <c r="B659" s="294" t="s">
        <v>258</v>
      </c>
      <c r="C659" s="65" t="s">
        <v>258</v>
      </c>
      <c r="D659" s="65" t="s">
        <v>224</v>
      </c>
      <c r="E659" s="65" t="s">
        <v>225</v>
      </c>
      <c r="F659" s="65" t="s">
        <v>225</v>
      </c>
      <c r="G659" s="65" t="s">
        <v>226</v>
      </c>
      <c r="H659" s="65" t="s">
        <v>226</v>
      </c>
      <c r="I659" s="65" t="s">
        <v>58</v>
      </c>
      <c r="J659" s="65" t="s">
        <v>374</v>
      </c>
      <c r="K659" s="65" t="s">
        <v>60</v>
      </c>
      <c r="L659" s="65" t="s">
        <v>102</v>
      </c>
      <c r="M659" s="65" t="s">
        <v>102</v>
      </c>
      <c r="N659" s="65" t="s">
        <v>103</v>
      </c>
      <c r="O659" s="65" t="s">
        <v>103</v>
      </c>
      <c r="P659" s="65" t="s">
        <v>104</v>
      </c>
    </row>
    <row r="660" spans="1:16" s="65" customFormat="1" hidden="1" x14ac:dyDescent="0.25">
      <c r="A660" s="65" t="str">
        <f>"Best/Worst-Difference Men Rating &gt; "&amp;Parameter!$B$32</f>
        <v>Best/Worst-Difference Men Rating &gt; 850</v>
      </c>
      <c r="B660" s="294"/>
      <c r="C660" s="65">
        <f>INDEX(Parameter!$9:$9,,MATCH(17,Parameter!$8:$8,0))</f>
        <v>16</v>
      </c>
      <c r="D660" s="65">
        <f>INDEX(Parameter!$B$10:$AB$10,MATCH(C660,Parameter!$B$9:$AB$9,0))</f>
        <v>3</v>
      </c>
      <c r="E660" s="65">
        <f>COUNTIF(Data!$DY$90:$IB$90,Specials!C660)</f>
        <v>2</v>
      </c>
      <c r="F660" s="65">
        <f ca="1">OFFSET(Data!$CS$91,MATCH("M1",Data!$A$91:$A$190,0)-1,MATCH(C660,Data!$CS$90:$DS$90,0)-1)</f>
        <v>4</v>
      </c>
      <c r="G660" s="65">
        <f t="array" aca="1" ref="G660" ca="1">LARGE(IF((Data!$AM$91:$AM$190&lt;&gt;0)*(Data!$DW$91:$DW$190="M")*(Data!$AM$91:$AM$190&gt;Parameter!$B$32),OFFSET(Data!$CS$91:$CS$190,,MATCH(C660,Data!$CS$90:$DS$90,0)-1)),1)</f>
        <v>8</v>
      </c>
      <c r="H660" s="65">
        <f t="array" aca="1" ref="H660" ca="1">IF(AND(G660&gt;=F660+E660*2,G660&gt;0),SUM(IF((OFFSET(Data!$CS$91:$CS$190,,MATCH(C660,Data!$CS$90:$DS$90,0)-1)=Specials!G660)*(Data!$DW$91:$DW$190="M")*(Data!$AM$91:$AM$190&gt;Parameter!$B$32),1)),0)</f>
        <v>1</v>
      </c>
      <c r="K660" s="65" t="str">
        <f t="array" aca="1" ref="K660" ca="1">IF(H660=1,INDEX(Data!$DT$91:$DT$190,MATCH(G660,(OFFSET(Data!$CS$91:$CS$190,,MATCH(C660,Data!$CS$90:$DS$90,0)-1))*(Data!$DW$91:$DW$190="M")*(Data!$AM$91:$AM$190&gt;Parameter!$B$32),0)),H660&amp;" Players")</f>
        <v>Bernd Kolmanz</v>
      </c>
      <c r="L660" s="65" t="str">
        <f t="shared" ca="1" si="44"/>
        <v>Best men took only 4 throws</v>
      </c>
      <c r="M660" s="65" t="s">
        <v>1</v>
      </c>
      <c r="N660" s="65" t="s">
        <v>255</v>
      </c>
      <c r="O660" s="65" t="e">
        <f t="shared" ca="1" si="43"/>
        <v>#VALUE!</v>
      </c>
      <c r="P660" s="65" t="str">
        <f t="shared" ca="1" si="45"/>
        <v>On hole 16 (par 3) Bernd Kolmanz took 8 throws in total (2 rounds)</v>
      </c>
    </row>
    <row r="661" spans="1:16" s="65" customFormat="1" hidden="1" x14ac:dyDescent="0.25">
      <c r="A661" s="65" t="str">
        <f>"Best/Worst-Difference Men Rating &gt; "&amp;Parameter!$B$32</f>
        <v>Best/Worst-Difference Men Rating &gt; 850</v>
      </c>
      <c r="B661" s="294"/>
      <c r="C661" s="65">
        <f>INDEX(Parameter!$9:$9,,MATCH(18,Parameter!$8:$8,0))</f>
        <v>17</v>
      </c>
      <c r="D661" s="65">
        <f>INDEX(Parameter!$B$10:$AB$10,MATCH(C661,Parameter!$B$9:$AB$9,0))</f>
        <v>3</v>
      </c>
      <c r="E661" s="65">
        <f>COUNTIF(Data!$DY$90:$IB$90,Specials!C661)</f>
        <v>2</v>
      </c>
      <c r="F661" s="65">
        <f ca="1">OFFSET(Data!$CS$91,MATCH("M1",Data!$A$91:$A$190,0)-1,MATCH(C661,Data!$CS$90:$DS$90,0)-1)</f>
        <v>5</v>
      </c>
      <c r="G661" s="65">
        <f t="array" aca="1" ref="G661" ca="1">LARGE(IF((Data!$AM$91:$AM$190&lt;&gt;0)*(Data!$DW$91:$DW$190="M")*(Data!$AM$91:$AM$190&gt;Parameter!$B$32),OFFSET(Data!$CS$91:$CS$190,,MATCH(C661,Data!$CS$90:$DS$90,0)-1)),1)</f>
        <v>11</v>
      </c>
      <c r="H661" s="65">
        <f t="array" aca="1" ref="H661" ca="1">IF(AND(G661&gt;=F661+E661*2,G661&gt;0),SUM(IF((OFFSET(Data!$CS$91:$CS$190,,MATCH(C661,Data!$CS$90:$DS$90,0)-1)=Specials!G661)*(Data!$DW$91:$DW$190="M")*(Data!$AM$91:$AM$190&gt;Parameter!$B$32),1)),0)</f>
        <v>1</v>
      </c>
      <c r="K661" s="65" t="str">
        <f t="array" aca="1" ref="K661" ca="1">IF(H661=1,INDEX(Data!$DT$91:$DT$190,MATCH(G661,(OFFSET(Data!$CS$91:$CS$190,,MATCH(C661,Data!$CS$90:$DS$90,0)-1))*(Data!$DW$91:$DW$190="M")*(Data!$AM$91:$AM$190&gt;Parameter!$B$32),0)),H661&amp;" Players")</f>
        <v>Alexander Kukuvec</v>
      </c>
      <c r="L661" s="65" t="str">
        <f t="shared" ca="1" si="44"/>
        <v>Best men took only 5 throws</v>
      </c>
      <c r="M661" s="65" t="s">
        <v>1</v>
      </c>
      <c r="N661" s="65" t="s">
        <v>255</v>
      </c>
      <c r="O661" s="65" t="e">
        <f t="shared" ca="1" si="43"/>
        <v>#VALUE!</v>
      </c>
      <c r="P661" s="65" t="str">
        <f t="shared" ca="1" si="45"/>
        <v>On hole 17 (par 3) Alexander Kukuvec took 11 throws in total (2 rounds)</v>
      </c>
    </row>
    <row r="662" spans="1:16" s="65" customFormat="1" hidden="1" x14ac:dyDescent="0.25">
      <c r="A662" s="65" t="str">
        <f>"Best/Worst-Difference Men Rating &gt; "&amp;Parameter!$B$32</f>
        <v>Best/Worst-Difference Men Rating &gt; 850</v>
      </c>
      <c r="B662" s="294"/>
      <c r="C662" s="65">
        <f>INDEX(Parameter!$9:$9,,MATCH(19,Parameter!$8:$8,0))</f>
        <v>18</v>
      </c>
      <c r="D662" s="65">
        <f>INDEX(Parameter!$B$10:$AB$10,MATCH(C662,Parameter!$B$9:$AB$9,0))</f>
        <v>3</v>
      </c>
      <c r="E662" s="65">
        <f>COUNTIF(Data!$DY$90:$IB$90,Specials!C662)</f>
        <v>2</v>
      </c>
      <c r="F662" s="65">
        <f ca="1">OFFSET(Data!$CS$91,MATCH("M1",Data!$A$91:$A$190,0)-1,MATCH(C662,Data!$CS$90:$DS$90,0)-1)</f>
        <v>6</v>
      </c>
      <c r="G662" s="65">
        <f t="array" aca="1" ref="G662" ca="1">LARGE(IF((Data!$AM$91:$AM$190&lt;&gt;0)*(Data!$DW$91:$DW$190="M")*(Data!$AM$91:$AM$190&gt;Parameter!$B$32),OFFSET(Data!$CS$91:$CS$190,,MATCH(C662,Data!$CS$90:$DS$90,0)-1)),1)</f>
        <v>9</v>
      </c>
      <c r="H662" s="65">
        <f t="array" aca="1" ref="H662" ca="1">IF(AND(G662&gt;=F662+E662*2,G662&gt;0),SUM(IF((OFFSET(Data!$CS$91:$CS$190,,MATCH(C662,Data!$CS$90:$DS$90,0)-1)=Specials!G662)*(Data!$DW$91:$DW$190="M")*(Data!$AM$91:$AM$190&gt;Parameter!$B$32),1)),0)</f>
        <v>0</v>
      </c>
      <c r="K662" s="65" t="str">
        <f t="array" aca="1" ref="K662" ca="1">IF(H662=1,INDEX(Data!$DT$91:$DT$190,MATCH(G662,(OFFSET(Data!$CS$91:$CS$190,,MATCH(C662,Data!$CS$90:$DS$90,0)-1))*(Data!$DW$91:$DW$190="M")*(Data!$AM$91:$AM$190&gt;Parameter!$B$32),0)),H662&amp;" Players")</f>
        <v>0 Players</v>
      </c>
      <c r="L662" s="65" t="str">
        <f t="shared" ca="1" si="44"/>
        <v>Best men took only 6 throws</v>
      </c>
      <c r="M662" s="65" t="s">
        <v>1</v>
      </c>
      <c r="N662" s="65" t="s">
        <v>255</v>
      </c>
      <c r="O662" s="65" t="e">
        <f t="shared" ca="1" si="43"/>
        <v>#VALUE!</v>
      </c>
      <c r="P662" s="65" t="str">
        <f t="shared" ca="1" si="45"/>
        <v/>
      </c>
    </row>
    <row r="663" spans="1:16" s="65" customFormat="1" hidden="1" x14ac:dyDescent="0.25">
      <c r="A663" s="65" t="str">
        <f>"Best/Worst-Difference Men Rating &gt; "&amp;Parameter!$B$32</f>
        <v>Best/Worst-Difference Men Rating &gt; 850</v>
      </c>
      <c r="B663" s="294"/>
      <c r="C663" s="65">
        <f>INDEX(Parameter!$9:$9,,MATCH(20,Parameter!$8:$8,0))</f>
        <v>20</v>
      </c>
      <c r="D663" s="65" t="str">
        <f>INDEX(Parameter!$B$10:$AB$10,MATCH(C663,Parameter!$B$9:$AB$9,0))</f>
        <v>no</v>
      </c>
      <c r="E663" s="65">
        <f>COUNTIF(Data!$DY$90:$IB$90,Specials!C663)</f>
        <v>0</v>
      </c>
      <c r="F663" s="65">
        <f ca="1">OFFSET(Data!$CS$91,MATCH("M1",Data!$A$91:$A$190,0)-1,MATCH(C663,Data!$CS$90:$DS$90,0)-1)</f>
        <v>0</v>
      </c>
      <c r="G663" s="65">
        <f t="array" aca="1" ref="G663" ca="1">LARGE(IF((Data!$AM$91:$AM$190&lt;&gt;0)*(Data!$DW$91:$DW$190="M")*(Data!$AM$91:$AM$190&gt;Parameter!$B$32),OFFSET(Data!$CS$91:$CS$190,,MATCH(C663,Data!$CS$90:$DS$90,0)-1)),1)</f>
        <v>0</v>
      </c>
      <c r="H663" s="65">
        <f t="array" aca="1" ref="H663" ca="1">IF(AND(G663&gt;=F663+E663*2,G663&gt;0),SUM(IF((OFFSET(Data!$CS$91:$CS$190,,MATCH(C663,Data!$CS$90:$DS$90,0)-1)=Specials!G663)*(Data!$DW$91:$DW$190="M")*(Data!$AM$91:$AM$190&gt;Parameter!$B$32),1)),0)</f>
        <v>0</v>
      </c>
      <c r="K663" s="65" t="str">
        <f t="array" aca="1" ref="K663" ca="1">IF(H663=1,INDEX(Data!$DT$91:$DT$190,MATCH(G663,(OFFSET(Data!$CS$91:$CS$190,,MATCH(C663,Data!$CS$90:$DS$90,0)-1))*(Data!$DW$91:$DW$190="M")*(Data!$AM$91:$AM$190&gt;Parameter!$B$32),0)),H663&amp;" Players")</f>
        <v>0 Players</v>
      </c>
      <c r="L663" s="65" t="str">
        <f t="shared" ca="1" si="44"/>
        <v>Best men took only 0 throws</v>
      </c>
      <c r="M663" s="65" t="s">
        <v>1</v>
      </c>
      <c r="N663" s="65" t="s">
        <v>255</v>
      </c>
      <c r="O663" s="65" t="e">
        <f t="shared" ca="1" si="43"/>
        <v>#VALUE!</v>
      </c>
      <c r="P663" s="65" t="str">
        <f t="shared" ca="1" si="45"/>
        <v/>
      </c>
    </row>
    <row r="664" spans="1:16" s="65" customFormat="1" hidden="1" x14ac:dyDescent="0.25">
      <c r="A664" s="65" t="str">
        <f>"Best/Worst-Difference Men Rating &gt; "&amp;Parameter!$B$32</f>
        <v>Best/Worst-Difference Men Rating &gt; 850</v>
      </c>
      <c r="B664" s="294"/>
      <c r="C664" s="65">
        <f>INDEX(Parameter!$9:$9,,MATCH(21,Parameter!$8:$8,0))</f>
        <v>21</v>
      </c>
      <c r="D664" s="65" t="str">
        <f>INDEX(Parameter!$B$10:$AB$10,MATCH(C664,Parameter!$B$9:$AB$9,0))</f>
        <v>no</v>
      </c>
      <c r="E664" s="65">
        <f>COUNTIF(Data!$DY$90:$IB$90,Specials!C664)</f>
        <v>0</v>
      </c>
      <c r="F664" s="65">
        <f ca="1">OFFSET(Data!$CS$91,MATCH("M1",Data!$A$91:$A$190,0)-1,MATCH(C664,Data!$CS$90:$DS$90,0)-1)</f>
        <v>0</v>
      </c>
      <c r="G664" s="65">
        <f t="array" aca="1" ref="G664" ca="1">LARGE(IF((Data!$AM$91:$AM$190&lt;&gt;0)*(Data!$DW$91:$DW$190="M")*(Data!$AM$91:$AM$190&gt;Parameter!$B$32),OFFSET(Data!$CS$91:$CS$190,,MATCH(C664,Data!$CS$90:$DS$90,0)-1)),1)</f>
        <v>0</v>
      </c>
      <c r="H664" s="65">
        <f t="array" aca="1" ref="H664" ca="1">IF(AND(G664&gt;=F664+E664*2,G664&gt;0),SUM(IF((OFFSET(Data!$CS$91:$CS$190,,MATCH(C664,Data!$CS$90:$DS$90,0)-1)=Specials!G664)*(Data!$DW$91:$DW$190="M")*(Data!$AM$91:$AM$190&gt;Parameter!$B$32),1)),0)</f>
        <v>0</v>
      </c>
      <c r="K664" s="65" t="str">
        <f t="array" aca="1" ref="K664" ca="1">IF(H664=1,INDEX(Data!$DT$91:$DT$190,MATCH(G664,(OFFSET(Data!$CS$91:$CS$190,,MATCH(C664,Data!$CS$90:$DS$90,0)-1))*(Data!$DW$91:$DW$190="M")*(Data!$AM$91:$AM$190&gt;Parameter!$B$32),0)),H664&amp;" Players")</f>
        <v>0 Players</v>
      </c>
      <c r="L664" s="65" t="str">
        <f t="shared" ca="1" si="44"/>
        <v>Best men took only 0 throws</v>
      </c>
      <c r="M664" s="65" t="s">
        <v>1</v>
      </c>
      <c r="N664" s="65" t="s">
        <v>255</v>
      </c>
      <c r="O664" s="65" t="e">
        <f t="shared" ca="1" si="43"/>
        <v>#VALUE!</v>
      </c>
      <c r="P664" s="65" t="str">
        <f t="shared" ca="1" si="45"/>
        <v/>
      </c>
    </row>
    <row r="665" spans="1:16" s="65" customFormat="1" hidden="1" x14ac:dyDescent="0.25">
      <c r="A665" s="65" t="str">
        <f>"Best/Worst-Difference Men Rating &gt; "&amp;Parameter!$B$32</f>
        <v>Best/Worst-Difference Men Rating &gt; 850</v>
      </c>
      <c r="B665" s="294"/>
      <c r="C665" s="65">
        <f>INDEX(Parameter!$9:$9,,MATCH(22,Parameter!$8:$8,0))</f>
        <v>22</v>
      </c>
      <c r="D665" s="65" t="str">
        <f>INDEX(Parameter!$B$10:$AB$10,MATCH(C665,Parameter!$B$9:$AB$9,0))</f>
        <v>no</v>
      </c>
      <c r="E665" s="65">
        <f>COUNTIF(Data!$DY$90:$IB$90,Specials!C665)</f>
        <v>0</v>
      </c>
      <c r="F665" s="65">
        <f ca="1">OFFSET(Data!$CS$91,MATCH("M1",Data!$A$91:$A$190,0)-1,MATCH(C665,Data!$CS$90:$DS$90,0)-1)</f>
        <v>0</v>
      </c>
      <c r="G665" s="65">
        <f t="array" aca="1" ref="G665" ca="1">LARGE(IF((Data!$AM$91:$AM$190&lt;&gt;0)*(Data!$DW$91:$DW$190="M")*(Data!$AM$91:$AM$190&gt;Parameter!$B$32),OFFSET(Data!$CS$91:$CS$190,,MATCH(C665,Data!$CS$90:$DS$90,0)-1)),1)</f>
        <v>0</v>
      </c>
      <c r="H665" s="65">
        <f t="array" aca="1" ref="H665" ca="1">IF(AND(G665&gt;=F665+E665*2,G665&gt;0),SUM(IF((OFFSET(Data!$CS$91:$CS$190,,MATCH(C665,Data!$CS$90:$DS$90,0)-1)=Specials!G665)*(Data!$DW$91:$DW$190="M")*(Data!$AM$91:$AM$190&gt;Parameter!$B$32),1)),0)</f>
        <v>0</v>
      </c>
      <c r="K665" s="65" t="str">
        <f t="array" aca="1" ref="K665" ca="1">IF(H665=1,INDEX(Data!$DT$91:$DT$190,MATCH(G665,(OFFSET(Data!$CS$91:$CS$190,,MATCH(C665,Data!$CS$90:$DS$90,0)-1))*(Data!$DW$91:$DW$190="M")*(Data!$AM$91:$AM$190&gt;Parameter!$B$32),0)),H665&amp;" Players")</f>
        <v>0 Players</v>
      </c>
      <c r="L665" s="65" t="str">
        <f t="shared" ca="1" si="44"/>
        <v>Best men took only 0 throws</v>
      </c>
      <c r="M665" s="65" t="s">
        <v>1</v>
      </c>
      <c r="N665" s="65" t="s">
        <v>255</v>
      </c>
      <c r="O665" s="65" t="e">
        <f t="shared" ca="1" si="43"/>
        <v>#VALUE!</v>
      </c>
      <c r="P665" s="65" t="str">
        <f t="shared" ca="1" si="45"/>
        <v/>
      </c>
    </row>
    <row r="666" spans="1:16" s="65" customFormat="1" hidden="1" x14ac:dyDescent="0.25">
      <c r="A666" s="65" t="str">
        <f>"Best/Worst-Difference Men Rating &gt; "&amp;Parameter!$B$32</f>
        <v>Best/Worst-Difference Men Rating &gt; 850</v>
      </c>
      <c r="B666" s="294"/>
      <c r="C666" s="65">
        <f>INDEX(Parameter!$9:$9,,MATCH(23,Parameter!$8:$8,0))</f>
        <v>23</v>
      </c>
      <c r="D666" s="65" t="str">
        <f>INDEX(Parameter!$B$10:$AB$10,MATCH(C666,Parameter!$B$9:$AB$9,0))</f>
        <v>no</v>
      </c>
      <c r="E666" s="65">
        <f>COUNTIF(Data!$DY$90:$IB$90,Specials!C666)</f>
        <v>0</v>
      </c>
      <c r="F666" s="65">
        <f ca="1">OFFSET(Data!$CS$91,MATCH("M1",Data!$A$91:$A$190,0)-1,MATCH(C666,Data!$CS$90:$DS$90,0)-1)</f>
        <v>0</v>
      </c>
      <c r="G666" s="65">
        <f t="array" aca="1" ref="G666" ca="1">LARGE(IF((Data!$AM$91:$AM$190&lt;&gt;0)*(Data!$DW$91:$DW$190="M")*(Data!$AM$91:$AM$190&gt;Parameter!$B$32),OFFSET(Data!$CS$91:$CS$190,,MATCH(C666,Data!$CS$90:$DS$90,0)-1)),1)</f>
        <v>0</v>
      </c>
      <c r="H666" s="65">
        <f t="array" aca="1" ref="H666" ca="1">IF(AND(G666&gt;=F666+E666*2,G666&gt;0),SUM(IF((OFFSET(Data!$CS$91:$CS$190,,MATCH(C666,Data!$CS$90:$DS$90,0)-1)=Specials!G666)*(Data!$DW$91:$DW$190="M")*(Data!$AM$91:$AM$190&gt;Parameter!$B$32),1)),0)</f>
        <v>0</v>
      </c>
      <c r="K666" s="65" t="str">
        <f t="array" aca="1" ref="K666" ca="1">IF(H666=1,INDEX(Data!$DT$91:$DT$190,MATCH(G666,(OFFSET(Data!$CS$91:$CS$190,,MATCH(C666,Data!$CS$90:$DS$90,0)-1))*(Data!$DW$91:$DW$190="M")*(Data!$AM$91:$AM$190&gt;Parameter!$B$32),0)),H666&amp;" Players")</f>
        <v>0 Players</v>
      </c>
      <c r="L666" s="65" t="str">
        <f t="shared" ca="1" si="44"/>
        <v>Best men took only 0 throws</v>
      </c>
      <c r="M666" s="65" t="s">
        <v>1</v>
      </c>
      <c r="N666" s="65" t="s">
        <v>255</v>
      </c>
      <c r="O666" s="65" t="e">
        <f t="shared" ca="1" si="43"/>
        <v>#VALUE!</v>
      </c>
      <c r="P666" s="65" t="str">
        <f t="shared" ca="1" si="45"/>
        <v/>
      </c>
    </row>
    <row r="667" spans="1:16" s="65" customFormat="1" hidden="1" x14ac:dyDescent="0.25">
      <c r="A667" s="65" t="str">
        <f>"Best/Worst-Difference Men Rating &gt; "&amp;Parameter!$B$32</f>
        <v>Best/Worst-Difference Men Rating &gt; 850</v>
      </c>
      <c r="B667" s="294"/>
      <c r="C667" s="65">
        <f>INDEX(Parameter!$9:$9,,MATCH(24,Parameter!$8:$8,0))</f>
        <v>24</v>
      </c>
      <c r="D667" s="65" t="str">
        <f>INDEX(Parameter!$B$10:$AB$10,MATCH(C667,Parameter!$B$9:$AB$9,0))</f>
        <v>no</v>
      </c>
      <c r="E667" s="65">
        <f>COUNTIF(Data!$DY$90:$IB$90,Specials!C667)</f>
        <v>0</v>
      </c>
      <c r="F667" s="65">
        <f ca="1">OFFSET(Data!$CS$91,MATCH("M1",Data!$A$91:$A$190,0)-1,MATCH(C667,Data!$CS$90:$DS$90,0)-1)</f>
        <v>0</v>
      </c>
      <c r="G667" s="65">
        <f t="array" aca="1" ref="G667" ca="1">LARGE(IF((Data!$AM$91:$AM$190&lt;&gt;0)*(Data!$DW$91:$DW$190="M")*(Data!$AM$91:$AM$190&gt;Parameter!$B$32),OFFSET(Data!$CS$91:$CS$190,,MATCH(C667,Data!$CS$90:$DS$90,0)-1)),1)</f>
        <v>0</v>
      </c>
      <c r="H667" s="65">
        <f t="array" aca="1" ref="H667" ca="1">IF(AND(G667&gt;=F667+E667*2,G667&gt;0),SUM(IF((OFFSET(Data!$CS$91:$CS$190,,MATCH(C667,Data!$CS$90:$DS$90,0)-1)=Specials!G667)*(Data!$DW$91:$DW$190="M")*(Data!$AM$91:$AM$190&gt;Parameter!$B$32),1)),0)</f>
        <v>0</v>
      </c>
      <c r="K667" s="65" t="str">
        <f t="array" aca="1" ref="K667" ca="1">IF(H667=1,INDEX(Data!$DT$91:$DT$190,MATCH(G667,(OFFSET(Data!$CS$91:$CS$190,,MATCH(C667,Data!$CS$90:$DS$90,0)-1))*(Data!$DW$91:$DW$190="M")*(Data!$AM$91:$AM$190&gt;Parameter!$B$32),0)),H667&amp;" Players")</f>
        <v>0 Players</v>
      </c>
      <c r="L667" s="65" t="str">
        <f t="shared" ca="1" si="44"/>
        <v>Best men took only 0 throws</v>
      </c>
      <c r="M667" s="65" t="s">
        <v>1</v>
      </c>
      <c r="N667" s="65" t="s">
        <v>255</v>
      </c>
      <c r="O667" s="65" t="e">
        <f t="shared" ca="1" si="43"/>
        <v>#VALUE!</v>
      </c>
      <c r="P667" s="65" t="str">
        <f t="shared" ca="1" si="45"/>
        <v/>
      </c>
    </row>
    <row r="668" spans="1:16" s="65" customFormat="1" hidden="1" x14ac:dyDescent="0.25">
      <c r="A668" s="65" t="str">
        <f>"Best/Worst-Difference Men Rating &gt; "&amp;Parameter!$B$32</f>
        <v>Best/Worst-Difference Men Rating &gt; 850</v>
      </c>
      <c r="B668" s="294"/>
      <c r="C668" s="65">
        <f>INDEX(Parameter!$9:$9,,MATCH(25,Parameter!$8:$8,0))</f>
        <v>25</v>
      </c>
      <c r="D668" s="65" t="str">
        <f>INDEX(Parameter!$B$10:$AB$10,MATCH(C668,Parameter!$B$9:$AB$9,0))</f>
        <v>no</v>
      </c>
      <c r="E668" s="65">
        <f>COUNTIF(Data!$DY$90:$IB$90,Specials!C668)</f>
        <v>0</v>
      </c>
      <c r="F668" s="65">
        <f ca="1">OFFSET(Data!$CS$91,MATCH("M1",Data!$A$91:$A$190,0)-1,MATCH(C668,Data!$CS$90:$DS$90,0)-1)</f>
        <v>0</v>
      </c>
      <c r="G668" s="65">
        <f t="array" aca="1" ref="G668" ca="1">LARGE(IF((Data!$AM$91:$AM$190&lt;&gt;0)*(Data!$DW$91:$DW$190="M")*(Data!$AM$91:$AM$190&gt;Parameter!$B$32),OFFSET(Data!$CS$91:$CS$190,,MATCH(C668,Data!$CS$90:$DS$90,0)-1)),1)</f>
        <v>0</v>
      </c>
      <c r="H668" s="65">
        <f t="array" aca="1" ref="H668" ca="1">IF(AND(G668&gt;=F668+E668*2,G668&gt;0),SUM(IF((OFFSET(Data!$CS$91:$CS$190,,MATCH(C668,Data!$CS$90:$DS$90,0)-1)=Specials!G668)*(Data!$DW$91:$DW$190="M")*(Data!$AM$91:$AM$190&gt;Parameter!$B$32),1)),0)</f>
        <v>0</v>
      </c>
      <c r="K668" s="65" t="str">
        <f t="array" aca="1" ref="K668" ca="1">IF(H668=1,INDEX(Data!$DT$91:$DT$190,MATCH(G668,(OFFSET(Data!$CS$91:$CS$190,,MATCH(C668,Data!$CS$90:$DS$90,0)-1))*(Data!$DW$91:$DW$190="M")*(Data!$AM$91:$AM$190&gt;Parameter!$B$32),0)),H668&amp;" Players")</f>
        <v>0 Players</v>
      </c>
      <c r="L668" s="65" t="str">
        <f t="shared" ca="1" si="44"/>
        <v>Best men took only 0 throws</v>
      </c>
      <c r="M668" s="65" t="s">
        <v>1</v>
      </c>
      <c r="N668" s="65" t="s">
        <v>255</v>
      </c>
      <c r="O668" s="65" t="e">
        <f t="shared" ca="1" si="43"/>
        <v>#VALUE!</v>
      </c>
      <c r="P668" s="65" t="str">
        <f t="shared" ca="1" si="45"/>
        <v/>
      </c>
    </row>
    <row r="669" spans="1:16" s="65" customFormat="1" hidden="1" x14ac:dyDescent="0.25">
      <c r="A669" s="65" t="str">
        <f>"Best/Worst-Difference Men Rating &gt; "&amp;Parameter!$B$32</f>
        <v>Best/Worst-Difference Men Rating &gt; 850</v>
      </c>
      <c r="B669" s="294"/>
      <c r="C669" s="65">
        <f>INDEX(Parameter!$9:$9,,MATCH(26,Parameter!$8:$8,0))</f>
        <v>26</v>
      </c>
      <c r="D669" s="65" t="str">
        <f>INDEX(Parameter!$B$10:$AB$10,MATCH(C669,Parameter!$B$9:$AB$9,0))</f>
        <v>no</v>
      </c>
      <c r="E669" s="65">
        <f>COUNTIF(Data!$DY$90:$IB$90,Specials!C669)</f>
        <v>0</v>
      </c>
      <c r="F669" s="65">
        <f ca="1">OFFSET(Data!$CS$91,MATCH("M1",Data!$A$91:$A$190,0)-1,MATCH(C669,Data!$CS$90:$DS$90,0)-1)</f>
        <v>0</v>
      </c>
      <c r="G669" s="65">
        <f t="array" aca="1" ref="G669" ca="1">LARGE(IF((Data!$AM$91:$AM$190&lt;&gt;0)*(Data!$DW$91:$DW$190="M")*(Data!$AM$91:$AM$190&gt;Parameter!$B$32),OFFSET(Data!$CS$91:$CS$190,,MATCH(C669,Data!$CS$90:$DS$90,0)-1)),1)</f>
        <v>0</v>
      </c>
      <c r="H669" s="65">
        <f t="array" aca="1" ref="H669" ca="1">IF(AND(G669&gt;=F669+E669*2,G669&gt;0),SUM(IF((OFFSET(Data!$CS$91:$CS$190,,MATCH(C669,Data!$CS$90:$DS$90,0)-1)=Specials!G669)*(Data!$DW$91:$DW$190="M")*(Data!$AM$91:$AM$190&gt;Parameter!$B$32),1)),0)</f>
        <v>0</v>
      </c>
      <c r="K669" s="65" t="str">
        <f t="array" aca="1" ref="K669" ca="1">IF(H669=1,INDEX(Data!$DT$91:$DT$190,MATCH(G669,(OFFSET(Data!$CS$91:$CS$190,,MATCH(C669,Data!$CS$90:$DS$90,0)-1))*(Data!$DW$91:$DW$190="M")*(Data!$AM$91:$AM$190&gt;Parameter!$B$32),0)),H669&amp;" Players")</f>
        <v>0 Players</v>
      </c>
      <c r="L669" s="65" t="str">
        <f t="shared" ca="1" si="44"/>
        <v>Best men took only 0 throws</v>
      </c>
      <c r="M669" s="65" t="s">
        <v>1</v>
      </c>
      <c r="N669" s="65" t="s">
        <v>255</v>
      </c>
      <c r="O669" s="65" t="e">
        <f t="shared" ca="1" si="43"/>
        <v>#VALUE!</v>
      </c>
      <c r="P669" s="65" t="str">
        <f t="shared" ca="1" si="45"/>
        <v/>
      </c>
    </row>
    <row r="670" spans="1:16" s="65" customFormat="1" hidden="1" x14ac:dyDescent="0.25">
      <c r="A670" s="65" t="str">
        <f>"Best/Worst-Difference Men Rating &gt; "&amp;Parameter!$B$32</f>
        <v>Best/Worst-Difference Men Rating &gt; 850</v>
      </c>
      <c r="B670" s="294"/>
      <c r="C670" s="65">
        <f>INDEX(Parameter!$9:$9,,MATCH(27,Parameter!$8:$8,0))</f>
        <v>27</v>
      </c>
      <c r="D670" s="65" t="str">
        <f>INDEX(Parameter!$B$10:$AB$10,MATCH(C670,Parameter!$B$9:$AB$9,0))</f>
        <v>no</v>
      </c>
      <c r="E670" s="65">
        <f>COUNTIF(Data!$DY$90:$IB$90,Specials!C670)</f>
        <v>0</v>
      </c>
      <c r="F670" s="65">
        <f ca="1">OFFSET(Data!$CS$91,MATCH("M1",Data!$A$91:$A$190,0)-1,MATCH(C670,Data!$CS$90:$DS$90,0)-1)</f>
        <v>0</v>
      </c>
      <c r="G670" s="65">
        <f t="array" aca="1" ref="G670" ca="1">LARGE(IF((Data!$AM$91:$AM$190&lt;&gt;0)*(Data!$DW$91:$DW$190="M")*(Data!$AM$91:$AM$190&gt;Parameter!$B$32),OFFSET(Data!$CS$91:$CS$190,,MATCH(C670,Data!$CS$90:$DS$90,0)-1)),1)</f>
        <v>0</v>
      </c>
      <c r="H670" s="65">
        <f t="array" aca="1" ref="H670" ca="1">IF(AND(G670&gt;=F670+E670*2,G670&gt;0),SUM(IF((OFFSET(Data!$CS$91:$CS$190,,MATCH(C670,Data!$CS$90:$DS$90,0)-1)=Specials!G670)*(Data!$DW$91:$DW$190="M")*(Data!$AM$91:$AM$190&gt;Parameter!$B$32),1)),0)</f>
        <v>0</v>
      </c>
      <c r="K670" s="65" t="str">
        <f t="array" aca="1" ref="K670" ca="1">IF(H670=1,INDEX(Data!$DT$91:$DT$190,MATCH(G670,(OFFSET(Data!$CS$91:$CS$190,,MATCH(C670,Data!$CS$90:$DS$90,0)-1))*(Data!$DW$91:$DW$190="M")*(Data!$AM$91:$AM$190&gt;Parameter!$B$32),0)),H670&amp;" Players")</f>
        <v>0 Players</v>
      </c>
      <c r="L670" s="65" t="str">
        <f t="shared" ca="1" si="44"/>
        <v>Best men took only 0 throws</v>
      </c>
      <c r="M670" s="65" t="s">
        <v>1</v>
      </c>
      <c r="N670" s="65" t="s">
        <v>255</v>
      </c>
      <c r="O670" s="65" t="e">
        <f t="shared" ca="1" si="43"/>
        <v>#VALUE!</v>
      </c>
      <c r="P670" s="65" t="str">
        <f ca="1">IF(H670&gt;0,"On hole "&amp;C670&amp;" (par "&amp;D670&amp;") "&amp;K670&amp;" took "&amp;G670&amp;" throws in total ("&amp;$E670&amp;" rounds)","")</f>
        <v/>
      </c>
    </row>
    <row r="671" spans="1:16" s="78" customFormat="1" hidden="1" x14ac:dyDescent="0.25">
      <c r="A671" s="290" t="s">
        <v>286</v>
      </c>
      <c r="B671" s="291"/>
      <c r="D671" s="78">
        <f t="array" ref="D671">IF(Parameter!$B$1&gt;0,SMALL(IF((Data!$J$91:$J$190&lt;999)*(Data!$DW$91:$DW$190="W"),Data!$J$91:$J$190),1),"")</f>
        <v>63</v>
      </c>
      <c r="F671" s="78">
        <f>IF(Parameter!$B$1&gt;0,Specials!D671,999)</f>
        <v>63</v>
      </c>
      <c r="H671" s="78">
        <f t="array" ref="H671">SUM(IF((Data!$J$91:$J$190=D671)*(Data!$DW$91:$DW$190="W"),1))</f>
        <v>1</v>
      </c>
      <c r="K671" s="78" t="str">
        <f t="array" ref="K671">IF($H671=1,INDEX(Data!$DT$91:$DT$190,MATCH($D671,Data!$J$91:$J$190*(Data!$DW$91:$DW$190="W"),0)),$H671&amp;" Players")</f>
        <v>Katka Bodova</v>
      </c>
      <c r="L671" s="78" t="str">
        <f>K671&amp;" ("&amp;D671&amp;")"</f>
        <v>Katka Bodova (63)</v>
      </c>
      <c r="M671" s="78" t="s">
        <v>260</v>
      </c>
      <c r="N671" s="78" t="s">
        <v>255</v>
      </c>
      <c r="O671" s="78" t="e">
        <f t="shared" ca="1" si="43"/>
        <v>#VALUE!</v>
      </c>
    </row>
    <row r="672" spans="1:16" s="78" customFormat="1" hidden="1" x14ac:dyDescent="0.25">
      <c r="A672" s="290" t="s">
        <v>287</v>
      </c>
      <c r="B672" s="291"/>
      <c r="D672" s="78">
        <f t="array" ref="D672">IF(Parameter!$B$2&gt;0,SMALL(IF((Data!$K$91:$K$190&lt;999)*(Data!$DW$91:$DW$190="W"),Data!$K$91:$K$190),1),"")</f>
        <v>67</v>
      </c>
      <c r="F672" s="78">
        <f>IF(AND(Parameter!$B$2&gt;0,Parameter!$B$2=Parameter!$B$1),Specials!D672,999)</f>
        <v>67</v>
      </c>
      <c r="H672" s="78">
        <f t="array" ref="H672">SUM(IF((Data!$K$91:$K$190=D672)*(Data!$DW$91:$DW$190="W"),1))</f>
        <v>1</v>
      </c>
      <c r="K672" s="78" t="str">
        <f t="array" ref="K672">IF($H672=1,INDEX(Data!$DT$91:$DT$190,MATCH($D672,Data!$K$91:$K$190*(Data!$DW$91:$DW$190="W"),0)),$H672&amp;" Players")</f>
        <v>Katharina Gusenbauer</v>
      </c>
      <c r="L672" s="78" t="str">
        <f>K672&amp;" ("&amp;D672&amp;")"</f>
        <v>Katharina Gusenbauer (67)</v>
      </c>
      <c r="M672" s="78" t="s">
        <v>260</v>
      </c>
      <c r="N672" s="78" t="s">
        <v>255</v>
      </c>
      <c r="O672" s="78" t="e">
        <f t="shared" ca="1" si="43"/>
        <v>#VALUE!</v>
      </c>
    </row>
    <row r="673" spans="1:16" s="78" customFormat="1" hidden="1" x14ac:dyDescent="0.25">
      <c r="A673" s="290" t="s">
        <v>288</v>
      </c>
      <c r="B673" s="291"/>
      <c r="D673" s="78" t="str">
        <f t="array" ref="D673">IF(Parameter!$B$3&gt;0,SMALL(IF((Data!$L$91:$L$190&lt;999)*(Data!$DW$91:$DW$190="W"),Data!$L$91:$L$190),1),"")</f>
        <v/>
      </c>
      <c r="F673" s="78">
        <f>IF(AND(Parameter!$B$3&gt;0,Parameter!$B$3=Parameter!$B$2),Specials!D673,999)</f>
        <v>999</v>
      </c>
      <c r="H673" s="78">
        <f t="array" ref="H673">SUM(IF((Data!$L$91:$L$190=D673)*(Data!$DW$91:$DW$190="W"),1))</f>
        <v>0</v>
      </c>
      <c r="K673" s="78" t="str">
        <f t="array" ref="K673">IF($H673=1,INDEX(Data!$DT$91:$DT$190,MATCH($D673,Data!$L$91:$L$190*(Data!$DW$91:$DW$190="W"),0)),$H673&amp;" Players")</f>
        <v>0 Players</v>
      </c>
      <c r="L673" s="78" t="str">
        <f>K673&amp;" ("&amp;D673&amp;")"</f>
        <v>0 Players ()</v>
      </c>
      <c r="M673" s="78" t="s">
        <v>260</v>
      </c>
      <c r="N673" s="78" t="s">
        <v>255</v>
      </c>
      <c r="O673" s="78" t="e">
        <f t="shared" ca="1" si="43"/>
        <v>#VALUE!</v>
      </c>
    </row>
    <row r="674" spans="1:16" s="78" customFormat="1" hidden="1" x14ac:dyDescent="0.25">
      <c r="A674" s="290" t="s">
        <v>289</v>
      </c>
      <c r="B674" s="291"/>
      <c r="D674" s="78" t="str">
        <f t="array" ref="D674">IF(Parameter!$B$4&gt;0,SMALL(IF((Data!$M$91:$M$190&lt;999)*(Data!$DW$91:$DW$190="W"),Data!$M$91:$M$190),1),"")</f>
        <v/>
      </c>
      <c r="F674" s="78">
        <f>IF(AND(Parameter!$B$4&gt;0,Parameter!$B$4=Parameter!$B$3),Specials!D674,999)</f>
        <v>999</v>
      </c>
      <c r="H674" s="78">
        <f t="array" ref="H674">SUM(IF((Data!$M$91:$M$190=D674)*(Data!$DW$91:$DW$190="W"),1))</f>
        <v>0</v>
      </c>
      <c r="K674" s="78" t="str">
        <f t="array" ref="K674">IF($H674=1,INDEX(Data!$DT$91:$DT$190,MATCH($D674,Data!$M$91:$M$190*(Data!$DW$91:$DW$190="W"),0)),$H674&amp;" Players")</f>
        <v>0 Players</v>
      </c>
      <c r="L674" s="78" t="str">
        <f>K674&amp;" ("&amp;D674&amp;")"</f>
        <v>0 Players ()</v>
      </c>
      <c r="M674" s="78" t="s">
        <v>260</v>
      </c>
      <c r="N674" s="78" t="s">
        <v>255</v>
      </c>
      <c r="O674" s="78" t="e">
        <f t="shared" ca="1" si="43"/>
        <v>#VALUE!</v>
      </c>
    </row>
    <row r="675" spans="1:16" s="78" customFormat="1" hidden="1" x14ac:dyDescent="0.25">
      <c r="A675" s="291" t="s">
        <v>312</v>
      </c>
      <c r="B675" s="291"/>
      <c r="D675" s="78">
        <f>MIN($F671:$F673)</f>
        <v>63</v>
      </c>
      <c r="H675" s="78">
        <f>COUNTIF($F671:$F673,D675)</f>
        <v>1</v>
      </c>
      <c r="L675" s="78" t="str">
        <f>IF(H675=1,INDEX($K671:$K673,MATCH(D675,$F671:$F673,0))&amp;" / "&amp;SUBSTITUTE(SUBSTITUTE(INDEX($A671:$A673,MATCH(D675,$F671:$F673,0)),"Best ","")," Women",""),"Several rounds or players")</f>
        <v>Katka Bodova / Round 1</v>
      </c>
      <c r="M675" s="78" t="s">
        <v>16</v>
      </c>
      <c r="N675" s="78" t="s">
        <v>255</v>
      </c>
      <c r="O675" s="78" t="e">
        <f t="shared" ca="1" si="43"/>
        <v>#VALUE!</v>
      </c>
      <c r="P675" s="78" t="str">
        <f>"Best score in tournament: "&amp;D675</f>
        <v>Best score in tournament: 63</v>
      </c>
    </row>
    <row r="676" spans="1:16" s="65" customFormat="1" hidden="1" x14ac:dyDescent="0.25">
      <c r="A676" s="288" t="str">
        <f>"Biggest Skill-O-Meter-Improvement Women Rating &gt; "&amp;Parameter!$B$33</f>
        <v>Biggest Skill-O-Meter-Improvement Women Rating &gt; 600</v>
      </c>
      <c r="B676" s="288"/>
      <c r="F676" s="65">
        <f t="array" ref="F676">LARGE(IF((Data!$DW$91:$DW$190="W")*(Data!$AN$91:$AN$190&gt;Parameter!$B$33),Data!$AO$91:$AO$190,0),1)</f>
        <v>4.9209999999999354</v>
      </c>
      <c r="G676" s="65">
        <f t="array" ref="G676">IF(F676&lt;&gt;0,INDEX(Data!AN$91:$AN$190,MATCH(F676,Data!AO$91:$AO$190,0)),0)</f>
        <v>773.56500000000005</v>
      </c>
      <c r="H676" s="65">
        <f>COUNTIF(Data!AO$91:$AO$190,F676)</f>
        <v>1</v>
      </c>
      <c r="K676" s="65" t="str">
        <f>IF(H676=1,INDEX(Data!DT$91:$DT$190,MATCH(F676,Data!AO$91:$AO$190,0)),"")</f>
        <v>Sonja Palmetshofer</v>
      </c>
      <c r="L676" s="65" t="str">
        <f>IF(H676=1,"Rating in this tournament: "&amp;ROUND(INDEX(Data!AM$91:$AM$190,MATCH(F676,Data!AO$91:$AO$190,0)), 0),"")</f>
        <v>Rating in this tournament: 778</v>
      </c>
      <c r="M676" s="65" t="s">
        <v>16</v>
      </c>
      <c r="N676" s="65" t="s">
        <v>255</v>
      </c>
      <c r="O676" s="65" t="e">
        <f t="shared" ca="1" si="43"/>
        <v>#VALUE!</v>
      </c>
      <c r="P676" s="65" t="str">
        <f>IF(AND(H676=1,ABS(F676)&gt;G676/20),K676&amp;" played "&amp;ROUND(ABS(F676*100/G676), 0)&amp;" % better than her last rating ("&amp;ROUND(G676,0)&amp;")","")</f>
        <v/>
      </c>
    </row>
    <row r="677" spans="1:16" s="65" customFormat="1" hidden="1" x14ac:dyDescent="0.25">
      <c r="A677" s="288" t="str">
        <f>"Biggest Skill-O-Meter-Worsening Women Rating &gt; "&amp;Parameter!$B$33</f>
        <v>Biggest Skill-O-Meter-Worsening Women Rating &gt; 600</v>
      </c>
      <c r="B677" s="288"/>
      <c r="F677" s="65">
        <f t="array" ref="F677">SMALL(IF((Data!$DW$91:$DW$190="W")*(Data!$AN$91:$AN$190&gt;Parameter!$B$33),Data!$AO$91:$AO$190,0),1)</f>
        <v>-91.217999999999961</v>
      </c>
      <c r="G677" s="65">
        <f t="array" ref="G677">IF(F677&lt;&gt;0,INDEX(Data!AN$91:$AN$190,MATCH(F677,Data!AO$91:$AO$190,0)),0)</f>
        <v>818.149</v>
      </c>
      <c r="H677" s="65">
        <f>COUNTIF(Data!AO$91:$AO$190,F677)</f>
        <v>1</v>
      </c>
      <c r="K677" s="65" t="str">
        <f>IF(H677=1,INDEX(Data!DT$91:$DT$190,MATCH(F677,Data!AO$91:$AO$190,0)),"")</f>
        <v>Irmgard Derschmidt</v>
      </c>
      <c r="L677" s="65" t="str">
        <f>IF(H677=1,"Rating in this tournament: "&amp;ROUND(INDEX(Data!AM$91:$AM$190,MATCH(F677,Data!AO$91:$AO$190,0)), 0),"")</f>
        <v>Rating in this tournament: 727</v>
      </c>
      <c r="M677" s="65" t="s">
        <v>16</v>
      </c>
      <c r="N677" s="65" t="s">
        <v>255</v>
      </c>
      <c r="O677" s="65" t="e">
        <f t="shared" ca="1" si="43"/>
        <v>#VALUE!</v>
      </c>
      <c r="P677" s="65" t="str">
        <f>IF(AND(H677=1,ABS(F677)&gt;G677/20),K677&amp;" played "&amp;ROUND(ABS(F677*100/G677), 0)&amp;" % worst than her last rating ("&amp;ROUND(G677,0)&amp;")","")</f>
        <v>Irmgard Derschmidt played 11 % worst than her last rating (818)</v>
      </c>
    </row>
    <row r="678" spans="1:16" s="78" customFormat="1" ht="15" hidden="1" customHeight="1" x14ac:dyDescent="0.25">
      <c r="A678" s="78" t="s">
        <v>384</v>
      </c>
      <c r="B678" s="296" t="str">
        <f>IF(OR(AND(Parameter!$B$4=0,Parameter!$D$5="n"),INDEX(Data!$M$91:$M$190,MATCH("W2",Data!$A$91:$A$190,0))&gt;0,INDEX(Data!$N$91:$N$190,MATCH("W2",Data!$A$91:$A$190,0))&gt;0),"W2","W1")</f>
        <v>W2</v>
      </c>
      <c r="C678" s="78">
        <f>INDEX(Parameter!$9:$9,,MATCH(1,Parameter!$8:$8,0))</f>
        <v>1</v>
      </c>
      <c r="D678" s="78">
        <f>INDEX(Parameter!$B$10:$AB$10,MATCH(C678,Parameter!$B$9:$AB$9,0))</f>
        <v>3</v>
      </c>
      <c r="E678" s="78">
        <f>COUNTIF(Data!$DY$90:$IB$90,Specials!C678)</f>
        <v>2</v>
      </c>
      <c r="F678" s="78">
        <f ca="1">OFFSET(Data!$CS$91,MATCH("W1",Data!$A$91:$A$190,0)-1,MATCH(C678,Data!$CS$90:$DS$90,0)-1)</f>
        <v>7</v>
      </c>
      <c r="G678" s="78">
        <f ca="1">OFFSET(Data!$CS$91,MATCH($B678,Data!$A$91:$A$190,0)-1,MATCH(C678,Data!$CS$90:$DS$90,0)-1)</f>
        <v>6</v>
      </c>
      <c r="H678" s="78">
        <f ca="1">IF(AND(G678-F678&gt;=E678*1,G678-F678&lt;E678*2,G678-F678&gt;=3,G678-F678&gt;=I678-1),1,0)</f>
        <v>0</v>
      </c>
      <c r="I678" s="78">
        <f t="array" ref="I678">SUM(IF(Data!$A$91:$A$190=$B678,Data!$J$91:$M$190))-SUM(IF(Data!$A$91:$A$190="W1",Data!$J$91:$M$190))</f>
        <v>5</v>
      </c>
      <c r="K678" s="78" t="str">
        <f>INDEX(Data!$DT$91:$DT$190,MATCH($B678,Data!$A$91:$A$190,0))</f>
        <v>Katharina Gusenbauer</v>
      </c>
      <c r="L678" s="78" t="str">
        <f ca="1">"Best women took only "&amp;F678&amp;" throws"</f>
        <v>Best women took only 7 throws</v>
      </c>
      <c r="M678" s="78" t="s">
        <v>16</v>
      </c>
      <c r="N678" s="78" t="s">
        <v>255</v>
      </c>
      <c r="O678" s="78" t="e">
        <f t="shared" ca="1" si="43"/>
        <v>#VALUE!</v>
      </c>
      <c r="P678" s="78" t="str">
        <f t="shared" ref="P678:P709" ca="1" si="46">IF(H678&gt;0,"On hole "&amp;C678&amp;" (par "&amp;D678&amp;") "&amp;K678&amp;" took "&amp;G678&amp;" throws in total ("&amp;$E678&amp;" rounds)","")</f>
        <v/>
      </c>
    </row>
    <row r="679" spans="1:16" s="78" customFormat="1" hidden="1" x14ac:dyDescent="0.25">
      <c r="A679" s="78" t="s">
        <v>384</v>
      </c>
      <c r="B679" s="296" t="str">
        <f>IF(OR(AND(Parameter!$B$4=0,Parameter!$D$5="n"),INDEX(Data!$M$91:$M$190,MATCH("W2",Data!$A$91:$A$190,0))&gt;0,INDEX(Data!$N$91:$N$190,MATCH("W2",Data!$A$91:$A$190,0))&gt;0),"W2","W1")</f>
        <v>W2</v>
      </c>
      <c r="C679" s="78">
        <f>INDEX(Parameter!$9:$9,,MATCH(2,Parameter!$8:$8,0))</f>
        <v>2</v>
      </c>
      <c r="D679" s="78">
        <f>INDEX(Parameter!$B$10:$AB$10,MATCH(C679,Parameter!$B$9:$AB$9,0))</f>
        <v>3</v>
      </c>
      <c r="E679" s="78">
        <f>COUNTIF(Data!$DY$90:$IB$90,Specials!C679)</f>
        <v>2</v>
      </c>
      <c r="F679" s="78">
        <f ca="1">OFFSET(Data!$CS$91,MATCH("W1",Data!$A$91:$A$190,0)-1,MATCH(C679,Data!$CS$90:$DS$90,0)-1)</f>
        <v>6</v>
      </c>
      <c r="G679" s="78">
        <f ca="1">OFFSET(Data!$CS$91,MATCH($B679,Data!$A$91:$A$190,0)-1,MATCH(C679,Data!$CS$90:$DS$90,0)-1)</f>
        <v>6</v>
      </c>
      <c r="H679" s="78">
        <f t="shared" ref="H679:H742" ca="1" si="47">IF(AND(G679-F679&gt;=E679*1,G679-F679&lt;E679*2,G679-F679&gt;=3,G679-F679&gt;=I679-1),1,0)</f>
        <v>0</v>
      </c>
      <c r="I679" s="78">
        <f t="array" ref="I679">SUM(IF(Data!$A$91:$A$190=$B679,Data!$J$91:$M$190))-SUM(IF(Data!$A$91:$A$190="W1",Data!$J$91:$M$190))</f>
        <v>5</v>
      </c>
      <c r="K679" s="78" t="str">
        <f>INDEX(Data!$DT$91:$DT$190,MATCH($B679,Data!$A$91:$A$190,0))</f>
        <v>Katharina Gusenbauer</v>
      </c>
      <c r="L679" s="78" t="str">
        <f t="shared" ref="L679:L742" ca="1" si="48">"Best women took only "&amp;F679&amp;" throws"</f>
        <v>Best women took only 6 throws</v>
      </c>
      <c r="M679" s="78" t="s">
        <v>16</v>
      </c>
      <c r="N679" s="78" t="s">
        <v>255</v>
      </c>
      <c r="O679" s="78" t="e">
        <f t="shared" ca="1" si="43"/>
        <v>#VALUE!</v>
      </c>
      <c r="P679" s="78" t="str">
        <f t="shared" ca="1" si="46"/>
        <v/>
      </c>
    </row>
    <row r="680" spans="1:16" s="78" customFormat="1" hidden="1" x14ac:dyDescent="0.25">
      <c r="A680" s="78" t="s">
        <v>384</v>
      </c>
      <c r="B680" s="296" t="str">
        <f>IF(OR(AND(Parameter!$B$4=0,Parameter!$D$5="n"),INDEX(Data!$M$91:$M$190,MATCH("W2",Data!$A$91:$A$190,0))&gt;0,INDEX(Data!$N$91:$N$190,MATCH("W2",Data!$A$91:$A$190,0))&gt;0),"W2","W1")</f>
        <v>W2</v>
      </c>
      <c r="C680" s="78">
        <f>INDEX(Parameter!$9:$9,,MATCH(3,Parameter!$8:$8,0))</f>
        <v>3</v>
      </c>
      <c r="D680" s="78">
        <f>INDEX(Parameter!$B$10:$AB$10,MATCH(C680,Parameter!$B$9:$AB$9,0))</f>
        <v>3</v>
      </c>
      <c r="E680" s="78">
        <f>COUNTIF(Data!$DY$90:$IB$90,Specials!C680)</f>
        <v>2</v>
      </c>
      <c r="F680" s="78">
        <f ca="1">OFFSET(Data!$CS$91,MATCH("W1",Data!$A$91:$A$190,0)-1,MATCH(C680,Data!$CS$90:$DS$90,0)-1)</f>
        <v>8</v>
      </c>
      <c r="G680" s="78">
        <f ca="1">OFFSET(Data!$CS$91,MATCH($B680,Data!$A$91:$A$190,0)-1,MATCH(C680,Data!$CS$90:$DS$90,0)-1)</f>
        <v>9</v>
      </c>
      <c r="H680" s="78">
        <f t="shared" ca="1" si="47"/>
        <v>0</v>
      </c>
      <c r="I680" s="78">
        <f t="array" ref="I680">SUM(IF(Data!$A$91:$A$190=$B680,Data!$J$91:$M$190))-SUM(IF(Data!$A$91:$A$190="W1",Data!$J$91:$M$190))</f>
        <v>5</v>
      </c>
      <c r="K680" s="78" t="str">
        <f>INDEX(Data!$DT$91:$DT$190,MATCH($B680,Data!$A$91:$A$190,0))</f>
        <v>Katharina Gusenbauer</v>
      </c>
      <c r="L680" s="78" t="str">
        <f t="shared" ca="1" si="48"/>
        <v>Best women took only 8 throws</v>
      </c>
      <c r="M680" s="78" t="s">
        <v>16</v>
      </c>
      <c r="N680" s="78" t="s">
        <v>255</v>
      </c>
      <c r="O680" s="78" t="e">
        <f t="shared" ca="1" si="43"/>
        <v>#VALUE!</v>
      </c>
      <c r="P680" s="78" t="str">
        <f t="shared" ca="1" si="46"/>
        <v/>
      </c>
    </row>
    <row r="681" spans="1:16" s="78" customFormat="1" hidden="1" x14ac:dyDescent="0.25">
      <c r="A681" s="78" t="s">
        <v>384</v>
      </c>
      <c r="B681" s="296" t="str">
        <f>IF(OR(AND(Parameter!$B$4=0,Parameter!$D$5="n"),INDEX(Data!$M$91:$M$190,MATCH("W2",Data!$A$91:$A$190,0))&gt;0,INDEX(Data!$N$91:$N$190,MATCH("W2",Data!$A$91:$A$190,0))&gt;0),"W2","W1")</f>
        <v>W2</v>
      </c>
      <c r="C681" s="78">
        <f>INDEX(Parameter!$9:$9,,MATCH(4,Parameter!$8:$8,0))</f>
        <v>4</v>
      </c>
      <c r="D681" s="78">
        <f>INDEX(Parameter!$B$10:$AB$10,MATCH(C681,Parameter!$B$9:$AB$9,0))</f>
        <v>3</v>
      </c>
      <c r="E681" s="78">
        <f>COUNTIF(Data!$DY$90:$IB$90,Specials!C681)</f>
        <v>2</v>
      </c>
      <c r="F681" s="78">
        <f ca="1">OFFSET(Data!$CS$91,MATCH("W1",Data!$A$91:$A$190,0)-1,MATCH(C681,Data!$CS$90:$DS$90,0)-1)</f>
        <v>7</v>
      </c>
      <c r="G681" s="78">
        <f ca="1">OFFSET(Data!$CS$91,MATCH($B681,Data!$A$91:$A$190,0)-1,MATCH(C681,Data!$CS$90:$DS$90,0)-1)</f>
        <v>9</v>
      </c>
      <c r="H681" s="78">
        <f t="shared" ca="1" si="47"/>
        <v>0</v>
      </c>
      <c r="I681" s="78">
        <f t="array" ref="I681">SUM(IF(Data!$A$91:$A$190=$B681,Data!$J$91:$M$190))-SUM(IF(Data!$A$91:$A$190="W1",Data!$J$91:$M$190))</f>
        <v>5</v>
      </c>
      <c r="K681" s="78" t="str">
        <f>INDEX(Data!$DT$91:$DT$190,MATCH($B681,Data!$A$91:$A$190,0))</f>
        <v>Katharina Gusenbauer</v>
      </c>
      <c r="L681" s="78" t="str">
        <f t="shared" ca="1" si="48"/>
        <v>Best women took only 7 throws</v>
      </c>
      <c r="M681" s="78" t="s">
        <v>16</v>
      </c>
      <c r="N681" s="78" t="s">
        <v>255</v>
      </c>
      <c r="O681" s="78" t="e">
        <f t="shared" ca="1" si="43"/>
        <v>#VALUE!</v>
      </c>
      <c r="P681" s="78" t="str">
        <f t="shared" ca="1" si="46"/>
        <v/>
      </c>
    </row>
    <row r="682" spans="1:16" s="78" customFormat="1" hidden="1" x14ac:dyDescent="0.25">
      <c r="A682" s="78" t="s">
        <v>384</v>
      </c>
      <c r="B682" s="296" t="str">
        <f>IF(OR(AND(Parameter!$B$4=0,Parameter!$D$5="n"),INDEX(Data!$M$91:$M$190,MATCH("W2",Data!$A$91:$A$190,0))&gt;0,INDEX(Data!$N$91:$N$190,MATCH("W2",Data!$A$91:$A$190,0))&gt;0),"W2","W1")</f>
        <v>W2</v>
      </c>
      <c r="C682" s="78">
        <f>INDEX(Parameter!$9:$9,,MATCH(5,Parameter!$8:$8,0))</f>
        <v>5</v>
      </c>
      <c r="D682" s="78">
        <f>INDEX(Parameter!$B$10:$AB$10,MATCH(C682,Parameter!$B$9:$AB$9,0))</f>
        <v>4</v>
      </c>
      <c r="E682" s="78">
        <f>COUNTIF(Data!$DY$90:$IB$90,Specials!C682)</f>
        <v>2</v>
      </c>
      <c r="F682" s="78">
        <f ca="1">OFFSET(Data!$CS$91,MATCH("W1",Data!$A$91:$A$190,0)-1,MATCH(C682,Data!$CS$90:$DS$90,0)-1)</f>
        <v>8</v>
      </c>
      <c r="G682" s="78">
        <f ca="1">OFFSET(Data!$CS$91,MATCH($B682,Data!$A$91:$A$190,0)-1,MATCH(C682,Data!$CS$90:$DS$90,0)-1)</f>
        <v>10</v>
      </c>
      <c r="H682" s="78">
        <f t="shared" ca="1" si="47"/>
        <v>0</v>
      </c>
      <c r="I682" s="78">
        <f t="array" ref="I682">SUM(IF(Data!$A$91:$A$190=$B682,Data!$J$91:$M$190))-SUM(IF(Data!$A$91:$A$190="W1",Data!$J$91:$M$190))</f>
        <v>5</v>
      </c>
      <c r="K682" s="78" t="str">
        <f>INDEX(Data!$DT$91:$DT$190,MATCH($B682,Data!$A$91:$A$190,0))</f>
        <v>Katharina Gusenbauer</v>
      </c>
      <c r="L682" s="78" t="str">
        <f t="shared" ca="1" si="48"/>
        <v>Best women took only 8 throws</v>
      </c>
      <c r="M682" s="78" t="s">
        <v>16</v>
      </c>
      <c r="N682" s="78" t="s">
        <v>255</v>
      </c>
      <c r="O682" s="78" t="e">
        <f t="shared" ca="1" si="43"/>
        <v>#VALUE!</v>
      </c>
      <c r="P682" s="78" t="str">
        <f t="shared" ca="1" si="46"/>
        <v/>
      </c>
    </row>
    <row r="683" spans="1:16" s="78" customFormat="1" hidden="1" x14ac:dyDescent="0.25">
      <c r="A683" s="78" t="s">
        <v>384</v>
      </c>
      <c r="B683" s="296" t="str">
        <f>IF(OR(AND(Parameter!$B$4=0,Parameter!$D$5="n"),INDEX(Data!$M$91:$M$190,MATCH("W2",Data!$A$91:$A$190,0))&gt;0,INDEX(Data!$N$91:$N$190,MATCH("W2",Data!$A$91:$A$190,0))&gt;0),"W2","W1")</f>
        <v>W2</v>
      </c>
      <c r="C683" s="78">
        <f>INDEX(Parameter!$9:$9,,MATCH(6,Parameter!$8:$8,0))</f>
        <v>6</v>
      </c>
      <c r="D683" s="78">
        <f>INDEX(Parameter!$B$10:$AB$10,MATCH(C683,Parameter!$B$9:$AB$9,0))</f>
        <v>3</v>
      </c>
      <c r="E683" s="78">
        <f>COUNTIF(Data!$DY$90:$IB$90,Specials!C683)</f>
        <v>2</v>
      </c>
      <c r="F683" s="78">
        <f ca="1">OFFSET(Data!$CS$91,MATCH("W1",Data!$A$91:$A$190,0)-1,MATCH(C683,Data!$CS$90:$DS$90,0)-1)</f>
        <v>7</v>
      </c>
      <c r="G683" s="78">
        <f ca="1">OFFSET(Data!$CS$91,MATCH($B683,Data!$A$91:$A$190,0)-1,MATCH(C683,Data!$CS$90:$DS$90,0)-1)</f>
        <v>7</v>
      </c>
      <c r="H683" s="78">
        <f t="shared" ca="1" si="47"/>
        <v>0</v>
      </c>
      <c r="I683" s="78">
        <f t="array" ref="I683">SUM(IF(Data!$A$91:$A$190=$B683,Data!$J$91:$M$190))-SUM(IF(Data!$A$91:$A$190="W1",Data!$J$91:$M$190))</f>
        <v>5</v>
      </c>
      <c r="K683" s="78" t="str">
        <f>INDEX(Data!$DT$91:$DT$190,MATCH($B683,Data!$A$91:$A$190,0))</f>
        <v>Katharina Gusenbauer</v>
      </c>
      <c r="L683" s="78" t="str">
        <f t="shared" ca="1" si="48"/>
        <v>Best women took only 7 throws</v>
      </c>
      <c r="M683" s="78" t="s">
        <v>16</v>
      </c>
      <c r="N683" s="78" t="s">
        <v>255</v>
      </c>
      <c r="O683" s="78" t="e">
        <f t="shared" ca="1" si="43"/>
        <v>#VALUE!</v>
      </c>
      <c r="P683" s="78" t="str">
        <f t="shared" ca="1" si="46"/>
        <v/>
      </c>
    </row>
    <row r="684" spans="1:16" s="78" customFormat="1" hidden="1" x14ac:dyDescent="0.25">
      <c r="A684" s="78" t="s">
        <v>384</v>
      </c>
      <c r="B684" s="296" t="str">
        <f>IF(OR(AND(Parameter!$B$4=0,Parameter!$D$5="n"),INDEX(Data!$M$91:$M$190,MATCH("W2",Data!$A$91:$A$190,0))&gt;0,INDEX(Data!$N$91:$N$190,MATCH("W2",Data!$A$91:$A$190,0))&gt;0),"W2","W1")</f>
        <v>W2</v>
      </c>
      <c r="C684" s="78">
        <f>INDEX(Parameter!$9:$9,,MATCH(7,Parameter!$8:$8,0))</f>
        <v>7</v>
      </c>
      <c r="D684" s="78">
        <f>INDEX(Parameter!$B$10:$AB$10,MATCH(C684,Parameter!$B$9:$AB$9,0))</f>
        <v>3</v>
      </c>
      <c r="E684" s="78">
        <f>COUNTIF(Data!$DY$90:$IB$90,Specials!C684)</f>
        <v>2</v>
      </c>
      <c r="F684" s="78">
        <f ca="1">OFFSET(Data!$CS$91,MATCH("W1",Data!$A$91:$A$190,0)-1,MATCH(C684,Data!$CS$90:$DS$90,0)-1)</f>
        <v>6</v>
      </c>
      <c r="G684" s="78">
        <f ca="1">OFFSET(Data!$CS$91,MATCH($B684,Data!$A$91:$A$190,0)-1,MATCH(C684,Data!$CS$90:$DS$90,0)-1)</f>
        <v>6</v>
      </c>
      <c r="H684" s="78">
        <f t="shared" ca="1" si="47"/>
        <v>0</v>
      </c>
      <c r="I684" s="78">
        <f t="array" ref="I684">SUM(IF(Data!$A$91:$A$190=$B684,Data!$J$91:$M$190))-SUM(IF(Data!$A$91:$A$190="W1",Data!$J$91:$M$190))</f>
        <v>5</v>
      </c>
      <c r="K684" s="78" t="str">
        <f>INDEX(Data!$DT$91:$DT$190,MATCH($B684,Data!$A$91:$A$190,0))</f>
        <v>Katharina Gusenbauer</v>
      </c>
      <c r="L684" s="78" t="str">
        <f t="shared" ca="1" si="48"/>
        <v>Best women took only 6 throws</v>
      </c>
      <c r="M684" s="78" t="s">
        <v>16</v>
      </c>
      <c r="N684" s="78" t="s">
        <v>255</v>
      </c>
      <c r="O684" s="78" t="e">
        <f t="shared" ca="1" si="43"/>
        <v>#VALUE!</v>
      </c>
      <c r="P684" s="78" t="str">
        <f t="shared" ca="1" si="46"/>
        <v/>
      </c>
    </row>
    <row r="685" spans="1:16" s="78" customFormat="1" hidden="1" x14ac:dyDescent="0.25">
      <c r="A685" s="78" t="s">
        <v>384</v>
      </c>
      <c r="B685" s="296" t="str">
        <f>IF(OR(AND(Parameter!$B$4=0,Parameter!$D$5="n"),INDEX(Data!$M$91:$M$190,MATCH("W2",Data!$A$91:$A$190,0))&gt;0,INDEX(Data!$N$91:$N$190,MATCH("W2",Data!$A$91:$A$190,0))&gt;0),"W2","W1")</f>
        <v>W2</v>
      </c>
      <c r="C685" s="78">
        <f>INDEX(Parameter!$9:$9,,MATCH(8,Parameter!$8:$8,0))</f>
        <v>8</v>
      </c>
      <c r="D685" s="78">
        <f>INDEX(Parameter!$B$10:$AB$10,MATCH(C685,Parameter!$B$9:$AB$9,0))</f>
        <v>3</v>
      </c>
      <c r="E685" s="78">
        <f>COUNTIF(Data!$DY$90:$IB$90,Specials!C685)</f>
        <v>2</v>
      </c>
      <c r="F685" s="78">
        <f ca="1">OFFSET(Data!$CS$91,MATCH("W1",Data!$A$91:$A$190,0)-1,MATCH(C685,Data!$CS$90:$DS$90,0)-1)</f>
        <v>6</v>
      </c>
      <c r="G685" s="78">
        <f ca="1">OFFSET(Data!$CS$91,MATCH($B685,Data!$A$91:$A$190,0)-1,MATCH(C685,Data!$CS$90:$DS$90,0)-1)</f>
        <v>7</v>
      </c>
      <c r="H685" s="78">
        <f t="shared" ca="1" si="47"/>
        <v>0</v>
      </c>
      <c r="I685" s="78">
        <f t="array" ref="I685">SUM(IF(Data!$A$91:$A$190=$B685,Data!$J$91:$M$190))-SUM(IF(Data!$A$91:$A$190="W1",Data!$J$91:$M$190))</f>
        <v>5</v>
      </c>
      <c r="K685" s="78" t="str">
        <f>INDEX(Data!$DT$91:$DT$190,MATCH($B685,Data!$A$91:$A$190,0))</f>
        <v>Katharina Gusenbauer</v>
      </c>
      <c r="L685" s="78" t="str">
        <f t="shared" ca="1" si="48"/>
        <v>Best women took only 6 throws</v>
      </c>
      <c r="M685" s="78" t="s">
        <v>16</v>
      </c>
      <c r="N685" s="78" t="s">
        <v>255</v>
      </c>
      <c r="O685" s="78" t="e">
        <f t="shared" ca="1" si="43"/>
        <v>#VALUE!</v>
      </c>
      <c r="P685" s="78" t="str">
        <f t="shared" ca="1" si="46"/>
        <v/>
      </c>
    </row>
    <row r="686" spans="1:16" s="78" customFormat="1" hidden="1" x14ac:dyDescent="0.25">
      <c r="A686" s="78" t="s">
        <v>384</v>
      </c>
      <c r="B686" s="296" t="str">
        <f>IF(OR(AND(Parameter!$B$4=0,Parameter!$D$5="n"),INDEX(Data!$M$91:$M$190,MATCH("W2",Data!$A$91:$A$190,0))&gt;0,INDEX(Data!$N$91:$N$190,MATCH("W2",Data!$A$91:$A$190,0))&gt;0),"W2","W1")</f>
        <v>W2</v>
      </c>
      <c r="C686" s="78">
        <f>INDEX(Parameter!$9:$9,,MATCH(9,Parameter!$8:$8,0))</f>
        <v>9</v>
      </c>
      <c r="D686" s="78">
        <f>INDEX(Parameter!$B$10:$AB$10,MATCH(C686,Parameter!$B$9:$AB$9,0))</f>
        <v>4</v>
      </c>
      <c r="E686" s="78">
        <f>COUNTIF(Data!$DY$90:$IB$90,Specials!C686)</f>
        <v>2</v>
      </c>
      <c r="F686" s="78">
        <f ca="1">OFFSET(Data!$CS$91,MATCH("W1",Data!$A$91:$A$190,0)-1,MATCH(C686,Data!$CS$90:$DS$90,0)-1)</f>
        <v>9</v>
      </c>
      <c r="G686" s="78">
        <f ca="1">OFFSET(Data!$CS$91,MATCH($B686,Data!$A$91:$A$190,0)-1,MATCH(C686,Data!$CS$90:$DS$90,0)-1)</f>
        <v>8</v>
      </c>
      <c r="H686" s="78">
        <f t="shared" ca="1" si="47"/>
        <v>0</v>
      </c>
      <c r="I686" s="78">
        <f t="array" ref="I686">SUM(IF(Data!$A$91:$A$190=$B686,Data!$J$91:$M$190))-SUM(IF(Data!$A$91:$A$190="W1",Data!$J$91:$M$190))</f>
        <v>5</v>
      </c>
      <c r="K686" s="78" t="str">
        <f>INDEX(Data!$DT$91:$DT$190,MATCH($B686,Data!$A$91:$A$190,0))</f>
        <v>Katharina Gusenbauer</v>
      </c>
      <c r="L686" s="78" t="str">
        <f t="shared" ca="1" si="48"/>
        <v>Best women took only 9 throws</v>
      </c>
      <c r="M686" s="78" t="s">
        <v>16</v>
      </c>
      <c r="N686" s="78" t="s">
        <v>255</v>
      </c>
      <c r="O686" s="78" t="e">
        <f t="shared" ca="1" si="43"/>
        <v>#VALUE!</v>
      </c>
      <c r="P686" s="78" t="str">
        <f t="shared" ca="1" si="46"/>
        <v/>
      </c>
    </row>
    <row r="687" spans="1:16" s="78" customFormat="1" hidden="1" x14ac:dyDescent="0.25">
      <c r="A687" s="78" t="s">
        <v>384</v>
      </c>
      <c r="B687" s="296" t="str">
        <f>IF(OR(AND(Parameter!$B$4=0,Parameter!$D$5="n"),INDEX(Data!$M$91:$M$190,MATCH("W2",Data!$A$91:$A$190,0))&gt;0,INDEX(Data!$N$91:$N$190,MATCH("W2",Data!$A$91:$A$190,0))&gt;0),"W2","W1")</f>
        <v>W2</v>
      </c>
      <c r="C687" s="78">
        <f>INDEX(Parameter!$9:$9,,MATCH(10,Parameter!$8:$8,0))</f>
        <v>10</v>
      </c>
      <c r="D687" s="78">
        <f>INDEX(Parameter!$B$10:$AB$10,MATCH(C687,Parameter!$B$9:$AB$9,0))</f>
        <v>4</v>
      </c>
      <c r="E687" s="78">
        <f>COUNTIF(Data!$DY$90:$IB$90,Specials!C687)</f>
        <v>2</v>
      </c>
      <c r="F687" s="78">
        <f ca="1">OFFSET(Data!$CS$91,MATCH("W1",Data!$A$91:$A$190,0)-1,MATCH(C687,Data!$CS$90:$DS$90,0)-1)</f>
        <v>8</v>
      </c>
      <c r="G687" s="78">
        <f ca="1">OFFSET(Data!$CS$91,MATCH($B687,Data!$A$91:$A$190,0)-1,MATCH(C687,Data!$CS$90:$DS$90,0)-1)</f>
        <v>8</v>
      </c>
      <c r="H687" s="78">
        <f t="shared" ca="1" si="47"/>
        <v>0</v>
      </c>
      <c r="I687" s="78">
        <f t="array" ref="I687">SUM(IF(Data!$A$91:$A$190=$B687,Data!$J$91:$M$190))-SUM(IF(Data!$A$91:$A$190="W1",Data!$J$91:$M$190))</f>
        <v>5</v>
      </c>
      <c r="K687" s="78" t="str">
        <f>INDEX(Data!$DT$91:$DT$190,MATCH($B687,Data!$A$91:$A$190,0))</f>
        <v>Katharina Gusenbauer</v>
      </c>
      <c r="L687" s="78" t="str">
        <f t="shared" ca="1" si="48"/>
        <v>Best women took only 8 throws</v>
      </c>
      <c r="M687" s="78" t="s">
        <v>16</v>
      </c>
      <c r="N687" s="78" t="s">
        <v>255</v>
      </c>
      <c r="O687" s="78" t="e">
        <f t="shared" ca="1" si="43"/>
        <v>#VALUE!</v>
      </c>
      <c r="P687" s="78" t="str">
        <f t="shared" ca="1" si="46"/>
        <v/>
      </c>
    </row>
    <row r="688" spans="1:16" s="78" customFormat="1" hidden="1" x14ac:dyDescent="0.25">
      <c r="A688" s="78" t="s">
        <v>384</v>
      </c>
      <c r="B688" s="296" t="str">
        <f>IF(OR(AND(Parameter!$B$4=0,Parameter!$D$5="n"),INDEX(Data!$M$91:$M$190,MATCH("W2",Data!$A$91:$A$190,0))&gt;0,INDEX(Data!$N$91:$N$190,MATCH("W2",Data!$A$91:$A$190,0))&gt;0),"W2","W1")</f>
        <v>W2</v>
      </c>
      <c r="C688" s="78">
        <f>INDEX(Parameter!$9:$9,,MATCH(11,Parameter!$8:$8,0))</f>
        <v>11</v>
      </c>
      <c r="D688" s="78">
        <f>INDEX(Parameter!$B$10:$AB$10,MATCH(C688,Parameter!$B$9:$AB$9,0))</f>
        <v>4</v>
      </c>
      <c r="E688" s="78">
        <f>COUNTIF(Data!$DY$90:$IB$90,Specials!C688)</f>
        <v>2</v>
      </c>
      <c r="F688" s="78">
        <f ca="1">OFFSET(Data!$CS$91,MATCH("W1",Data!$A$91:$A$190,0)-1,MATCH(C688,Data!$CS$90:$DS$90,0)-1)</f>
        <v>10</v>
      </c>
      <c r="G688" s="78">
        <f ca="1">OFFSET(Data!$CS$91,MATCH($B688,Data!$A$91:$A$190,0)-1,MATCH(C688,Data!$CS$90:$DS$90,0)-1)</f>
        <v>10</v>
      </c>
      <c r="H688" s="78">
        <f t="shared" ca="1" si="47"/>
        <v>0</v>
      </c>
      <c r="I688" s="78">
        <f t="array" ref="I688">SUM(IF(Data!$A$91:$A$190=$B688,Data!$J$91:$M$190))-SUM(IF(Data!$A$91:$A$190="W1",Data!$J$91:$M$190))</f>
        <v>5</v>
      </c>
      <c r="K688" s="78" t="str">
        <f>INDEX(Data!$DT$91:$DT$190,MATCH($B688,Data!$A$91:$A$190,0))</f>
        <v>Katharina Gusenbauer</v>
      </c>
      <c r="L688" s="78" t="str">
        <f t="shared" ca="1" si="48"/>
        <v>Best women took only 10 throws</v>
      </c>
      <c r="M688" s="78" t="s">
        <v>16</v>
      </c>
      <c r="N688" s="78" t="s">
        <v>255</v>
      </c>
      <c r="O688" s="78" t="e">
        <f t="shared" ca="1" si="43"/>
        <v>#VALUE!</v>
      </c>
      <c r="P688" s="78" t="str">
        <f t="shared" ca="1" si="46"/>
        <v/>
      </c>
    </row>
    <row r="689" spans="1:16" s="78" customFormat="1" hidden="1" x14ac:dyDescent="0.25">
      <c r="A689" s="78" t="s">
        <v>384</v>
      </c>
      <c r="B689" s="296" t="str">
        <f>IF(OR(AND(Parameter!$B$4=0,Parameter!$D$5="n"),INDEX(Data!$M$91:$M$190,MATCH("W2",Data!$A$91:$A$190,0))&gt;0,INDEX(Data!$N$91:$N$190,MATCH("W2",Data!$A$91:$A$190,0))&gt;0),"W2","W1")</f>
        <v>W2</v>
      </c>
      <c r="C689" s="78" t="str">
        <f>INDEX(Parameter!$9:$9,,MATCH(12,Parameter!$8:$8,0))</f>
        <v>11b</v>
      </c>
      <c r="D689" s="78">
        <f>INDEX(Parameter!$B$10:$AB$10,MATCH(C689,Parameter!$B$9:$AB$9,0))</f>
        <v>3</v>
      </c>
      <c r="E689" s="78">
        <f>COUNTIF(Data!$DY$90:$IB$90,Specials!C689)</f>
        <v>2</v>
      </c>
      <c r="F689" s="78">
        <f ca="1">OFFSET(Data!$CS$91,MATCH("W1",Data!$A$91:$A$190,0)-1,MATCH(C689,Data!$CS$90:$DS$90,0)-1)</f>
        <v>6</v>
      </c>
      <c r="G689" s="78">
        <f ca="1">OFFSET(Data!$CS$91,MATCH($B689,Data!$A$91:$A$190,0)-1,MATCH(C689,Data!$CS$90:$DS$90,0)-1)</f>
        <v>7</v>
      </c>
      <c r="H689" s="78">
        <f t="shared" ca="1" si="47"/>
        <v>0</v>
      </c>
      <c r="I689" s="78">
        <f t="array" ref="I689">SUM(IF(Data!$A$91:$A$190=$B689,Data!$J$91:$M$190))-SUM(IF(Data!$A$91:$A$190="W1",Data!$J$91:$M$190))</f>
        <v>5</v>
      </c>
      <c r="K689" s="78" t="str">
        <f>INDEX(Data!$DT$91:$DT$190,MATCH($B689,Data!$A$91:$A$190,0))</f>
        <v>Katharina Gusenbauer</v>
      </c>
      <c r="L689" s="78" t="str">
        <f t="shared" ca="1" si="48"/>
        <v>Best women took only 6 throws</v>
      </c>
      <c r="M689" s="78" t="s">
        <v>16</v>
      </c>
      <c r="N689" s="78" t="s">
        <v>255</v>
      </c>
      <c r="O689" s="78" t="e">
        <f t="shared" ca="1" si="43"/>
        <v>#VALUE!</v>
      </c>
      <c r="P689" s="78" t="str">
        <f t="shared" ca="1" si="46"/>
        <v/>
      </c>
    </row>
    <row r="690" spans="1:16" s="78" customFormat="1" hidden="1" x14ac:dyDescent="0.25">
      <c r="A690" s="78" t="s">
        <v>384</v>
      </c>
      <c r="B690" s="296" t="str">
        <f>IF(OR(AND(Parameter!$B$4=0,Parameter!$D$5="n"),INDEX(Data!$M$91:$M$190,MATCH("W2",Data!$A$91:$A$190,0))&gt;0,INDEX(Data!$N$91:$N$190,MATCH("W2",Data!$A$91:$A$190,0))&gt;0),"W2","W1")</f>
        <v>W2</v>
      </c>
      <c r="C690" s="78">
        <f>INDEX(Parameter!$9:$9,,MATCH(13,Parameter!$8:$8,0))</f>
        <v>12</v>
      </c>
      <c r="D690" s="78">
        <f>INDEX(Parameter!$B$10:$AB$10,MATCH(C690,Parameter!$B$9:$AB$9,0))</f>
        <v>3</v>
      </c>
      <c r="E690" s="78">
        <f>COUNTIF(Data!$DY$90:$IB$90,Specials!C690)</f>
        <v>2</v>
      </c>
      <c r="F690" s="78">
        <f ca="1">OFFSET(Data!$CS$91,MATCH("W1",Data!$A$91:$A$190,0)-1,MATCH(C690,Data!$CS$90:$DS$90,0)-1)</f>
        <v>6</v>
      </c>
      <c r="G690" s="78">
        <f ca="1">OFFSET(Data!$CS$91,MATCH($B690,Data!$A$91:$A$190,0)-1,MATCH(C690,Data!$CS$90:$DS$90,0)-1)</f>
        <v>5</v>
      </c>
      <c r="H690" s="78">
        <f t="shared" ca="1" si="47"/>
        <v>0</v>
      </c>
      <c r="I690" s="78">
        <f t="array" ref="I690">SUM(IF(Data!$A$91:$A$190=$B690,Data!$J$91:$M$190))-SUM(IF(Data!$A$91:$A$190="W1",Data!$J$91:$M$190))</f>
        <v>5</v>
      </c>
      <c r="K690" s="78" t="str">
        <f>INDEX(Data!$DT$91:$DT$190,MATCH($B690,Data!$A$91:$A$190,0))</f>
        <v>Katharina Gusenbauer</v>
      </c>
      <c r="L690" s="78" t="str">
        <f t="shared" ca="1" si="48"/>
        <v>Best women took only 6 throws</v>
      </c>
      <c r="M690" s="78" t="s">
        <v>16</v>
      </c>
      <c r="N690" s="78" t="s">
        <v>255</v>
      </c>
      <c r="O690" s="78" t="e">
        <f t="shared" ca="1" si="43"/>
        <v>#VALUE!</v>
      </c>
      <c r="P690" s="78" t="str">
        <f t="shared" ca="1" si="46"/>
        <v/>
      </c>
    </row>
    <row r="691" spans="1:16" s="78" customFormat="1" hidden="1" x14ac:dyDescent="0.25">
      <c r="A691" s="78" t="s">
        <v>384</v>
      </c>
      <c r="B691" s="296" t="str">
        <f>IF(OR(AND(Parameter!$B$4=0,Parameter!$D$5="n"),INDEX(Data!$M$91:$M$190,MATCH("W2",Data!$A$91:$A$190,0))&gt;0,INDEX(Data!$N$91:$N$190,MATCH("W2",Data!$A$91:$A$190,0))&gt;0),"W2","W1")</f>
        <v>W2</v>
      </c>
      <c r="C691" s="78">
        <f>INDEX(Parameter!$9:$9,,MATCH(14,Parameter!$8:$8,0))</f>
        <v>13</v>
      </c>
      <c r="D691" s="78">
        <f>INDEX(Parameter!$B$10:$AB$10,MATCH(C691,Parameter!$B$9:$AB$9,0))</f>
        <v>3</v>
      </c>
      <c r="E691" s="78">
        <f>COUNTIF(Data!$DY$90:$IB$90,Specials!C691)</f>
        <v>2</v>
      </c>
      <c r="F691" s="78">
        <f ca="1">OFFSET(Data!$CS$91,MATCH("W1",Data!$A$91:$A$190,0)-1,MATCH(C691,Data!$CS$90:$DS$90,0)-1)</f>
        <v>7</v>
      </c>
      <c r="G691" s="78">
        <f ca="1">OFFSET(Data!$CS$91,MATCH($B691,Data!$A$91:$A$190,0)-1,MATCH(C691,Data!$CS$90:$DS$90,0)-1)</f>
        <v>6</v>
      </c>
      <c r="H691" s="78">
        <f t="shared" ca="1" si="47"/>
        <v>0</v>
      </c>
      <c r="I691" s="78">
        <f t="array" ref="I691">SUM(IF(Data!$A$91:$A$190=$B691,Data!$J$91:$M$190))-SUM(IF(Data!$A$91:$A$190="W1",Data!$J$91:$M$190))</f>
        <v>5</v>
      </c>
      <c r="K691" s="78" t="str">
        <f>INDEX(Data!$DT$91:$DT$190,MATCH($B691,Data!$A$91:$A$190,0))</f>
        <v>Katharina Gusenbauer</v>
      </c>
      <c r="L691" s="78" t="str">
        <f t="shared" ca="1" si="48"/>
        <v>Best women took only 7 throws</v>
      </c>
      <c r="M691" s="78" t="s">
        <v>16</v>
      </c>
      <c r="N691" s="78" t="s">
        <v>255</v>
      </c>
      <c r="O691" s="78" t="e">
        <f t="shared" ca="1" si="43"/>
        <v>#VALUE!</v>
      </c>
      <c r="P691" s="78" t="str">
        <f t="shared" ca="1" si="46"/>
        <v/>
      </c>
    </row>
    <row r="692" spans="1:16" s="78" customFormat="1" hidden="1" x14ac:dyDescent="0.25">
      <c r="A692" s="78" t="s">
        <v>384</v>
      </c>
      <c r="B692" s="296" t="str">
        <f>IF(OR(AND(Parameter!$B$4=0,Parameter!$D$5="n"),INDEX(Data!$M$91:$M$190,MATCH("W2",Data!$A$91:$A$190,0))&gt;0,INDEX(Data!$N$91:$N$190,MATCH("W2",Data!$A$91:$A$190,0))&gt;0),"W2","W1")</f>
        <v>W2</v>
      </c>
      <c r="C692" s="78">
        <f>INDEX(Parameter!$9:$9,,MATCH(15,Parameter!$8:$8,0))</f>
        <v>14</v>
      </c>
      <c r="D692" s="78">
        <f>INDEX(Parameter!$B$10:$AB$10,MATCH(C692,Parameter!$B$9:$AB$9,0))</f>
        <v>3</v>
      </c>
      <c r="E692" s="78">
        <f>COUNTIF(Data!$DY$90:$IB$90,Specials!C692)</f>
        <v>2</v>
      </c>
      <c r="F692" s="78">
        <f ca="1">OFFSET(Data!$CS$91,MATCH("W1",Data!$A$91:$A$190,0)-1,MATCH(C692,Data!$CS$90:$DS$90,0)-1)</f>
        <v>7</v>
      </c>
      <c r="G692" s="78">
        <f ca="1">OFFSET(Data!$CS$91,MATCH($B692,Data!$A$91:$A$190,0)-1,MATCH(C692,Data!$CS$90:$DS$90,0)-1)</f>
        <v>7</v>
      </c>
      <c r="H692" s="78">
        <f t="shared" ca="1" si="47"/>
        <v>0</v>
      </c>
      <c r="I692" s="78">
        <f t="array" ref="I692">SUM(IF(Data!$A$91:$A$190=$B692,Data!$J$91:$M$190))-SUM(IF(Data!$A$91:$A$190="W1",Data!$J$91:$M$190))</f>
        <v>5</v>
      </c>
      <c r="K692" s="78" t="str">
        <f>INDEX(Data!$DT$91:$DT$190,MATCH($B692,Data!$A$91:$A$190,0))</f>
        <v>Katharina Gusenbauer</v>
      </c>
      <c r="L692" s="78" t="str">
        <f t="shared" ca="1" si="48"/>
        <v>Best women took only 7 throws</v>
      </c>
      <c r="M692" s="78" t="s">
        <v>16</v>
      </c>
      <c r="N692" s="78" t="s">
        <v>255</v>
      </c>
      <c r="O692" s="78" t="e">
        <f t="shared" ca="1" si="43"/>
        <v>#VALUE!</v>
      </c>
      <c r="P692" s="78" t="str">
        <f t="shared" ca="1" si="46"/>
        <v/>
      </c>
    </row>
    <row r="693" spans="1:16" s="78" customFormat="1" hidden="1" x14ac:dyDescent="0.25">
      <c r="A693" s="78" t="s">
        <v>384</v>
      </c>
      <c r="B693" s="296" t="str">
        <f>IF(OR(AND(Parameter!$B$4=0,Parameter!$D$5="n"),INDEX(Data!$M$91:$M$190,MATCH("W2",Data!$A$91:$A$190,0))&gt;0,INDEX(Data!$N$91:$N$190,MATCH("W2",Data!$A$91:$A$190,0))&gt;0),"W2","W1")</f>
        <v>W2</v>
      </c>
      <c r="C693" s="78">
        <f>INDEX(Parameter!$9:$9,,MATCH(16,Parameter!$8:$8,0))</f>
        <v>15</v>
      </c>
      <c r="D693" s="78">
        <f>INDEX(Parameter!$B$10:$AB$10,MATCH(C693,Parameter!$B$9:$AB$9,0))</f>
        <v>3</v>
      </c>
      <c r="E693" s="78">
        <f>COUNTIF(Data!$DY$90:$IB$90,Specials!C693)</f>
        <v>2</v>
      </c>
      <c r="F693" s="78">
        <f ca="1">OFFSET(Data!$CS$91,MATCH("W1",Data!$A$91:$A$190,0)-1,MATCH(C693,Data!$CS$90:$DS$90,0)-1)</f>
        <v>5</v>
      </c>
      <c r="G693" s="78">
        <f ca="1">OFFSET(Data!$CS$91,MATCH($B693,Data!$A$91:$A$190,0)-1,MATCH(C693,Data!$CS$90:$DS$90,0)-1)</f>
        <v>6</v>
      </c>
      <c r="H693" s="78">
        <f t="shared" ca="1" si="47"/>
        <v>0</v>
      </c>
      <c r="I693" s="78">
        <f t="array" ref="I693">SUM(IF(Data!$A$91:$A$190=$B693,Data!$J$91:$M$190))-SUM(IF(Data!$A$91:$A$190="W1",Data!$J$91:$M$190))</f>
        <v>5</v>
      </c>
      <c r="K693" s="78" t="str">
        <f>INDEX(Data!$DT$91:$DT$190,MATCH($B693,Data!$A$91:$A$190,0))</f>
        <v>Katharina Gusenbauer</v>
      </c>
      <c r="L693" s="78" t="str">
        <f t="shared" ca="1" si="48"/>
        <v>Best women took only 5 throws</v>
      </c>
      <c r="M693" s="78" t="s">
        <v>16</v>
      </c>
      <c r="N693" s="78" t="s">
        <v>255</v>
      </c>
      <c r="O693" s="78" t="e">
        <f t="shared" ca="1" si="43"/>
        <v>#VALUE!</v>
      </c>
      <c r="P693" s="78" t="str">
        <f t="shared" ca="1" si="46"/>
        <v/>
      </c>
    </row>
    <row r="694" spans="1:16" s="78" customFormat="1" hidden="1" x14ac:dyDescent="0.25">
      <c r="A694" s="78" t="s">
        <v>384</v>
      </c>
      <c r="B694" s="296" t="str">
        <f>IF(OR(AND(Parameter!$B$4=0,Parameter!$D$5="n"),INDEX(Data!$M$91:$M$190,MATCH("W2",Data!$A$91:$A$190,0))&gt;0,INDEX(Data!$N$91:$N$190,MATCH("W2",Data!$A$91:$A$190,0))&gt;0),"W2","W1")</f>
        <v>W2</v>
      </c>
      <c r="C694" s="78">
        <f>INDEX(Parameter!$9:$9,,MATCH(17,Parameter!$8:$8,0))</f>
        <v>16</v>
      </c>
      <c r="D694" s="78">
        <f>INDEX(Parameter!$B$10:$AB$10,MATCH(C694,Parameter!$B$9:$AB$9,0))</f>
        <v>3</v>
      </c>
      <c r="E694" s="78">
        <f>COUNTIF(Data!$DY$90:$IB$90,Specials!C694)</f>
        <v>2</v>
      </c>
      <c r="F694" s="78">
        <f ca="1">OFFSET(Data!$CS$91,MATCH("W1",Data!$A$91:$A$190,0)-1,MATCH(C694,Data!$CS$90:$DS$90,0)-1)</f>
        <v>6</v>
      </c>
      <c r="G694" s="78">
        <f ca="1">OFFSET(Data!$CS$91,MATCH($B694,Data!$A$91:$A$190,0)-1,MATCH(C694,Data!$CS$90:$DS$90,0)-1)</f>
        <v>6</v>
      </c>
      <c r="H694" s="78">
        <f t="shared" ca="1" si="47"/>
        <v>0</v>
      </c>
      <c r="I694" s="78">
        <f t="array" ref="I694">SUM(IF(Data!$A$91:$A$190=$B694,Data!$J$91:$M$190))-SUM(IF(Data!$A$91:$A$190="W1",Data!$J$91:$M$190))</f>
        <v>5</v>
      </c>
      <c r="K694" s="78" t="str">
        <f>INDEX(Data!$DT$91:$DT$190,MATCH($B694,Data!$A$91:$A$190,0))</f>
        <v>Katharina Gusenbauer</v>
      </c>
      <c r="L694" s="78" t="str">
        <f t="shared" ca="1" si="48"/>
        <v>Best women took only 6 throws</v>
      </c>
      <c r="M694" s="78" t="s">
        <v>16</v>
      </c>
      <c r="N694" s="78" t="s">
        <v>255</v>
      </c>
      <c r="O694" s="78" t="e">
        <f t="shared" ca="1" si="43"/>
        <v>#VALUE!</v>
      </c>
      <c r="P694" s="78" t="str">
        <f t="shared" ca="1" si="46"/>
        <v/>
      </c>
    </row>
    <row r="695" spans="1:16" s="78" customFormat="1" hidden="1" x14ac:dyDescent="0.25">
      <c r="A695" s="78" t="s">
        <v>384</v>
      </c>
      <c r="B695" s="296" t="str">
        <f>IF(OR(AND(Parameter!$B$4=0,Parameter!$D$5="n"),INDEX(Data!$M$91:$M$190,MATCH("W2",Data!$A$91:$A$190,0))&gt;0,INDEX(Data!$N$91:$N$190,MATCH("W2",Data!$A$91:$A$190,0))&gt;0),"W2","W1")</f>
        <v>W2</v>
      </c>
      <c r="C695" s="78">
        <f>INDEX(Parameter!$9:$9,,MATCH(18,Parameter!$8:$8,0))</f>
        <v>17</v>
      </c>
      <c r="D695" s="78">
        <f>INDEX(Parameter!$B$10:$AB$10,MATCH(C695,Parameter!$B$9:$AB$9,0))</f>
        <v>3</v>
      </c>
      <c r="E695" s="78">
        <f>COUNTIF(Data!$DY$90:$IB$90,Specials!C695)</f>
        <v>2</v>
      </c>
      <c r="F695" s="78">
        <f ca="1">OFFSET(Data!$CS$91,MATCH("W1",Data!$A$91:$A$190,0)-1,MATCH(C695,Data!$CS$90:$DS$90,0)-1)</f>
        <v>6</v>
      </c>
      <c r="G695" s="78">
        <f ca="1">OFFSET(Data!$CS$91,MATCH($B695,Data!$A$91:$A$190,0)-1,MATCH(C695,Data!$CS$90:$DS$90,0)-1)</f>
        <v>4</v>
      </c>
      <c r="H695" s="78">
        <f t="shared" ca="1" si="47"/>
        <v>0</v>
      </c>
      <c r="I695" s="78">
        <f t="array" ref="I695">SUM(IF(Data!$A$91:$A$190=$B695,Data!$J$91:$M$190))-SUM(IF(Data!$A$91:$A$190="W1",Data!$J$91:$M$190))</f>
        <v>5</v>
      </c>
      <c r="K695" s="78" t="str">
        <f>INDEX(Data!$DT$91:$DT$190,MATCH($B695,Data!$A$91:$A$190,0))</f>
        <v>Katharina Gusenbauer</v>
      </c>
      <c r="L695" s="78" t="str">
        <f t="shared" ca="1" si="48"/>
        <v>Best women took only 6 throws</v>
      </c>
      <c r="M695" s="78" t="s">
        <v>16</v>
      </c>
      <c r="N695" s="78" t="s">
        <v>255</v>
      </c>
      <c r="O695" s="78" t="e">
        <f t="shared" ca="1" si="43"/>
        <v>#VALUE!</v>
      </c>
      <c r="P695" s="78" t="str">
        <f t="shared" ca="1" si="46"/>
        <v/>
      </c>
    </row>
    <row r="696" spans="1:16" s="78" customFormat="1" hidden="1" x14ac:dyDescent="0.25">
      <c r="A696" s="78" t="s">
        <v>384</v>
      </c>
      <c r="B696" s="296" t="str">
        <f>IF(OR(AND(Parameter!$B$4=0,Parameter!$D$5="n"),INDEX(Data!$M$91:$M$190,MATCH("W2",Data!$A$91:$A$190,0))&gt;0,INDEX(Data!$N$91:$N$190,MATCH("W2",Data!$A$91:$A$190,0))&gt;0),"W2","W1")</f>
        <v>W2</v>
      </c>
      <c r="C696" s="78">
        <f>INDEX(Parameter!$9:$9,,MATCH(19,Parameter!$8:$8,0))</f>
        <v>18</v>
      </c>
      <c r="D696" s="78">
        <f>INDEX(Parameter!$B$10:$AB$10,MATCH(C696,Parameter!$B$9:$AB$9,0))</f>
        <v>3</v>
      </c>
      <c r="E696" s="78">
        <f>COUNTIF(Data!$DY$90:$IB$90,Specials!C696)</f>
        <v>2</v>
      </c>
      <c r="F696" s="78">
        <f ca="1">OFFSET(Data!$CS$91,MATCH("W1",Data!$A$91:$A$190,0)-1,MATCH(C696,Data!$CS$90:$DS$90,0)-1)</f>
        <v>6</v>
      </c>
      <c r="G696" s="78">
        <f ca="1">OFFSET(Data!$CS$91,MATCH($B696,Data!$A$91:$A$190,0)-1,MATCH(C696,Data!$CS$90:$DS$90,0)-1)</f>
        <v>9</v>
      </c>
      <c r="H696" s="78">
        <f t="shared" ca="1" si="47"/>
        <v>0</v>
      </c>
      <c r="I696" s="78">
        <f t="array" ref="I696">SUM(IF(Data!$A$91:$A$190=$B696,Data!$J$91:$M$190))-SUM(IF(Data!$A$91:$A$190="W1",Data!$J$91:$M$190))</f>
        <v>5</v>
      </c>
      <c r="K696" s="78" t="str">
        <f>INDEX(Data!$DT$91:$DT$190,MATCH($B696,Data!$A$91:$A$190,0))</f>
        <v>Katharina Gusenbauer</v>
      </c>
      <c r="L696" s="78" t="str">
        <f t="shared" ca="1" si="48"/>
        <v>Best women took only 6 throws</v>
      </c>
      <c r="M696" s="78" t="s">
        <v>16</v>
      </c>
      <c r="N696" s="78" t="s">
        <v>255</v>
      </c>
      <c r="O696" s="78" t="e">
        <f t="shared" ca="1" si="43"/>
        <v>#VALUE!</v>
      </c>
      <c r="P696" s="78" t="str">
        <f t="shared" ca="1" si="46"/>
        <v/>
      </c>
    </row>
    <row r="697" spans="1:16" s="78" customFormat="1" hidden="1" x14ac:dyDescent="0.25">
      <c r="A697" s="78" t="s">
        <v>384</v>
      </c>
      <c r="B697" s="296" t="str">
        <f>IF(OR(AND(Parameter!$B$4=0,Parameter!$D$5="n"),INDEX(Data!$M$91:$M$190,MATCH("W2",Data!$A$91:$A$190,0))&gt;0,INDEX(Data!$N$91:$N$190,MATCH("W2",Data!$A$91:$A$190,0))&gt;0),"W2","W1")</f>
        <v>W2</v>
      </c>
      <c r="C697" s="78">
        <f>INDEX(Parameter!$9:$9,,MATCH(20,Parameter!$8:$8,0))</f>
        <v>20</v>
      </c>
      <c r="D697" s="78" t="str">
        <f>INDEX(Parameter!$B$10:$AB$10,MATCH(C697,Parameter!$B$9:$AB$9,0))</f>
        <v>no</v>
      </c>
      <c r="E697" s="78">
        <f>COUNTIF(Data!$DY$90:$IB$90,Specials!C697)</f>
        <v>0</v>
      </c>
      <c r="F697" s="78">
        <f ca="1">OFFSET(Data!$CS$91,MATCH("W1",Data!$A$91:$A$190,0)-1,MATCH(C697,Data!$CS$90:$DS$90,0)-1)</f>
        <v>0</v>
      </c>
      <c r="G697" s="78">
        <f ca="1">OFFSET(Data!$CS$91,MATCH($B697,Data!$A$91:$A$190,0)-1,MATCH(C697,Data!$CS$90:$DS$90,0)-1)</f>
        <v>0</v>
      </c>
      <c r="H697" s="78">
        <f t="shared" ca="1" si="47"/>
        <v>0</v>
      </c>
      <c r="I697" s="78">
        <f t="array" ref="I697">SUM(IF(Data!$A$91:$A$190=$B697,Data!$J$91:$M$190))-SUM(IF(Data!$A$91:$A$190="W1",Data!$J$91:$M$190))</f>
        <v>5</v>
      </c>
      <c r="K697" s="78" t="str">
        <f>INDEX(Data!$DT$91:$DT$190,MATCH($B697,Data!$A$91:$A$190,0))</f>
        <v>Katharina Gusenbauer</v>
      </c>
      <c r="L697" s="78" t="str">
        <f t="shared" ca="1" si="48"/>
        <v>Best women took only 0 throws</v>
      </c>
      <c r="M697" s="78" t="s">
        <v>16</v>
      </c>
      <c r="N697" s="78" t="s">
        <v>255</v>
      </c>
      <c r="O697" s="78" t="e">
        <f t="shared" ca="1" si="43"/>
        <v>#VALUE!</v>
      </c>
      <c r="P697" s="78" t="str">
        <f t="shared" ca="1" si="46"/>
        <v/>
      </c>
    </row>
    <row r="698" spans="1:16" s="78" customFormat="1" hidden="1" x14ac:dyDescent="0.25">
      <c r="A698" s="78" t="s">
        <v>384</v>
      </c>
      <c r="B698" s="296" t="str">
        <f>IF(OR(AND(Parameter!$B$4=0,Parameter!$D$5="n"),INDEX(Data!$M$91:$M$190,MATCH("W2",Data!$A$91:$A$190,0))&gt;0,INDEX(Data!$N$91:$N$190,MATCH("W2",Data!$A$91:$A$190,0))&gt;0),"W2","W1")</f>
        <v>W2</v>
      </c>
      <c r="C698" s="78">
        <f>INDEX(Parameter!$9:$9,,MATCH(21,Parameter!$8:$8,0))</f>
        <v>21</v>
      </c>
      <c r="D698" s="78" t="str">
        <f>INDEX(Parameter!$B$10:$AB$10,MATCH(C698,Parameter!$B$9:$AB$9,0))</f>
        <v>no</v>
      </c>
      <c r="E698" s="78">
        <f>COUNTIF(Data!$DY$90:$IB$90,Specials!C698)</f>
        <v>0</v>
      </c>
      <c r="F698" s="78">
        <f ca="1">OFFSET(Data!$CS$91,MATCH("W1",Data!$A$91:$A$190,0)-1,MATCH(C698,Data!$CS$90:$DS$90,0)-1)</f>
        <v>0</v>
      </c>
      <c r="G698" s="78">
        <f ca="1">OFFSET(Data!$CS$91,MATCH($B698,Data!$A$91:$A$190,0)-1,MATCH(C698,Data!$CS$90:$DS$90,0)-1)</f>
        <v>0</v>
      </c>
      <c r="H698" s="78">
        <f t="shared" ca="1" si="47"/>
        <v>0</v>
      </c>
      <c r="I698" s="78">
        <f t="array" ref="I698">SUM(IF(Data!$A$91:$A$190=$B698,Data!$J$91:$M$190))-SUM(IF(Data!$A$91:$A$190="W1",Data!$J$91:$M$190))</f>
        <v>5</v>
      </c>
      <c r="K698" s="78" t="str">
        <f>INDEX(Data!$DT$91:$DT$190,MATCH($B698,Data!$A$91:$A$190,0))</f>
        <v>Katharina Gusenbauer</v>
      </c>
      <c r="L698" s="78" t="str">
        <f t="shared" ca="1" si="48"/>
        <v>Best women took only 0 throws</v>
      </c>
      <c r="M698" s="78" t="s">
        <v>16</v>
      </c>
      <c r="N698" s="78" t="s">
        <v>255</v>
      </c>
      <c r="O698" s="78" t="e">
        <f t="shared" ca="1" si="43"/>
        <v>#VALUE!</v>
      </c>
      <c r="P698" s="78" t="str">
        <f t="shared" ca="1" si="46"/>
        <v/>
      </c>
    </row>
    <row r="699" spans="1:16" s="78" customFormat="1" hidden="1" x14ac:dyDescent="0.25">
      <c r="A699" s="78" t="s">
        <v>384</v>
      </c>
      <c r="B699" s="296" t="str">
        <f>IF(OR(AND(Parameter!$B$4=0,Parameter!$D$5="n"),INDEX(Data!$M$91:$M$190,MATCH("W2",Data!$A$91:$A$190,0))&gt;0,INDEX(Data!$N$91:$N$190,MATCH("W2",Data!$A$91:$A$190,0))&gt;0),"W2","W1")</f>
        <v>W2</v>
      </c>
      <c r="C699" s="78">
        <f>INDEX(Parameter!$9:$9,,MATCH(22,Parameter!$8:$8,0))</f>
        <v>22</v>
      </c>
      <c r="D699" s="78" t="str">
        <f>INDEX(Parameter!$B$10:$AB$10,MATCH(C699,Parameter!$B$9:$AB$9,0))</f>
        <v>no</v>
      </c>
      <c r="E699" s="78">
        <f>COUNTIF(Data!$DY$90:$IB$90,Specials!C699)</f>
        <v>0</v>
      </c>
      <c r="F699" s="78">
        <f ca="1">OFFSET(Data!$CS$91,MATCH("W1",Data!$A$91:$A$190,0)-1,MATCH(C699,Data!$CS$90:$DS$90,0)-1)</f>
        <v>0</v>
      </c>
      <c r="G699" s="78">
        <f ca="1">OFFSET(Data!$CS$91,MATCH($B699,Data!$A$91:$A$190,0)-1,MATCH(C699,Data!$CS$90:$DS$90,0)-1)</f>
        <v>0</v>
      </c>
      <c r="H699" s="78">
        <f t="shared" ca="1" si="47"/>
        <v>0</v>
      </c>
      <c r="I699" s="78">
        <f t="array" ref="I699">SUM(IF(Data!$A$91:$A$190=$B699,Data!$J$91:$M$190))-SUM(IF(Data!$A$91:$A$190="W1",Data!$J$91:$M$190))</f>
        <v>5</v>
      </c>
      <c r="K699" s="78" t="str">
        <f>INDEX(Data!$DT$91:$DT$190,MATCH($B699,Data!$A$91:$A$190,0))</f>
        <v>Katharina Gusenbauer</v>
      </c>
      <c r="L699" s="78" t="str">
        <f t="shared" ca="1" si="48"/>
        <v>Best women took only 0 throws</v>
      </c>
      <c r="M699" s="78" t="s">
        <v>16</v>
      </c>
      <c r="N699" s="78" t="s">
        <v>255</v>
      </c>
      <c r="O699" s="78" t="e">
        <f t="shared" ca="1" si="43"/>
        <v>#VALUE!</v>
      </c>
      <c r="P699" s="78" t="str">
        <f t="shared" ca="1" si="46"/>
        <v/>
      </c>
    </row>
    <row r="700" spans="1:16" s="78" customFormat="1" hidden="1" x14ac:dyDescent="0.25">
      <c r="A700" s="78" t="s">
        <v>384</v>
      </c>
      <c r="B700" s="296" t="str">
        <f>IF(OR(AND(Parameter!$B$4=0,Parameter!$D$5="n"),INDEX(Data!$M$91:$M$190,MATCH("W2",Data!$A$91:$A$190,0))&gt;0,INDEX(Data!$N$91:$N$190,MATCH("W2",Data!$A$91:$A$190,0))&gt;0),"W2","W1")</f>
        <v>W2</v>
      </c>
      <c r="C700" s="78">
        <f>INDEX(Parameter!$9:$9,,MATCH(23,Parameter!$8:$8,0))</f>
        <v>23</v>
      </c>
      <c r="D700" s="78" t="str">
        <f>INDEX(Parameter!$B$10:$AB$10,MATCH(C700,Parameter!$B$9:$AB$9,0))</f>
        <v>no</v>
      </c>
      <c r="E700" s="78">
        <f>COUNTIF(Data!$DY$90:$IB$90,Specials!C700)</f>
        <v>0</v>
      </c>
      <c r="F700" s="78">
        <f ca="1">OFFSET(Data!$CS$91,MATCH("W1",Data!$A$91:$A$190,0)-1,MATCH(C700,Data!$CS$90:$DS$90,0)-1)</f>
        <v>0</v>
      </c>
      <c r="G700" s="78">
        <f ca="1">OFFSET(Data!$CS$91,MATCH($B700,Data!$A$91:$A$190,0)-1,MATCH(C700,Data!$CS$90:$DS$90,0)-1)</f>
        <v>0</v>
      </c>
      <c r="H700" s="78">
        <f t="shared" ca="1" si="47"/>
        <v>0</v>
      </c>
      <c r="I700" s="78">
        <f t="array" ref="I700">SUM(IF(Data!$A$91:$A$190=$B700,Data!$J$91:$M$190))-SUM(IF(Data!$A$91:$A$190="W1",Data!$J$91:$M$190))</f>
        <v>5</v>
      </c>
      <c r="K700" s="78" t="str">
        <f>INDEX(Data!$DT$91:$DT$190,MATCH($B700,Data!$A$91:$A$190,0))</f>
        <v>Katharina Gusenbauer</v>
      </c>
      <c r="L700" s="78" t="str">
        <f t="shared" ca="1" si="48"/>
        <v>Best women took only 0 throws</v>
      </c>
      <c r="M700" s="78" t="s">
        <v>16</v>
      </c>
      <c r="N700" s="78" t="s">
        <v>255</v>
      </c>
      <c r="O700" s="78" t="e">
        <f t="shared" ca="1" si="43"/>
        <v>#VALUE!</v>
      </c>
      <c r="P700" s="78" t="str">
        <f t="shared" ca="1" si="46"/>
        <v/>
      </c>
    </row>
    <row r="701" spans="1:16" s="78" customFormat="1" hidden="1" x14ac:dyDescent="0.25">
      <c r="A701" s="78" t="s">
        <v>384</v>
      </c>
      <c r="B701" s="296" t="str">
        <f>IF(OR(AND(Parameter!$B$4=0,Parameter!$D$5="n"),INDEX(Data!$M$91:$M$190,MATCH("W2",Data!$A$91:$A$190,0))&gt;0,INDEX(Data!$N$91:$N$190,MATCH("W2",Data!$A$91:$A$190,0))&gt;0),"W2","W1")</f>
        <v>W2</v>
      </c>
      <c r="C701" s="78">
        <f>INDEX(Parameter!$9:$9,,MATCH(24,Parameter!$8:$8,0))</f>
        <v>24</v>
      </c>
      <c r="D701" s="78" t="str">
        <f>INDEX(Parameter!$B$10:$AB$10,MATCH(C701,Parameter!$B$9:$AB$9,0))</f>
        <v>no</v>
      </c>
      <c r="E701" s="78">
        <f>COUNTIF(Data!$DY$90:$IB$90,Specials!C701)</f>
        <v>0</v>
      </c>
      <c r="F701" s="78">
        <f ca="1">OFFSET(Data!$CS$91,MATCH("W1",Data!$A$91:$A$190,0)-1,MATCH(C701,Data!$CS$90:$DS$90,0)-1)</f>
        <v>0</v>
      </c>
      <c r="G701" s="78">
        <f ca="1">OFFSET(Data!$CS$91,MATCH($B701,Data!$A$91:$A$190,0)-1,MATCH(C701,Data!$CS$90:$DS$90,0)-1)</f>
        <v>0</v>
      </c>
      <c r="H701" s="78">
        <f t="shared" ca="1" si="47"/>
        <v>0</v>
      </c>
      <c r="I701" s="78">
        <f t="array" ref="I701">SUM(IF(Data!$A$91:$A$190=$B701,Data!$J$91:$M$190))-SUM(IF(Data!$A$91:$A$190="W1",Data!$J$91:$M$190))</f>
        <v>5</v>
      </c>
      <c r="K701" s="78" t="str">
        <f>INDEX(Data!$DT$91:$DT$190,MATCH($B701,Data!$A$91:$A$190,0))</f>
        <v>Katharina Gusenbauer</v>
      </c>
      <c r="L701" s="78" t="str">
        <f t="shared" ca="1" si="48"/>
        <v>Best women took only 0 throws</v>
      </c>
      <c r="M701" s="78" t="s">
        <v>16</v>
      </c>
      <c r="N701" s="78" t="s">
        <v>255</v>
      </c>
      <c r="O701" s="78" t="e">
        <f t="shared" ca="1" si="43"/>
        <v>#VALUE!</v>
      </c>
      <c r="P701" s="78" t="str">
        <f t="shared" ca="1" si="46"/>
        <v/>
      </c>
    </row>
    <row r="702" spans="1:16" s="78" customFormat="1" hidden="1" x14ac:dyDescent="0.25">
      <c r="A702" s="78" t="s">
        <v>384</v>
      </c>
      <c r="B702" s="296" t="str">
        <f>IF(OR(AND(Parameter!$B$4=0,Parameter!$D$5="n"),INDEX(Data!$M$91:$M$190,MATCH("W2",Data!$A$91:$A$190,0))&gt;0,INDEX(Data!$N$91:$N$190,MATCH("W2",Data!$A$91:$A$190,0))&gt;0),"W2","W1")</f>
        <v>W2</v>
      </c>
      <c r="C702" s="78">
        <f>INDEX(Parameter!$9:$9,,MATCH(25,Parameter!$8:$8,0))</f>
        <v>25</v>
      </c>
      <c r="D702" s="78" t="str">
        <f>INDEX(Parameter!$B$10:$AB$10,MATCH(C702,Parameter!$B$9:$AB$9,0))</f>
        <v>no</v>
      </c>
      <c r="E702" s="78">
        <f>COUNTIF(Data!$DY$90:$IB$90,Specials!C702)</f>
        <v>0</v>
      </c>
      <c r="F702" s="78">
        <f ca="1">OFFSET(Data!$CS$91,MATCH("W1",Data!$A$91:$A$190,0)-1,MATCH(C702,Data!$CS$90:$DS$90,0)-1)</f>
        <v>0</v>
      </c>
      <c r="G702" s="78">
        <f ca="1">OFFSET(Data!$CS$91,MATCH($B702,Data!$A$91:$A$190,0)-1,MATCH(C702,Data!$CS$90:$DS$90,0)-1)</f>
        <v>0</v>
      </c>
      <c r="H702" s="78">
        <f t="shared" ca="1" si="47"/>
        <v>0</v>
      </c>
      <c r="I702" s="78">
        <f t="array" ref="I702">SUM(IF(Data!$A$91:$A$190=$B702,Data!$J$91:$M$190))-SUM(IF(Data!$A$91:$A$190="W1",Data!$J$91:$M$190))</f>
        <v>5</v>
      </c>
      <c r="K702" s="78" t="str">
        <f>INDEX(Data!$DT$91:$DT$190,MATCH($B702,Data!$A$91:$A$190,0))</f>
        <v>Katharina Gusenbauer</v>
      </c>
      <c r="L702" s="78" t="str">
        <f t="shared" ca="1" si="48"/>
        <v>Best women took only 0 throws</v>
      </c>
      <c r="M702" s="78" t="s">
        <v>16</v>
      </c>
      <c r="N702" s="78" t="s">
        <v>255</v>
      </c>
      <c r="O702" s="78" t="e">
        <f t="shared" ca="1" si="43"/>
        <v>#VALUE!</v>
      </c>
      <c r="P702" s="78" t="str">
        <f t="shared" ca="1" si="46"/>
        <v/>
      </c>
    </row>
    <row r="703" spans="1:16" s="78" customFormat="1" hidden="1" x14ac:dyDescent="0.25">
      <c r="A703" s="78" t="s">
        <v>384</v>
      </c>
      <c r="B703" s="296" t="str">
        <f>IF(OR(AND(Parameter!$B$4=0,Parameter!$D$5="n"),INDEX(Data!$M$91:$M$190,MATCH("W2",Data!$A$91:$A$190,0))&gt;0,INDEX(Data!$N$91:$N$190,MATCH("W2",Data!$A$91:$A$190,0))&gt;0),"W2","W1")</f>
        <v>W2</v>
      </c>
      <c r="C703" s="78">
        <f>INDEX(Parameter!$9:$9,,MATCH(26,Parameter!$8:$8,0))</f>
        <v>26</v>
      </c>
      <c r="D703" s="78" t="str">
        <f>INDEX(Parameter!$B$10:$AB$10,MATCH(C703,Parameter!$B$9:$AB$9,0))</f>
        <v>no</v>
      </c>
      <c r="E703" s="78">
        <f>COUNTIF(Data!$DY$90:$IB$90,Specials!C703)</f>
        <v>0</v>
      </c>
      <c r="F703" s="78">
        <f ca="1">OFFSET(Data!$CS$91,MATCH("W1",Data!$A$91:$A$190,0)-1,MATCH(C703,Data!$CS$90:$DS$90,0)-1)</f>
        <v>0</v>
      </c>
      <c r="G703" s="78">
        <f ca="1">OFFSET(Data!$CS$91,MATCH($B703,Data!$A$91:$A$190,0)-1,MATCH(C703,Data!$CS$90:$DS$90,0)-1)</f>
        <v>0</v>
      </c>
      <c r="H703" s="78">
        <f t="shared" ca="1" si="47"/>
        <v>0</v>
      </c>
      <c r="I703" s="78">
        <f t="array" ref="I703">SUM(IF(Data!$A$91:$A$190=$B703,Data!$J$91:$M$190))-SUM(IF(Data!$A$91:$A$190="W1",Data!$J$91:$M$190))</f>
        <v>5</v>
      </c>
      <c r="K703" s="78" t="str">
        <f>INDEX(Data!$DT$91:$DT$190,MATCH($B703,Data!$A$91:$A$190,0))</f>
        <v>Katharina Gusenbauer</v>
      </c>
      <c r="L703" s="78" t="str">
        <f t="shared" ca="1" si="48"/>
        <v>Best women took only 0 throws</v>
      </c>
      <c r="M703" s="78" t="s">
        <v>16</v>
      </c>
      <c r="N703" s="78" t="s">
        <v>255</v>
      </c>
      <c r="O703" s="78" t="e">
        <f t="shared" ca="1" si="43"/>
        <v>#VALUE!</v>
      </c>
      <c r="P703" s="78" t="str">
        <f t="shared" ca="1" si="46"/>
        <v/>
      </c>
    </row>
    <row r="704" spans="1:16" s="78" customFormat="1" hidden="1" x14ac:dyDescent="0.25">
      <c r="A704" s="78" t="s">
        <v>384</v>
      </c>
      <c r="B704" s="296" t="str">
        <f>IF(OR(AND(Parameter!$B$4=0,Parameter!$D$5="n"),INDEX(Data!$M$91:$M$190,MATCH("W2",Data!$A$91:$A$190,0))&gt;0,INDEX(Data!$N$91:$N$190,MATCH("W2",Data!$A$91:$A$190,0))&gt;0),"W2","W1")</f>
        <v>W2</v>
      </c>
      <c r="C704" s="78">
        <f>INDEX(Parameter!$9:$9,,MATCH(27,Parameter!$8:$8,0))</f>
        <v>27</v>
      </c>
      <c r="D704" s="78" t="str">
        <f>INDEX(Parameter!$B$10:$AB$10,MATCH(C704,Parameter!$B$9:$AB$9,0))</f>
        <v>no</v>
      </c>
      <c r="E704" s="78">
        <f>COUNTIF(Data!$DY$90:$IB$90,Specials!C704)</f>
        <v>0</v>
      </c>
      <c r="F704" s="78">
        <f ca="1">OFFSET(Data!$CS$91,MATCH("W1",Data!$A$91:$A$190,0)-1,MATCH(C704,Data!$CS$90:$DS$90,0)-1)</f>
        <v>0</v>
      </c>
      <c r="G704" s="78">
        <f ca="1">OFFSET(Data!$CS$91,MATCH($B704,Data!$A$91:$A$190,0)-1,MATCH(C704,Data!$CS$90:$DS$90,0)-1)</f>
        <v>0</v>
      </c>
      <c r="H704" s="78">
        <f t="shared" ca="1" si="47"/>
        <v>0</v>
      </c>
      <c r="I704" s="78">
        <f t="array" ref="I704">SUM(IF(Data!$A$91:$A$190=$B704,Data!$J$91:$M$190))-SUM(IF(Data!$A$91:$A$190="W1",Data!$J$91:$M$190))</f>
        <v>5</v>
      </c>
      <c r="K704" s="78" t="str">
        <f>INDEX(Data!$DT$91:$DT$190,MATCH($B704,Data!$A$91:$A$190,0))</f>
        <v>Katharina Gusenbauer</v>
      </c>
      <c r="L704" s="78" t="str">
        <f t="shared" ca="1" si="48"/>
        <v>Best women took only 0 throws</v>
      </c>
      <c r="M704" s="78" t="s">
        <v>16</v>
      </c>
      <c r="N704" s="78" t="s">
        <v>255</v>
      </c>
      <c r="O704" s="78" t="e">
        <f t="shared" ca="1" si="43"/>
        <v>#VALUE!</v>
      </c>
      <c r="P704" s="78" t="str">
        <f t="shared" ca="1" si="46"/>
        <v/>
      </c>
    </row>
    <row r="705" spans="1:16" s="78" customFormat="1" ht="15" hidden="1" customHeight="1" x14ac:dyDescent="0.25">
      <c r="A705" s="78" t="s">
        <v>384</v>
      </c>
      <c r="B705" s="296" t="str">
        <f>IF(OR(AND(Parameter!$B$4=0,Parameter!$D$5="n"),INDEX(Data!$M$91:$M$190,MATCH("W3",Data!$A$91:$A$190,0))&gt;0,INDEX(Data!$N$91:$N$190,MATCH("W3",Data!$A$91:$A$190,0))&gt;0),"W3","W1")</f>
        <v>W3</v>
      </c>
      <c r="C705" s="78">
        <f>INDEX(Parameter!$9:$9,,MATCH(1,Parameter!$8:$8,0))</f>
        <v>1</v>
      </c>
      <c r="D705" s="78">
        <f>INDEX(Parameter!$B$10:$AB$10,MATCH(C705,Parameter!$B$9:$AB$9,0))</f>
        <v>3</v>
      </c>
      <c r="E705" s="78">
        <f>COUNTIF(Data!$DY$90:$IB$90,Specials!C705)</f>
        <v>2</v>
      </c>
      <c r="F705" s="78">
        <f ca="1">OFFSET(Data!$CS$91,MATCH("W1",Data!$A$91:$A$190,0)-1,MATCH(C705,Data!$CS$90:$DS$90,0)-1)</f>
        <v>7</v>
      </c>
      <c r="G705" s="78">
        <f ca="1">OFFSET(Data!$CS$91,MATCH($B705,Data!$A$91:$A$190,0)-1,MATCH(C705,Data!$CS$90:$DS$90,0)-1)</f>
        <v>6</v>
      </c>
      <c r="H705" s="78">
        <f t="shared" ca="1" si="47"/>
        <v>0</v>
      </c>
      <c r="I705" s="78">
        <f t="array" ref="I705">SUM(IF(Data!$A$91:$A$190=$B705,Data!$J$91:$M$190))-SUM(IF(Data!$A$91:$A$190="W1",Data!$J$91:$M$190))</f>
        <v>12</v>
      </c>
      <c r="K705" s="78" t="str">
        <f>INDEX(Data!$DT$91:$DT$190,MATCH($B705,Data!$A$91:$A$190,0))</f>
        <v>Sonja Palmetshofer</v>
      </c>
      <c r="L705" s="78" t="str">
        <f t="shared" ca="1" si="48"/>
        <v>Best women took only 7 throws</v>
      </c>
      <c r="M705" s="78" t="s">
        <v>16</v>
      </c>
      <c r="N705" s="78" t="s">
        <v>255</v>
      </c>
      <c r="O705" s="78" t="e">
        <f t="shared" ca="1" si="43"/>
        <v>#VALUE!</v>
      </c>
      <c r="P705" s="78" t="str">
        <f t="shared" ca="1" si="46"/>
        <v/>
      </c>
    </row>
    <row r="706" spans="1:16" s="78" customFormat="1" hidden="1" x14ac:dyDescent="0.25">
      <c r="A706" s="78" t="s">
        <v>384</v>
      </c>
      <c r="B706" s="296" t="str">
        <f>IF(OR(AND(Parameter!$B$4=0,Parameter!$D$5="n"),INDEX(Data!$M$91:$M$190,MATCH("W3",Data!$A$91:$A$190,0))&gt;0,INDEX(Data!$N$91:$N$190,MATCH("W3",Data!$A$91:$A$190,0))&gt;0),"W3","W1")</f>
        <v>W3</v>
      </c>
      <c r="C706" s="78">
        <f>INDEX(Parameter!$9:$9,,MATCH(2,Parameter!$8:$8,0))</f>
        <v>2</v>
      </c>
      <c r="D706" s="78">
        <f>INDEX(Parameter!$B$10:$AB$10,MATCH(C706,Parameter!$B$9:$AB$9,0))</f>
        <v>3</v>
      </c>
      <c r="E706" s="78">
        <f>COUNTIF(Data!$DY$90:$IB$90,Specials!C706)</f>
        <v>2</v>
      </c>
      <c r="F706" s="78">
        <f ca="1">OFFSET(Data!$CS$91,MATCH("W1",Data!$A$91:$A$190,0)-1,MATCH(C706,Data!$CS$90:$DS$90,0)-1)</f>
        <v>6</v>
      </c>
      <c r="G706" s="78">
        <f ca="1">OFFSET(Data!$CS$91,MATCH($B706,Data!$A$91:$A$190,0)-1,MATCH(C706,Data!$CS$90:$DS$90,0)-1)</f>
        <v>6</v>
      </c>
      <c r="H706" s="78">
        <f t="shared" ca="1" si="47"/>
        <v>0</v>
      </c>
      <c r="I706" s="78">
        <f t="array" ref="I706">SUM(IF(Data!$A$91:$A$190=$B706,Data!$J$91:$M$190))-SUM(IF(Data!$A$91:$A$190="W1",Data!$J$91:$M$190))</f>
        <v>12</v>
      </c>
      <c r="K706" s="78" t="str">
        <f>INDEX(Data!$DT$91:$DT$190,MATCH($B706,Data!$A$91:$A$190,0))</f>
        <v>Sonja Palmetshofer</v>
      </c>
      <c r="L706" s="78" t="str">
        <f t="shared" ca="1" si="48"/>
        <v>Best women took only 6 throws</v>
      </c>
      <c r="M706" s="78" t="s">
        <v>16</v>
      </c>
      <c r="N706" s="78" t="s">
        <v>255</v>
      </c>
      <c r="O706" s="78" t="e">
        <f t="shared" ca="1" si="43"/>
        <v>#VALUE!</v>
      </c>
      <c r="P706" s="78" t="str">
        <f t="shared" ca="1" si="46"/>
        <v/>
      </c>
    </row>
    <row r="707" spans="1:16" s="78" customFormat="1" hidden="1" x14ac:dyDescent="0.25">
      <c r="A707" s="78" t="s">
        <v>384</v>
      </c>
      <c r="B707" s="296" t="str">
        <f>IF(OR(AND(Parameter!$B$4=0,Parameter!$D$5="n"),INDEX(Data!$M$91:$M$190,MATCH("W3",Data!$A$91:$A$190,0))&gt;0,INDEX(Data!$N$91:$N$190,MATCH("W3",Data!$A$91:$A$190,0))&gt;0),"W3","W1")</f>
        <v>W3</v>
      </c>
      <c r="C707" s="78">
        <f>INDEX(Parameter!$9:$9,,MATCH(3,Parameter!$8:$8,0))</f>
        <v>3</v>
      </c>
      <c r="D707" s="78">
        <f>INDEX(Parameter!$B$10:$AB$10,MATCH(C707,Parameter!$B$9:$AB$9,0))</f>
        <v>3</v>
      </c>
      <c r="E707" s="78">
        <f>COUNTIF(Data!$DY$90:$IB$90,Specials!C707)</f>
        <v>2</v>
      </c>
      <c r="F707" s="78">
        <f ca="1">OFFSET(Data!$CS$91,MATCH("W1",Data!$A$91:$A$190,0)-1,MATCH(C707,Data!$CS$90:$DS$90,0)-1)</f>
        <v>8</v>
      </c>
      <c r="G707" s="78">
        <f ca="1">OFFSET(Data!$CS$91,MATCH($B707,Data!$A$91:$A$190,0)-1,MATCH(C707,Data!$CS$90:$DS$90,0)-1)</f>
        <v>9</v>
      </c>
      <c r="H707" s="78">
        <f t="shared" ca="1" si="47"/>
        <v>0</v>
      </c>
      <c r="I707" s="78">
        <f t="array" ref="I707">SUM(IF(Data!$A$91:$A$190=$B707,Data!$J$91:$M$190))-SUM(IF(Data!$A$91:$A$190="W1",Data!$J$91:$M$190))</f>
        <v>12</v>
      </c>
      <c r="K707" s="78" t="str">
        <f>INDEX(Data!$DT$91:$DT$190,MATCH($B707,Data!$A$91:$A$190,0))</f>
        <v>Sonja Palmetshofer</v>
      </c>
      <c r="L707" s="78" t="str">
        <f t="shared" ca="1" si="48"/>
        <v>Best women took only 8 throws</v>
      </c>
      <c r="M707" s="78" t="s">
        <v>16</v>
      </c>
      <c r="N707" s="78" t="s">
        <v>255</v>
      </c>
      <c r="O707" s="78" t="e">
        <f t="shared" ca="1" si="43"/>
        <v>#VALUE!</v>
      </c>
      <c r="P707" s="78" t="str">
        <f t="shared" ca="1" si="46"/>
        <v/>
      </c>
    </row>
    <row r="708" spans="1:16" s="78" customFormat="1" hidden="1" x14ac:dyDescent="0.25">
      <c r="A708" s="78" t="s">
        <v>384</v>
      </c>
      <c r="B708" s="296" t="str">
        <f>IF(OR(AND(Parameter!$B$4=0,Parameter!$D$5="n"),INDEX(Data!$M$91:$M$190,MATCH("W3",Data!$A$91:$A$190,0))&gt;0,INDEX(Data!$N$91:$N$190,MATCH("W3",Data!$A$91:$A$190,0))&gt;0),"W3","W1")</f>
        <v>W3</v>
      </c>
      <c r="C708" s="78">
        <f>INDEX(Parameter!$9:$9,,MATCH(4,Parameter!$8:$8,0))</f>
        <v>4</v>
      </c>
      <c r="D708" s="78">
        <f>INDEX(Parameter!$B$10:$AB$10,MATCH(C708,Parameter!$B$9:$AB$9,0))</f>
        <v>3</v>
      </c>
      <c r="E708" s="78">
        <f>COUNTIF(Data!$DY$90:$IB$90,Specials!C708)</f>
        <v>2</v>
      </c>
      <c r="F708" s="78">
        <f ca="1">OFFSET(Data!$CS$91,MATCH("W1",Data!$A$91:$A$190,0)-1,MATCH(C708,Data!$CS$90:$DS$90,0)-1)</f>
        <v>7</v>
      </c>
      <c r="G708" s="78">
        <f ca="1">OFFSET(Data!$CS$91,MATCH($B708,Data!$A$91:$A$190,0)-1,MATCH(C708,Data!$CS$90:$DS$90,0)-1)</f>
        <v>7</v>
      </c>
      <c r="H708" s="78">
        <f t="shared" ca="1" si="47"/>
        <v>0</v>
      </c>
      <c r="I708" s="78">
        <f t="array" ref="I708">SUM(IF(Data!$A$91:$A$190=$B708,Data!$J$91:$M$190))-SUM(IF(Data!$A$91:$A$190="W1",Data!$J$91:$M$190))</f>
        <v>12</v>
      </c>
      <c r="K708" s="78" t="str">
        <f>INDEX(Data!$DT$91:$DT$190,MATCH($B708,Data!$A$91:$A$190,0))</f>
        <v>Sonja Palmetshofer</v>
      </c>
      <c r="L708" s="78" t="str">
        <f t="shared" ca="1" si="48"/>
        <v>Best women took only 7 throws</v>
      </c>
      <c r="M708" s="78" t="s">
        <v>16</v>
      </c>
      <c r="N708" s="78" t="s">
        <v>255</v>
      </c>
      <c r="O708" s="78" t="e">
        <f t="shared" ref="O708:O771" ca="1" si="49">IF(AND($P708&lt;&gt;"",$N708="yes"),O707+1,O707)</f>
        <v>#VALUE!</v>
      </c>
      <c r="P708" s="78" t="str">
        <f t="shared" ca="1" si="46"/>
        <v/>
      </c>
    </row>
    <row r="709" spans="1:16" s="78" customFormat="1" hidden="1" x14ac:dyDescent="0.25">
      <c r="A709" s="78" t="s">
        <v>384</v>
      </c>
      <c r="B709" s="296" t="str">
        <f>IF(OR(AND(Parameter!$B$4=0,Parameter!$D$5="n"),INDEX(Data!$M$91:$M$190,MATCH("W3",Data!$A$91:$A$190,0))&gt;0,INDEX(Data!$N$91:$N$190,MATCH("W3",Data!$A$91:$A$190,0))&gt;0),"W3","W1")</f>
        <v>W3</v>
      </c>
      <c r="C709" s="78">
        <f>INDEX(Parameter!$9:$9,,MATCH(5,Parameter!$8:$8,0))</f>
        <v>5</v>
      </c>
      <c r="D709" s="78">
        <f>INDEX(Parameter!$B$10:$AB$10,MATCH(C709,Parameter!$B$9:$AB$9,0))</f>
        <v>4</v>
      </c>
      <c r="E709" s="78">
        <f>COUNTIF(Data!$DY$90:$IB$90,Specials!C709)</f>
        <v>2</v>
      </c>
      <c r="F709" s="78">
        <f ca="1">OFFSET(Data!$CS$91,MATCH("W1",Data!$A$91:$A$190,0)-1,MATCH(C709,Data!$CS$90:$DS$90,0)-1)</f>
        <v>8</v>
      </c>
      <c r="G709" s="78">
        <f ca="1">OFFSET(Data!$CS$91,MATCH($B709,Data!$A$91:$A$190,0)-1,MATCH(C709,Data!$CS$90:$DS$90,0)-1)</f>
        <v>10</v>
      </c>
      <c r="H709" s="78">
        <f t="shared" ca="1" si="47"/>
        <v>0</v>
      </c>
      <c r="I709" s="78">
        <f t="array" ref="I709">SUM(IF(Data!$A$91:$A$190=$B709,Data!$J$91:$M$190))-SUM(IF(Data!$A$91:$A$190="W1",Data!$J$91:$M$190))</f>
        <v>12</v>
      </c>
      <c r="K709" s="78" t="str">
        <f>INDEX(Data!$DT$91:$DT$190,MATCH($B709,Data!$A$91:$A$190,0))</f>
        <v>Sonja Palmetshofer</v>
      </c>
      <c r="L709" s="78" t="str">
        <f t="shared" ca="1" si="48"/>
        <v>Best women took only 8 throws</v>
      </c>
      <c r="M709" s="78" t="s">
        <v>16</v>
      </c>
      <c r="N709" s="78" t="s">
        <v>255</v>
      </c>
      <c r="O709" s="78" t="e">
        <f t="shared" ca="1" si="49"/>
        <v>#VALUE!</v>
      </c>
      <c r="P709" s="78" t="str">
        <f t="shared" ca="1" si="46"/>
        <v/>
      </c>
    </row>
    <row r="710" spans="1:16" s="78" customFormat="1" hidden="1" x14ac:dyDescent="0.25">
      <c r="A710" s="78" t="s">
        <v>384</v>
      </c>
      <c r="B710" s="296" t="str">
        <f>IF(OR(AND(Parameter!$B$4=0,Parameter!$D$5="n"),INDEX(Data!$M$91:$M$190,MATCH("W3",Data!$A$91:$A$190,0))&gt;0,INDEX(Data!$N$91:$N$190,MATCH("W3",Data!$A$91:$A$190,0))&gt;0),"W3","W1")</f>
        <v>W3</v>
      </c>
      <c r="C710" s="78">
        <f>INDEX(Parameter!$9:$9,,MATCH(6,Parameter!$8:$8,0))</f>
        <v>6</v>
      </c>
      <c r="D710" s="78">
        <f>INDEX(Parameter!$B$10:$AB$10,MATCH(C710,Parameter!$B$9:$AB$9,0))</f>
        <v>3</v>
      </c>
      <c r="E710" s="78">
        <f>COUNTIF(Data!$DY$90:$IB$90,Specials!C710)</f>
        <v>2</v>
      </c>
      <c r="F710" s="78">
        <f ca="1">OFFSET(Data!$CS$91,MATCH("W1",Data!$A$91:$A$190,0)-1,MATCH(C710,Data!$CS$90:$DS$90,0)-1)</f>
        <v>7</v>
      </c>
      <c r="G710" s="78">
        <f ca="1">OFFSET(Data!$CS$91,MATCH($B710,Data!$A$91:$A$190,0)-1,MATCH(C710,Data!$CS$90:$DS$90,0)-1)</f>
        <v>7</v>
      </c>
      <c r="H710" s="78">
        <f t="shared" ca="1" si="47"/>
        <v>0</v>
      </c>
      <c r="I710" s="78">
        <f t="array" ref="I710">SUM(IF(Data!$A$91:$A$190=$B710,Data!$J$91:$M$190))-SUM(IF(Data!$A$91:$A$190="W1",Data!$J$91:$M$190))</f>
        <v>12</v>
      </c>
      <c r="K710" s="78" t="str">
        <f>INDEX(Data!$DT$91:$DT$190,MATCH($B710,Data!$A$91:$A$190,0))</f>
        <v>Sonja Palmetshofer</v>
      </c>
      <c r="L710" s="78" t="str">
        <f t="shared" ca="1" si="48"/>
        <v>Best women took only 7 throws</v>
      </c>
      <c r="M710" s="78" t="s">
        <v>16</v>
      </c>
      <c r="N710" s="78" t="s">
        <v>255</v>
      </c>
      <c r="O710" s="78" t="e">
        <f t="shared" ca="1" si="49"/>
        <v>#VALUE!</v>
      </c>
      <c r="P710" s="78" t="str">
        <f t="shared" ref="P710:P741" ca="1" si="50">IF(H710&gt;0,"On hole "&amp;C710&amp;" (par "&amp;D710&amp;") "&amp;K710&amp;" took "&amp;G710&amp;" throws in total ("&amp;$E710&amp;" rounds)","")</f>
        <v/>
      </c>
    </row>
    <row r="711" spans="1:16" s="78" customFormat="1" hidden="1" x14ac:dyDescent="0.25">
      <c r="A711" s="78" t="s">
        <v>384</v>
      </c>
      <c r="B711" s="296" t="str">
        <f>IF(OR(AND(Parameter!$B$4=0,Parameter!$D$5="n"),INDEX(Data!$M$91:$M$190,MATCH("W3",Data!$A$91:$A$190,0))&gt;0,INDEX(Data!$N$91:$N$190,MATCH("W3",Data!$A$91:$A$190,0))&gt;0),"W3","W1")</f>
        <v>W3</v>
      </c>
      <c r="C711" s="78">
        <f>INDEX(Parameter!$9:$9,,MATCH(7,Parameter!$8:$8,0))</f>
        <v>7</v>
      </c>
      <c r="D711" s="78">
        <f>INDEX(Parameter!$B$10:$AB$10,MATCH(C711,Parameter!$B$9:$AB$9,0))</f>
        <v>3</v>
      </c>
      <c r="E711" s="78">
        <f>COUNTIF(Data!$DY$90:$IB$90,Specials!C711)</f>
        <v>2</v>
      </c>
      <c r="F711" s="78">
        <f ca="1">OFFSET(Data!$CS$91,MATCH("W1",Data!$A$91:$A$190,0)-1,MATCH(C711,Data!$CS$90:$DS$90,0)-1)</f>
        <v>6</v>
      </c>
      <c r="G711" s="78">
        <f ca="1">OFFSET(Data!$CS$91,MATCH($B711,Data!$A$91:$A$190,0)-1,MATCH(C711,Data!$CS$90:$DS$90,0)-1)</f>
        <v>9</v>
      </c>
      <c r="H711" s="78">
        <f t="shared" ca="1" si="47"/>
        <v>0</v>
      </c>
      <c r="I711" s="78">
        <f t="array" ref="I711">SUM(IF(Data!$A$91:$A$190=$B711,Data!$J$91:$M$190))-SUM(IF(Data!$A$91:$A$190="W1",Data!$J$91:$M$190))</f>
        <v>12</v>
      </c>
      <c r="K711" s="78" t="str">
        <f>INDEX(Data!$DT$91:$DT$190,MATCH($B711,Data!$A$91:$A$190,0))</f>
        <v>Sonja Palmetshofer</v>
      </c>
      <c r="L711" s="78" t="str">
        <f t="shared" ca="1" si="48"/>
        <v>Best women took only 6 throws</v>
      </c>
      <c r="M711" s="78" t="s">
        <v>16</v>
      </c>
      <c r="N711" s="78" t="s">
        <v>255</v>
      </c>
      <c r="O711" s="78" t="e">
        <f t="shared" ca="1" si="49"/>
        <v>#VALUE!</v>
      </c>
      <c r="P711" s="78" t="str">
        <f t="shared" ca="1" si="50"/>
        <v/>
      </c>
    </row>
    <row r="712" spans="1:16" s="78" customFormat="1" hidden="1" x14ac:dyDescent="0.25">
      <c r="A712" s="78" t="s">
        <v>384</v>
      </c>
      <c r="B712" s="296" t="str">
        <f>IF(OR(AND(Parameter!$B$4=0,Parameter!$D$5="n"),INDEX(Data!$M$91:$M$190,MATCH("W3",Data!$A$91:$A$190,0))&gt;0,INDEX(Data!$N$91:$N$190,MATCH("W3",Data!$A$91:$A$190,0))&gt;0),"W3","W1")</f>
        <v>W3</v>
      </c>
      <c r="C712" s="78">
        <f>INDEX(Parameter!$9:$9,,MATCH(8,Parameter!$8:$8,0))</f>
        <v>8</v>
      </c>
      <c r="D712" s="78">
        <f>INDEX(Parameter!$B$10:$AB$10,MATCH(C712,Parameter!$B$9:$AB$9,0))</f>
        <v>3</v>
      </c>
      <c r="E712" s="78">
        <f>COUNTIF(Data!$DY$90:$IB$90,Specials!C712)</f>
        <v>2</v>
      </c>
      <c r="F712" s="78">
        <f ca="1">OFFSET(Data!$CS$91,MATCH("W1",Data!$A$91:$A$190,0)-1,MATCH(C712,Data!$CS$90:$DS$90,0)-1)</f>
        <v>6</v>
      </c>
      <c r="G712" s="78">
        <f ca="1">OFFSET(Data!$CS$91,MATCH($B712,Data!$A$91:$A$190,0)-1,MATCH(C712,Data!$CS$90:$DS$90,0)-1)</f>
        <v>6</v>
      </c>
      <c r="H712" s="78">
        <f t="shared" ca="1" si="47"/>
        <v>0</v>
      </c>
      <c r="I712" s="78">
        <f t="array" ref="I712">SUM(IF(Data!$A$91:$A$190=$B712,Data!$J$91:$M$190))-SUM(IF(Data!$A$91:$A$190="W1",Data!$J$91:$M$190))</f>
        <v>12</v>
      </c>
      <c r="K712" s="78" t="str">
        <f>INDEX(Data!$DT$91:$DT$190,MATCH($B712,Data!$A$91:$A$190,0))</f>
        <v>Sonja Palmetshofer</v>
      </c>
      <c r="L712" s="78" t="str">
        <f t="shared" ca="1" si="48"/>
        <v>Best women took only 6 throws</v>
      </c>
      <c r="M712" s="78" t="s">
        <v>16</v>
      </c>
      <c r="N712" s="78" t="s">
        <v>255</v>
      </c>
      <c r="O712" s="78" t="e">
        <f t="shared" ca="1" si="49"/>
        <v>#VALUE!</v>
      </c>
      <c r="P712" s="78" t="str">
        <f t="shared" ca="1" si="50"/>
        <v/>
      </c>
    </row>
    <row r="713" spans="1:16" s="78" customFormat="1" hidden="1" x14ac:dyDescent="0.25">
      <c r="A713" s="78" t="s">
        <v>384</v>
      </c>
      <c r="B713" s="296" t="str">
        <f>IF(OR(AND(Parameter!$B$4=0,Parameter!$D$5="n"),INDEX(Data!$M$91:$M$190,MATCH("W3",Data!$A$91:$A$190,0))&gt;0,INDEX(Data!$N$91:$N$190,MATCH("W3",Data!$A$91:$A$190,0))&gt;0),"W3","W1")</f>
        <v>W3</v>
      </c>
      <c r="C713" s="78">
        <f>INDEX(Parameter!$9:$9,,MATCH(9,Parameter!$8:$8,0))</f>
        <v>9</v>
      </c>
      <c r="D713" s="78">
        <f>INDEX(Parameter!$B$10:$AB$10,MATCH(C713,Parameter!$B$9:$AB$9,0))</f>
        <v>4</v>
      </c>
      <c r="E713" s="78">
        <f>COUNTIF(Data!$DY$90:$IB$90,Specials!C713)</f>
        <v>2</v>
      </c>
      <c r="F713" s="78">
        <f ca="1">OFFSET(Data!$CS$91,MATCH("W1",Data!$A$91:$A$190,0)-1,MATCH(C713,Data!$CS$90:$DS$90,0)-1)</f>
        <v>9</v>
      </c>
      <c r="G713" s="78">
        <f ca="1">OFFSET(Data!$CS$91,MATCH($B713,Data!$A$91:$A$190,0)-1,MATCH(C713,Data!$CS$90:$DS$90,0)-1)</f>
        <v>8</v>
      </c>
      <c r="H713" s="78">
        <f t="shared" ca="1" si="47"/>
        <v>0</v>
      </c>
      <c r="I713" s="78">
        <f t="array" ref="I713">SUM(IF(Data!$A$91:$A$190=$B713,Data!$J$91:$M$190))-SUM(IF(Data!$A$91:$A$190="W1",Data!$J$91:$M$190))</f>
        <v>12</v>
      </c>
      <c r="K713" s="78" t="str">
        <f>INDEX(Data!$DT$91:$DT$190,MATCH($B713,Data!$A$91:$A$190,0))</f>
        <v>Sonja Palmetshofer</v>
      </c>
      <c r="L713" s="78" t="str">
        <f t="shared" ca="1" si="48"/>
        <v>Best women took only 9 throws</v>
      </c>
      <c r="M713" s="78" t="s">
        <v>16</v>
      </c>
      <c r="N713" s="78" t="s">
        <v>255</v>
      </c>
      <c r="O713" s="78" t="e">
        <f t="shared" ca="1" si="49"/>
        <v>#VALUE!</v>
      </c>
      <c r="P713" s="78" t="str">
        <f t="shared" ca="1" si="50"/>
        <v/>
      </c>
    </row>
    <row r="714" spans="1:16" s="78" customFormat="1" hidden="1" x14ac:dyDescent="0.25">
      <c r="A714" s="78" t="s">
        <v>384</v>
      </c>
      <c r="B714" s="296" t="str">
        <f>IF(OR(AND(Parameter!$B$4=0,Parameter!$D$5="n"),INDEX(Data!$M$91:$M$190,MATCH("W3",Data!$A$91:$A$190,0))&gt;0,INDEX(Data!$N$91:$N$190,MATCH("W3",Data!$A$91:$A$190,0))&gt;0),"W3","W1")</f>
        <v>W3</v>
      </c>
      <c r="C714" s="78">
        <f>INDEX(Parameter!$9:$9,,MATCH(10,Parameter!$8:$8,0))</f>
        <v>10</v>
      </c>
      <c r="D714" s="78">
        <f>INDEX(Parameter!$B$10:$AB$10,MATCH(C714,Parameter!$B$9:$AB$9,0))</f>
        <v>4</v>
      </c>
      <c r="E714" s="78">
        <f>COUNTIF(Data!$DY$90:$IB$90,Specials!C714)</f>
        <v>2</v>
      </c>
      <c r="F714" s="78">
        <f ca="1">OFFSET(Data!$CS$91,MATCH("W1",Data!$A$91:$A$190,0)-1,MATCH(C714,Data!$CS$90:$DS$90,0)-1)</f>
        <v>8</v>
      </c>
      <c r="G714" s="78">
        <f ca="1">OFFSET(Data!$CS$91,MATCH($B714,Data!$A$91:$A$190,0)-1,MATCH(C714,Data!$CS$90:$DS$90,0)-1)</f>
        <v>11</v>
      </c>
      <c r="H714" s="78">
        <f t="shared" ca="1" si="47"/>
        <v>0</v>
      </c>
      <c r="I714" s="78">
        <f t="array" ref="I714">SUM(IF(Data!$A$91:$A$190=$B714,Data!$J$91:$M$190))-SUM(IF(Data!$A$91:$A$190="W1",Data!$J$91:$M$190))</f>
        <v>12</v>
      </c>
      <c r="K714" s="78" t="str">
        <f>INDEX(Data!$DT$91:$DT$190,MATCH($B714,Data!$A$91:$A$190,0))</f>
        <v>Sonja Palmetshofer</v>
      </c>
      <c r="L714" s="78" t="str">
        <f t="shared" ca="1" si="48"/>
        <v>Best women took only 8 throws</v>
      </c>
      <c r="M714" s="78" t="s">
        <v>16</v>
      </c>
      <c r="N714" s="78" t="s">
        <v>255</v>
      </c>
      <c r="O714" s="78" t="e">
        <f t="shared" ca="1" si="49"/>
        <v>#VALUE!</v>
      </c>
      <c r="P714" s="78" t="str">
        <f t="shared" ca="1" si="50"/>
        <v/>
      </c>
    </row>
    <row r="715" spans="1:16" s="78" customFormat="1" hidden="1" x14ac:dyDescent="0.25">
      <c r="A715" s="78" t="s">
        <v>384</v>
      </c>
      <c r="B715" s="296" t="str">
        <f>IF(OR(AND(Parameter!$B$4=0,Parameter!$D$5="n"),INDEX(Data!$M$91:$M$190,MATCH("W3",Data!$A$91:$A$190,0))&gt;0,INDEX(Data!$N$91:$N$190,MATCH("W3",Data!$A$91:$A$190,0))&gt;0),"W3","W1")</f>
        <v>W3</v>
      </c>
      <c r="C715" s="78">
        <f>INDEX(Parameter!$9:$9,,MATCH(11,Parameter!$8:$8,0))</f>
        <v>11</v>
      </c>
      <c r="D715" s="78">
        <f>INDEX(Parameter!$B$10:$AB$10,MATCH(C715,Parameter!$B$9:$AB$9,0))</f>
        <v>4</v>
      </c>
      <c r="E715" s="78">
        <f>COUNTIF(Data!$DY$90:$IB$90,Specials!C715)</f>
        <v>2</v>
      </c>
      <c r="F715" s="78">
        <f ca="1">OFFSET(Data!$CS$91,MATCH("W1",Data!$A$91:$A$190,0)-1,MATCH(C715,Data!$CS$90:$DS$90,0)-1)</f>
        <v>10</v>
      </c>
      <c r="G715" s="78">
        <f ca="1">OFFSET(Data!$CS$91,MATCH($B715,Data!$A$91:$A$190,0)-1,MATCH(C715,Data!$CS$90:$DS$90,0)-1)</f>
        <v>11</v>
      </c>
      <c r="H715" s="78">
        <f t="shared" ca="1" si="47"/>
        <v>0</v>
      </c>
      <c r="I715" s="78">
        <f t="array" ref="I715">SUM(IF(Data!$A$91:$A$190=$B715,Data!$J$91:$M$190))-SUM(IF(Data!$A$91:$A$190="W1",Data!$J$91:$M$190))</f>
        <v>12</v>
      </c>
      <c r="K715" s="78" t="str">
        <f>INDEX(Data!$DT$91:$DT$190,MATCH($B715,Data!$A$91:$A$190,0))</f>
        <v>Sonja Palmetshofer</v>
      </c>
      <c r="L715" s="78" t="str">
        <f t="shared" ca="1" si="48"/>
        <v>Best women took only 10 throws</v>
      </c>
      <c r="M715" s="78" t="s">
        <v>16</v>
      </c>
      <c r="N715" s="78" t="s">
        <v>255</v>
      </c>
      <c r="O715" s="78" t="e">
        <f t="shared" ca="1" si="49"/>
        <v>#VALUE!</v>
      </c>
      <c r="P715" s="78" t="str">
        <f t="shared" ca="1" si="50"/>
        <v/>
      </c>
    </row>
    <row r="716" spans="1:16" s="78" customFormat="1" hidden="1" x14ac:dyDescent="0.25">
      <c r="A716" s="78" t="s">
        <v>384</v>
      </c>
      <c r="B716" s="296" t="str">
        <f>IF(OR(AND(Parameter!$B$4=0,Parameter!$D$5="n"),INDEX(Data!$M$91:$M$190,MATCH("W3",Data!$A$91:$A$190,0))&gt;0,INDEX(Data!$N$91:$N$190,MATCH("W3",Data!$A$91:$A$190,0))&gt;0),"W3","W1")</f>
        <v>W3</v>
      </c>
      <c r="C716" s="78" t="str">
        <f>INDEX(Parameter!$9:$9,,MATCH(12,Parameter!$8:$8,0))</f>
        <v>11b</v>
      </c>
      <c r="D716" s="78">
        <f>INDEX(Parameter!$B$10:$AB$10,MATCH(C716,Parameter!$B$9:$AB$9,0))</f>
        <v>3</v>
      </c>
      <c r="E716" s="78">
        <f>COUNTIF(Data!$DY$90:$IB$90,Specials!C716)</f>
        <v>2</v>
      </c>
      <c r="F716" s="78">
        <f ca="1">OFFSET(Data!$CS$91,MATCH("W1",Data!$A$91:$A$190,0)-1,MATCH(C716,Data!$CS$90:$DS$90,0)-1)</f>
        <v>6</v>
      </c>
      <c r="G716" s="78">
        <f ca="1">OFFSET(Data!$CS$91,MATCH($B716,Data!$A$91:$A$190,0)-1,MATCH(C716,Data!$CS$90:$DS$90,0)-1)</f>
        <v>6</v>
      </c>
      <c r="H716" s="78">
        <f t="shared" ca="1" si="47"/>
        <v>0</v>
      </c>
      <c r="I716" s="78">
        <f t="array" ref="I716">SUM(IF(Data!$A$91:$A$190=$B716,Data!$J$91:$M$190))-SUM(IF(Data!$A$91:$A$190="W1",Data!$J$91:$M$190))</f>
        <v>12</v>
      </c>
      <c r="K716" s="78" t="str">
        <f>INDEX(Data!$DT$91:$DT$190,MATCH($B716,Data!$A$91:$A$190,0))</f>
        <v>Sonja Palmetshofer</v>
      </c>
      <c r="L716" s="78" t="str">
        <f t="shared" ca="1" si="48"/>
        <v>Best women took only 6 throws</v>
      </c>
      <c r="M716" s="78" t="s">
        <v>16</v>
      </c>
      <c r="N716" s="78" t="s">
        <v>255</v>
      </c>
      <c r="O716" s="78" t="e">
        <f t="shared" ca="1" si="49"/>
        <v>#VALUE!</v>
      </c>
      <c r="P716" s="78" t="str">
        <f t="shared" ca="1" si="50"/>
        <v/>
      </c>
    </row>
    <row r="717" spans="1:16" s="78" customFormat="1" hidden="1" x14ac:dyDescent="0.25">
      <c r="A717" s="78" t="s">
        <v>384</v>
      </c>
      <c r="B717" s="296" t="str">
        <f>IF(OR(AND(Parameter!$B$4=0,Parameter!$D$5="n"),INDEX(Data!$M$91:$M$190,MATCH("W3",Data!$A$91:$A$190,0))&gt;0,INDEX(Data!$N$91:$N$190,MATCH("W3",Data!$A$91:$A$190,0))&gt;0),"W3","W1")</f>
        <v>W3</v>
      </c>
      <c r="C717" s="78">
        <f>INDEX(Parameter!$9:$9,,MATCH(13,Parameter!$8:$8,0))</f>
        <v>12</v>
      </c>
      <c r="D717" s="78">
        <f>INDEX(Parameter!$B$10:$AB$10,MATCH(C717,Parameter!$B$9:$AB$9,0))</f>
        <v>3</v>
      </c>
      <c r="E717" s="78">
        <f>COUNTIF(Data!$DY$90:$IB$90,Specials!C717)</f>
        <v>2</v>
      </c>
      <c r="F717" s="78">
        <f ca="1">OFFSET(Data!$CS$91,MATCH("W1",Data!$A$91:$A$190,0)-1,MATCH(C717,Data!$CS$90:$DS$90,0)-1)</f>
        <v>6</v>
      </c>
      <c r="G717" s="78">
        <f ca="1">OFFSET(Data!$CS$91,MATCH($B717,Data!$A$91:$A$190,0)-1,MATCH(C717,Data!$CS$90:$DS$90,0)-1)</f>
        <v>8</v>
      </c>
      <c r="H717" s="78">
        <f t="shared" ca="1" si="47"/>
        <v>0</v>
      </c>
      <c r="I717" s="78">
        <f t="array" ref="I717">SUM(IF(Data!$A$91:$A$190=$B717,Data!$J$91:$M$190))-SUM(IF(Data!$A$91:$A$190="W1",Data!$J$91:$M$190))</f>
        <v>12</v>
      </c>
      <c r="K717" s="78" t="str">
        <f>INDEX(Data!$DT$91:$DT$190,MATCH($B717,Data!$A$91:$A$190,0))</f>
        <v>Sonja Palmetshofer</v>
      </c>
      <c r="L717" s="78" t="str">
        <f t="shared" ca="1" si="48"/>
        <v>Best women took only 6 throws</v>
      </c>
      <c r="M717" s="78" t="s">
        <v>16</v>
      </c>
      <c r="N717" s="78" t="s">
        <v>255</v>
      </c>
      <c r="O717" s="78" t="e">
        <f t="shared" ca="1" si="49"/>
        <v>#VALUE!</v>
      </c>
      <c r="P717" s="78" t="str">
        <f t="shared" ca="1" si="50"/>
        <v/>
      </c>
    </row>
    <row r="718" spans="1:16" s="78" customFormat="1" hidden="1" x14ac:dyDescent="0.25">
      <c r="A718" s="78" t="s">
        <v>384</v>
      </c>
      <c r="B718" s="296" t="str">
        <f>IF(OR(AND(Parameter!$B$4=0,Parameter!$D$5="n"),INDEX(Data!$M$91:$M$190,MATCH("W3",Data!$A$91:$A$190,0))&gt;0,INDEX(Data!$N$91:$N$190,MATCH("W3",Data!$A$91:$A$190,0))&gt;0),"W3","W1")</f>
        <v>W3</v>
      </c>
      <c r="C718" s="78">
        <f>INDEX(Parameter!$9:$9,,MATCH(14,Parameter!$8:$8,0))</f>
        <v>13</v>
      </c>
      <c r="D718" s="78">
        <f>INDEX(Parameter!$B$10:$AB$10,MATCH(C718,Parameter!$B$9:$AB$9,0))</f>
        <v>3</v>
      </c>
      <c r="E718" s="78">
        <f>COUNTIF(Data!$DY$90:$IB$90,Specials!C718)</f>
        <v>2</v>
      </c>
      <c r="F718" s="78">
        <f ca="1">OFFSET(Data!$CS$91,MATCH("W1",Data!$A$91:$A$190,0)-1,MATCH(C718,Data!$CS$90:$DS$90,0)-1)</f>
        <v>7</v>
      </c>
      <c r="G718" s="78">
        <f ca="1">OFFSET(Data!$CS$91,MATCH($B718,Data!$A$91:$A$190,0)-1,MATCH(C718,Data!$CS$90:$DS$90,0)-1)</f>
        <v>6</v>
      </c>
      <c r="H718" s="78">
        <f t="shared" ca="1" si="47"/>
        <v>0</v>
      </c>
      <c r="I718" s="78">
        <f t="array" ref="I718">SUM(IF(Data!$A$91:$A$190=$B718,Data!$J$91:$M$190))-SUM(IF(Data!$A$91:$A$190="W1",Data!$J$91:$M$190))</f>
        <v>12</v>
      </c>
      <c r="K718" s="78" t="str">
        <f>INDEX(Data!$DT$91:$DT$190,MATCH($B718,Data!$A$91:$A$190,0))</f>
        <v>Sonja Palmetshofer</v>
      </c>
      <c r="L718" s="78" t="str">
        <f t="shared" ca="1" si="48"/>
        <v>Best women took only 7 throws</v>
      </c>
      <c r="M718" s="78" t="s">
        <v>16</v>
      </c>
      <c r="N718" s="78" t="s">
        <v>255</v>
      </c>
      <c r="O718" s="78" t="e">
        <f t="shared" ca="1" si="49"/>
        <v>#VALUE!</v>
      </c>
      <c r="P718" s="78" t="str">
        <f t="shared" ca="1" si="50"/>
        <v/>
      </c>
    </row>
    <row r="719" spans="1:16" s="78" customFormat="1" hidden="1" x14ac:dyDescent="0.25">
      <c r="A719" s="78" t="s">
        <v>384</v>
      </c>
      <c r="B719" s="296" t="str">
        <f>IF(OR(AND(Parameter!$B$4=0,Parameter!$D$5="n"),INDEX(Data!$M$91:$M$190,MATCH("W3",Data!$A$91:$A$190,0))&gt;0,INDEX(Data!$N$91:$N$190,MATCH("W3",Data!$A$91:$A$190,0))&gt;0),"W3","W1")</f>
        <v>W3</v>
      </c>
      <c r="C719" s="78">
        <f>INDEX(Parameter!$9:$9,,MATCH(15,Parameter!$8:$8,0))</f>
        <v>14</v>
      </c>
      <c r="D719" s="78">
        <f>INDEX(Parameter!$B$10:$AB$10,MATCH(C719,Parameter!$B$9:$AB$9,0))</f>
        <v>3</v>
      </c>
      <c r="E719" s="78">
        <f>COUNTIF(Data!$DY$90:$IB$90,Specials!C719)</f>
        <v>2</v>
      </c>
      <c r="F719" s="78">
        <f ca="1">OFFSET(Data!$CS$91,MATCH("W1",Data!$A$91:$A$190,0)-1,MATCH(C719,Data!$CS$90:$DS$90,0)-1)</f>
        <v>7</v>
      </c>
      <c r="G719" s="78">
        <f ca="1">OFFSET(Data!$CS$91,MATCH($B719,Data!$A$91:$A$190,0)-1,MATCH(C719,Data!$CS$90:$DS$90,0)-1)</f>
        <v>7</v>
      </c>
      <c r="H719" s="78">
        <f t="shared" ca="1" si="47"/>
        <v>0</v>
      </c>
      <c r="I719" s="78">
        <f t="array" ref="I719">SUM(IF(Data!$A$91:$A$190=$B719,Data!$J$91:$M$190))-SUM(IF(Data!$A$91:$A$190="W1",Data!$J$91:$M$190))</f>
        <v>12</v>
      </c>
      <c r="K719" s="78" t="str">
        <f>INDEX(Data!$DT$91:$DT$190,MATCH($B719,Data!$A$91:$A$190,0))</f>
        <v>Sonja Palmetshofer</v>
      </c>
      <c r="L719" s="78" t="str">
        <f t="shared" ca="1" si="48"/>
        <v>Best women took only 7 throws</v>
      </c>
      <c r="M719" s="78" t="s">
        <v>16</v>
      </c>
      <c r="N719" s="78" t="s">
        <v>255</v>
      </c>
      <c r="O719" s="78" t="e">
        <f t="shared" ca="1" si="49"/>
        <v>#VALUE!</v>
      </c>
      <c r="P719" s="78" t="str">
        <f t="shared" ca="1" si="50"/>
        <v/>
      </c>
    </row>
    <row r="720" spans="1:16" s="78" customFormat="1" hidden="1" x14ac:dyDescent="0.25">
      <c r="A720" s="78" t="s">
        <v>384</v>
      </c>
      <c r="B720" s="296" t="str">
        <f>IF(OR(AND(Parameter!$B$4=0,Parameter!$D$5="n"),INDEX(Data!$M$91:$M$190,MATCH("W3",Data!$A$91:$A$190,0))&gt;0,INDEX(Data!$N$91:$N$190,MATCH("W3",Data!$A$91:$A$190,0))&gt;0),"W3","W1")</f>
        <v>W3</v>
      </c>
      <c r="C720" s="78">
        <f>INDEX(Parameter!$9:$9,,MATCH(16,Parameter!$8:$8,0))</f>
        <v>15</v>
      </c>
      <c r="D720" s="78">
        <f>INDEX(Parameter!$B$10:$AB$10,MATCH(C720,Parameter!$B$9:$AB$9,0))</f>
        <v>3</v>
      </c>
      <c r="E720" s="78">
        <f>COUNTIF(Data!$DY$90:$IB$90,Specials!C720)</f>
        <v>2</v>
      </c>
      <c r="F720" s="78">
        <f ca="1">OFFSET(Data!$CS$91,MATCH("W1",Data!$A$91:$A$190,0)-1,MATCH(C720,Data!$CS$90:$DS$90,0)-1)</f>
        <v>5</v>
      </c>
      <c r="G720" s="78">
        <f ca="1">OFFSET(Data!$CS$91,MATCH($B720,Data!$A$91:$A$190,0)-1,MATCH(C720,Data!$CS$90:$DS$90,0)-1)</f>
        <v>6</v>
      </c>
      <c r="H720" s="78">
        <f t="shared" ca="1" si="47"/>
        <v>0</v>
      </c>
      <c r="I720" s="78">
        <f t="array" ref="I720">SUM(IF(Data!$A$91:$A$190=$B720,Data!$J$91:$M$190))-SUM(IF(Data!$A$91:$A$190="W1",Data!$J$91:$M$190))</f>
        <v>12</v>
      </c>
      <c r="K720" s="78" t="str">
        <f>INDEX(Data!$DT$91:$DT$190,MATCH($B720,Data!$A$91:$A$190,0))</f>
        <v>Sonja Palmetshofer</v>
      </c>
      <c r="L720" s="78" t="str">
        <f t="shared" ca="1" si="48"/>
        <v>Best women took only 5 throws</v>
      </c>
      <c r="M720" s="78" t="s">
        <v>16</v>
      </c>
      <c r="N720" s="78" t="s">
        <v>255</v>
      </c>
      <c r="O720" s="78" t="e">
        <f t="shared" ca="1" si="49"/>
        <v>#VALUE!</v>
      </c>
      <c r="P720" s="78" t="str">
        <f t="shared" ca="1" si="50"/>
        <v/>
      </c>
    </row>
    <row r="721" spans="1:16" s="78" customFormat="1" hidden="1" x14ac:dyDescent="0.25">
      <c r="A721" s="78" t="s">
        <v>384</v>
      </c>
      <c r="B721" s="296" t="str">
        <f>IF(OR(AND(Parameter!$B$4=0,Parameter!$D$5="n"),INDEX(Data!$M$91:$M$190,MATCH("W3",Data!$A$91:$A$190,0))&gt;0,INDEX(Data!$N$91:$N$190,MATCH("W3",Data!$A$91:$A$190,0))&gt;0),"W3","W1")</f>
        <v>W3</v>
      </c>
      <c r="C721" s="78">
        <f>INDEX(Parameter!$9:$9,,MATCH(17,Parameter!$8:$8,0))</f>
        <v>16</v>
      </c>
      <c r="D721" s="78">
        <f>INDEX(Parameter!$B$10:$AB$10,MATCH(C721,Parameter!$B$9:$AB$9,0))</f>
        <v>3</v>
      </c>
      <c r="E721" s="78">
        <f>COUNTIF(Data!$DY$90:$IB$90,Specials!C721)</f>
        <v>2</v>
      </c>
      <c r="F721" s="78">
        <f ca="1">OFFSET(Data!$CS$91,MATCH("W1",Data!$A$91:$A$190,0)-1,MATCH(C721,Data!$CS$90:$DS$90,0)-1)</f>
        <v>6</v>
      </c>
      <c r="G721" s="78">
        <f ca="1">OFFSET(Data!$CS$91,MATCH($B721,Data!$A$91:$A$190,0)-1,MATCH(C721,Data!$CS$90:$DS$90,0)-1)</f>
        <v>7</v>
      </c>
      <c r="H721" s="78">
        <f t="shared" ca="1" si="47"/>
        <v>0</v>
      </c>
      <c r="I721" s="78">
        <f t="array" ref="I721">SUM(IF(Data!$A$91:$A$190=$B721,Data!$J$91:$M$190))-SUM(IF(Data!$A$91:$A$190="W1",Data!$J$91:$M$190))</f>
        <v>12</v>
      </c>
      <c r="K721" s="78" t="str">
        <f>INDEX(Data!$DT$91:$DT$190,MATCH($B721,Data!$A$91:$A$190,0))</f>
        <v>Sonja Palmetshofer</v>
      </c>
      <c r="L721" s="78" t="str">
        <f t="shared" ca="1" si="48"/>
        <v>Best women took only 6 throws</v>
      </c>
      <c r="M721" s="78" t="s">
        <v>16</v>
      </c>
      <c r="N721" s="78" t="s">
        <v>255</v>
      </c>
      <c r="O721" s="78" t="e">
        <f t="shared" ca="1" si="49"/>
        <v>#VALUE!</v>
      </c>
      <c r="P721" s="78" t="str">
        <f t="shared" ca="1" si="50"/>
        <v/>
      </c>
    </row>
    <row r="722" spans="1:16" s="78" customFormat="1" hidden="1" x14ac:dyDescent="0.25">
      <c r="A722" s="78" t="s">
        <v>384</v>
      </c>
      <c r="B722" s="296" t="str">
        <f>IF(OR(AND(Parameter!$B$4=0,Parameter!$D$5="n"),INDEX(Data!$M$91:$M$190,MATCH("W3",Data!$A$91:$A$190,0))&gt;0,INDEX(Data!$N$91:$N$190,MATCH("W3",Data!$A$91:$A$190,0))&gt;0),"W3","W1")</f>
        <v>W3</v>
      </c>
      <c r="C722" s="78">
        <f>INDEX(Parameter!$9:$9,,MATCH(18,Parameter!$8:$8,0))</f>
        <v>17</v>
      </c>
      <c r="D722" s="78">
        <f>INDEX(Parameter!$B$10:$AB$10,MATCH(C722,Parameter!$B$9:$AB$9,0))</f>
        <v>3</v>
      </c>
      <c r="E722" s="78">
        <f>COUNTIF(Data!$DY$90:$IB$90,Specials!C722)</f>
        <v>2</v>
      </c>
      <c r="F722" s="78">
        <f ca="1">OFFSET(Data!$CS$91,MATCH("W1",Data!$A$91:$A$190,0)-1,MATCH(C722,Data!$CS$90:$DS$90,0)-1)</f>
        <v>6</v>
      </c>
      <c r="G722" s="78">
        <f ca="1">OFFSET(Data!$CS$91,MATCH($B722,Data!$A$91:$A$190,0)-1,MATCH(C722,Data!$CS$90:$DS$90,0)-1)</f>
        <v>6</v>
      </c>
      <c r="H722" s="78">
        <f t="shared" ca="1" si="47"/>
        <v>0</v>
      </c>
      <c r="I722" s="78">
        <f t="array" ref="I722">SUM(IF(Data!$A$91:$A$190=$B722,Data!$J$91:$M$190))-SUM(IF(Data!$A$91:$A$190="W1",Data!$J$91:$M$190))</f>
        <v>12</v>
      </c>
      <c r="K722" s="78" t="str">
        <f>INDEX(Data!$DT$91:$DT$190,MATCH($B722,Data!$A$91:$A$190,0))</f>
        <v>Sonja Palmetshofer</v>
      </c>
      <c r="L722" s="78" t="str">
        <f t="shared" ca="1" si="48"/>
        <v>Best women took only 6 throws</v>
      </c>
      <c r="M722" s="78" t="s">
        <v>16</v>
      </c>
      <c r="N722" s="78" t="s">
        <v>255</v>
      </c>
      <c r="O722" s="78" t="e">
        <f t="shared" ca="1" si="49"/>
        <v>#VALUE!</v>
      </c>
      <c r="P722" s="78" t="str">
        <f t="shared" ca="1" si="50"/>
        <v/>
      </c>
    </row>
    <row r="723" spans="1:16" s="78" customFormat="1" hidden="1" x14ac:dyDescent="0.25">
      <c r="A723" s="78" t="s">
        <v>384</v>
      </c>
      <c r="B723" s="296" t="str">
        <f>IF(OR(AND(Parameter!$B$4=0,Parameter!$D$5="n"),INDEX(Data!$M$91:$M$190,MATCH("W3",Data!$A$91:$A$190,0))&gt;0,INDEX(Data!$N$91:$N$190,MATCH("W3",Data!$A$91:$A$190,0))&gt;0),"W3","W1")</f>
        <v>W3</v>
      </c>
      <c r="C723" s="78">
        <f>INDEX(Parameter!$9:$9,,MATCH(19,Parameter!$8:$8,0))</f>
        <v>18</v>
      </c>
      <c r="D723" s="78">
        <f>INDEX(Parameter!$B$10:$AB$10,MATCH(C723,Parameter!$B$9:$AB$9,0))</f>
        <v>3</v>
      </c>
      <c r="E723" s="78">
        <f>COUNTIF(Data!$DY$90:$IB$90,Specials!C723)</f>
        <v>2</v>
      </c>
      <c r="F723" s="78">
        <f ca="1">OFFSET(Data!$CS$91,MATCH("W1",Data!$A$91:$A$190,0)-1,MATCH(C723,Data!$CS$90:$DS$90,0)-1)</f>
        <v>6</v>
      </c>
      <c r="G723" s="78">
        <f ca="1">OFFSET(Data!$CS$91,MATCH($B723,Data!$A$91:$A$190,0)-1,MATCH(C723,Data!$CS$90:$DS$90,0)-1)</f>
        <v>7</v>
      </c>
      <c r="H723" s="78">
        <f t="shared" ca="1" si="47"/>
        <v>0</v>
      </c>
      <c r="I723" s="78">
        <f t="array" ref="I723">SUM(IF(Data!$A$91:$A$190=$B723,Data!$J$91:$M$190))-SUM(IF(Data!$A$91:$A$190="W1",Data!$J$91:$M$190))</f>
        <v>12</v>
      </c>
      <c r="K723" s="78" t="str">
        <f>INDEX(Data!$DT$91:$DT$190,MATCH($B723,Data!$A$91:$A$190,0))</f>
        <v>Sonja Palmetshofer</v>
      </c>
      <c r="L723" s="78" t="str">
        <f t="shared" ca="1" si="48"/>
        <v>Best women took only 6 throws</v>
      </c>
      <c r="M723" s="78" t="s">
        <v>16</v>
      </c>
      <c r="N723" s="78" t="s">
        <v>255</v>
      </c>
      <c r="O723" s="78" t="e">
        <f t="shared" ca="1" si="49"/>
        <v>#VALUE!</v>
      </c>
      <c r="P723" s="78" t="str">
        <f t="shared" ca="1" si="50"/>
        <v/>
      </c>
    </row>
    <row r="724" spans="1:16" s="78" customFormat="1" hidden="1" x14ac:dyDescent="0.25">
      <c r="A724" s="78" t="s">
        <v>384</v>
      </c>
      <c r="B724" s="296" t="str">
        <f>IF(OR(AND(Parameter!$B$4=0,Parameter!$D$5="n"),INDEX(Data!$M$91:$M$190,MATCH("W3",Data!$A$91:$A$190,0))&gt;0,INDEX(Data!$N$91:$N$190,MATCH("W3",Data!$A$91:$A$190,0))&gt;0),"W3","W1")</f>
        <v>W3</v>
      </c>
      <c r="C724" s="78">
        <f>INDEX(Parameter!$9:$9,,MATCH(20,Parameter!$8:$8,0))</f>
        <v>20</v>
      </c>
      <c r="D724" s="78" t="str">
        <f>INDEX(Parameter!$B$10:$AB$10,MATCH(C724,Parameter!$B$9:$AB$9,0))</f>
        <v>no</v>
      </c>
      <c r="E724" s="78">
        <f>COUNTIF(Data!$DY$90:$IB$90,Specials!C724)</f>
        <v>0</v>
      </c>
      <c r="F724" s="78">
        <f ca="1">OFFSET(Data!$CS$91,MATCH("W1",Data!$A$91:$A$190,0)-1,MATCH(C724,Data!$CS$90:$DS$90,0)-1)</f>
        <v>0</v>
      </c>
      <c r="G724" s="78">
        <f ca="1">OFFSET(Data!$CS$91,MATCH($B724,Data!$A$91:$A$190,0)-1,MATCH(C724,Data!$CS$90:$DS$90,0)-1)</f>
        <v>0</v>
      </c>
      <c r="H724" s="78">
        <f t="shared" ca="1" si="47"/>
        <v>0</v>
      </c>
      <c r="I724" s="78">
        <f t="array" ref="I724">SUM(IF(Data!$A$91:$A$190=$B724,Data!$J$91:$M$190))-SUM(IF(Data!$A$91:$A$190="W1",Data!$J$91:$M$190))</f>
        <v>12</v>
      </c>
      <c r="K724" s="78" t="str">
        <f>INDEX(Data!$DT$91:$DT$190,MATCH($B724,Data!$A$91:$A$190,0))</f>
        <v>Sonja Palmetshofer</v>
      </c>
      <c r="L724" s="78" t="str">
        <f t="shared" ca="1" si="48"/>
        <v>Best women took only 0 throws</v>
      </c>
      <c r="M724" s="78" t="s">
        <v>16</v>
      </c>
      <c r="N724" s="78" t="s">
        <v>255</v>
      </c>
      <c r="O724" s="78" t="e">
        <f t="shared" ca="1" si="49"/>
        <v>#VALUE!</v>
      </c>
      <c r="P724" s="78" t="str">
        <f t="shared" ca="1" si="50"/>
        <v/>
      </c>
    </row>
    <row r="725" spans="1:16" s="78" customFormat="1" hidden="1" x14ac:dyDescent="0.25">
      <c r="A725" s="78" t="s">
        <v>384</v>
      </c>
      <c r="B725" s="296" t="str">
        <f>IF(OR(AND(Parameter!$B$4=0,Parameter!$D$5="n"),INDEX(Data!$M$91:$M$190,MATCH("W3",Data!$A$91:$A$190,0))&gt;0,INDEX(Data!$N$91:$N$190,MATCH("W3",Data!$A$91:$A$190,0))&gt;0),"W3","W1")</f>
        <v>W3</v>
      </c>
      <c r="C725" s="78">
        <f>INDEX(Parameter!$9:$9,,MATCH(21,Parameter!$8:$8,0))</f>
        <v>21</v>
      </c>
      <c r="D725" s="78" t="str">
        <f>INDEX(Parameter!$B$10:$AB$10,MATCH(C725,Parameter!$B$9:$AB$9,0))</f>
        <v>no</v>
      </c>
      <c r="E725" s="78">
        <f>COUNTIF(Data!$DY$90:$IB$90,Specials!C725)</f>
        <v>0</v>
      </c>
      <c r="F725" s="78">
        <f ca="1">OFFSET(Data!$CS$91,MATCH("W1",Data!$A$91:$A$190,0)-1,MATCH(C725,Data!$CS$90:$DS$90,0)-1)</f>
        <v>0</v>
      </c>
      <c r="G725" s="78">
        <f ca="1">OFFSET(Data!$CS$91,MATCH($B725,Data!$A$91:$A$190,0)-1,MATCH(C725,Data!$CS$90:$DS$90,0)-1)</f>
        <v>0</v>
      </c>
      <c r="H725" s="78">
        <f t="shared" ca="1" si="47"/>
        <v>0</v>
      </c>
      <c r="I725" s="78">
        <f t="array" ref="I725">SUM(IF(Data!$A$91:$A$190=$B725,Data!$J$91:$M$190))-SUM(IF(Data!$A$91:$A$190="W1",Data!$J$91:$M$190))</f>
        <v>12</v>
      </c>
      <c r="K725" s="78" t="str">
        <f>INDEX(Data!$DT$91:$DT$190,MATCH($B725,Data!$A$91:$A$190,0))</f>
        <v>Sonja Palmetshofer</v>
      </c>
      <c r="L725" s="78" t="str">
        <f t="shared" ca="1" si="48"/>
        <v>Best women took only 0 throws</v>
      </c>
      <c r="M725" s="78" t="s">
        <v>16</v>
      </c>
      <c r="N725" s="78" t="s">
        <v>255</v>
      </c>
      <c r="O725" s="78" t="e">
        <f t="shared" ca="1" si="49"/>
        <v>#VALUE!</v>
      </c>
      <c r="P725" s="78" t="str">
        <f t="shared" ca="1" si="50"/>
        <v/>
      </c>
    </row>
    <row r="726" spans="1:16" s="78" customFormat="1" hidden="1" x14ac:dyDescent="0.25">
      <c r="A726" s="78" t="s">
        <v>384</v>
      </c>
      <c r="B726" s="296" t="str">
        <f>IF(OR(AND(Parameter!$B$4=0,Parameter!$D$5="n"),INDEX(Data!$M$91:$M$190,MATCH("W3",Data!$A$91:$A$190,0))&gt;0,INDEX(Data!$N$91:$N$190,MATCH("W3",Data!$A$91:$A$190,0))&gt;0),"W3","W1")</f>
        <v>W3</v>
      </c>
      <c r="C726" s="78">
        <f>INDEX(Parameter!$9:$9,,MATCH(22,Parameter!$8:$8,0))</f>
        <v>22</v>
      </c>
      <c r="D726" s="78" t="str">
        <f>INDEX(Parameter!$B$10:$AB$10,MATCH(C726,Parameter!$B$9:$AB$9,0))</f>
        <v>no</v>
      </c>
      <c r="E726" s="78">
        <f>COUNTIF(Data!$DY$90:$IB$90,Specials!C726)</f>
        <v>0</v>
      </c>
      <c r="F726" s="78">
        <f ca="1">OFFSET(Data!$CS$91,MATCH("W1",Data!$A$91:$A$190,0)-1,MATCH(C726,Data!$CS$90:$DS$90,0)-1)</f>
        <v>0</v>
      </c>
      <c r="G726" s="78">
        <f ca="1">OFFSET(Data!$CS$91,MATCH($B726,Data!$A$91:$A$190,0)-1,MATCH(C726,Data!$CS$90:$DS$90,0)-1)</f>
        <v>0</v>
      </c>
      <c r="H726" s="78">
        <f t="shared" ca="1" si="47"/>
        <v>0</v>
      </c>
      <c r="I726" s="78">
        <f t="array" ref="I726">SUM(IF(Data!$A$91:$A$190=$B726,Data!$J$91:$M$190))-SUM(IF(Data!$A$91:$A$190="W1",Data!$J$91:$M$190))</f>
        <v>12</v>
      </c>
      <c r="K726" s="78" t="str">
        <f>INDEX(Data!$DT$91:$DT$190,MATCH($B726,Data!$A$91:$A$190,0))</f>
        <v>Sonja Palmetshofer</v>
      </c>
      <c r="L726" s="78" t="str">
        <f t="shared" ca="1" si="48"/>
        <v>Best women took only 0 throws</v>
      </c>
      <c r="M726" s="78" t="s">
        <v>16</v>
      </c>
      <c r="N726" s="78" t="s">
        <v>255</v>
      </c>
      <c r="O726" s="78" t="e">
        <f t="shared" ca="1" si="49"/>
        <v>#VALUE!</v>
      </c>
      <c r="P726" s="78" t="str">
        <f t="shared" ca="1" si="50"/>
        <v/>
      </c>
    </row>
    <row r="727" spans="1:16" s="78" customFormat="1" hidden="1" x14ac:dyDescent="0.25">
      <c r="A727" s="78" t="s">
        <v>384</v>
      </c>
      <c r="B727" s="296" t="str">
        <f>IF(OR(AND(Parameter!$B$4=0,Parameter!$D$5="n"),INDEX(Data!$M$91:$M$190,MATCH("W3",Data!$A$91:$A$190,0))&gt;0,INDEX(Data!$N$91:$N$190,MATCH("W3",Data!$A$91:$A$190,0))&gt;0),"W3","W1")</f>
        <v>W3</v>
      </c>
      <c r="C727" s="78">
        <f>INDEX(Parameter!$9:$9,,MATCH(23,Parameter!$8:$8,0))</f>
        <v>23</v>
      </c>
      <c r="D727" s="78" t="str">
        <f>INDEX(Parameter!$B$10:$AB$10,MATCH(C727,Parameter!$B$9:$AB$9,0))</f>
        <v>no</v>
      </c>
      <c r="E727" s="78">
        <f>COUNTIF(Data!$DY$90:$IB$90,Specials!C727)</f>
        <v>0</v>
      </c>
      <c r="F727" s="78">
        <f ca="1">OFFSET(Data!$CS$91,MATCH("W1",Data!$A$91:$A$190,0)-1,MATCH(C727,Data!$CS$90:$DS$90,0)-1)</f>
        <v>0</v>
      </c>
      <c r="G727" s="78">
        <f ca="1">OFFSET(Data!$CS$91,MATCH($B727,Data!$A$91:$A$190,0)-1,MATCH(C727,Data!$CS$90:$DS$90,0)-1)</f>
        <v>0</v>
      </c>
      <c r="H727" s="78">
        <f t="shared" ca="1" si="47"/>
        <v>0</v>
      </c>
      <c r="I727" s="78">
        <f t="array" ref="I727">SUM(IF(Data!$A$91:$A$190=$B727,Data!$J$91:$M$190))-SUM(IF(Data!$A$91:$A$190="W1",Data!$J$91:$M$190))</f>
        <v>12</v>
      </c>
      <c r="K727" s="78" t="str">
        <f>INDEX(Data!$DT$91:$DT$190,MATCH($B727,Data!$A$91:$A$190,0))</f>
        <v>Sonja Palmetshofer</v>
      </c>
      <c r="L727" s="78" t="str">
        <f t="shared" ca="1" si="48"/>
        <v>Best women took only 0 throws</v>
      </c>
      <c r="M727" s="78" t="s">
        <v>16</v>
      </c>
      <c r="N727" s="78" t="s">
        <v>255</v>
      </c>
      <c r="O727" s="78" t="e">
        <f t="shared" ca="1" si="49"/>
        <v>#VALUE!</v>
      </c>
      <c r="P727" s="78" t="str">
        <f t="shared" ca="1" si="50"/>
        <v/>
      </c>
    </row>
    <row r="728" spans="1:16" s="78" customFormat="1" hidden="1" x14ac:dyDescent="0.25">
      <c r="A728" s="78" t="s">
        <v>384</v>
      </c>
      <c r="B728" s="296" t="str">
        <f>IF(OR(AND(Parameter!$B$4=0,Parameter!$D$5="n"),INDEX(Data!$M$91:$M$190,MATCH("W3",Data!$A$91:$A$190,0))&gt;0,INDEX(Data!$N$91:$N$190,MATCH("W3",Data!$A$91:$A$190,0))&gt;0),"W3","W1")</f>
        <v>W3</v>
      </c>
      <c r="C728" s="78">
        <f>INDEX(Parameter!$9:$9,,MATCH(24,Parameter!$8:$8,0))</f>
        <v>24</v>
      </c>
      <c r="D728" s="78" t="str">
        <f>INDEX(Parameter!$B$10:$AB$10,MATCH(C728,Parameter!$B$9:$AB$9,0))</f>
        <v>no</v>
      </c>
      <c r="E728" s="78">
        <f>COUNTIF(Data!$DY$90:$IB$90,Specials!C728)</f>
        <v>0</v>
      </c>
      <c r="F728" s="78">
        <f ca="1">OFFSET(Data!$CS$91,MATCH("W1",Data!$A$91:$A$190,0)-1,MATCH(C728,Data!$CS$90:$DS$90,0)-1)</f>
        <v>0</v>
      </c>
      <c r="G728" s="78">
        <f ca="1">OFFSET(Data!$CS$91,MATCH($B728,Data!$A$91:$A$190,0)-1,MATCH(C728,Data!$CS$90:$DS$90,0)-1)</f>
        <v>0</v>
      </c>
      <c r="H728" s="78">
        <f t="shared" ca="1" si="47"/>
        <v>0</v>
      </c>
      <c r="I728" s="78">
        <f t="array" ref="I728">SUM(IF(Data!$A$91:$A$190=$B728,Data!$J$91:$M$190))-SUM(IF(Data!$A$91:$A$190="W1",Data!$J$91:$M$190))</f>
        <v>12</v>
      </c>
      <c r="K728" s="78" t="str">
        <f>INDEX(Data!$DT$91:$DT$190,MATCH($B728,Data!$A$91:$A$190,0))</f>
        <v>Sonja Palmetshofer</v>
      </c>
      <c r="L728" s="78" t="str">
        <f t="shared" ca="1" si="48"/>
        <v>Best women took only 0 throws</v>
      </c>
      <c r="M728" s="78" t="s">
        <v>16</v>
      </c>
      <c r="N728" s="78" t="s">
        <v>255</v>
      </c>
      <c r="O728" s="78" t="e">
        <f t="shared" ca="1" si="49"/>
        <v>#VALUE!</v>
      </c>
      <c r="P728" s="78" t="str">
        <f t="shared" ca="1" si="50"/>
        <v/>
      </c>
    </row>
    <row r="729" spans="1:16" s="78" customFormat="1" hidden="1" x14ac:dyDescent="0.25">
      <c r="A729" s="78" t="s">
        <v>384</v>
      </c>
      <c r="B729" s="296" t="str">
        <f>IF(OR(AND(Parameter!$B$4=0,Parameter!$D$5="n"),INDEX(Data!$M$91:$M$190,MATCH("W3",Data!$A$91:$A$190,0))&gt;0,INDEX(Data!$N$91:$N$190,MATCH("W3",Data!$A$91:$A$190,0))&gt;0),"W3","W1")</f>
        <v>W3</v>
      </c>
      <c r="C729" s="78">
        <f>INDEX(Parameter!$9:$9,,MATCH(25,Parameter!$8:$8,0))</f>
        <v>25</v>
      </c>
      <c r="D729" s="78" t="str">
        <f>INDEX(Parameter!$B$10:$AB$10,MATCH(C729,Parameter!$B$9:$AB$9,0))</f>
        <v>no</v>
      </c>
      <c r="E729" s="78">
        <f>COUNTIF(Data!$DY$90:$IB$90,Specials!C729)</f>
        <v>0</v>
      </c>
      <c r="F729" s="78">
        <f ca="1">OFFSET(Data!$CS$91,MATCH("W1",Data!$A$91:$A$190,0)-1,MATCH(C729,Data!$CS$90:$DS$90,0)-1)</f>
        <v>0</v>
      </c>
      <c r="G729" s="78">
        <f ca="1">OFFSET(Data!$CS$91,MATCH($B729,Data!$A$91:$A$190,0)-1,MATCH(C729,Data!$CS$90:$DS$90,0)-1)</f>
        <v>0</v>
      </c>
      <c r="H729" s="78">
        <f t="shared" ca="1" si="47"/>
        <v>0</v>
      </c>
      <c r="I729" s="78">
        <f t="array" ref="I729">SUM(IF(Data!$A$91:$A$190=$B729,Data!$J$91:$M$190))-SUM(IF(Data!$A$91:$A$190="W1",Data!$J$91:$M$190))</f>
        <v>12</v>
      </c>
      <c r="K729" s="78" t="str">
        <f>INDEX(Data!$DT$91:$DT$190,MATCH($B729,Data!$A$91:$A$190,0))</f>
        <v>Sonja Palmetshofer</v>
      </c>
      <c r="L729" s="78" t="str">
        <f t="shared" ca="1" si="48"/>
        <v>Best women took only 0 throws</v>
      </c>
      <c r="M729" s="78" t="s">
        <v>16</v>
      </c>
      <c r="N729" s="78" t="s">
        <v>255</v>
      </c>
      <c r="O729" s="78" t="e">
        <f t="shared" ca="1" si="49"/>
        <v>#VALUE!</v>
      </c>
      <c r="P729" s="78" t="str">
        <f t="shared" ca="1" si="50"/>
        <v/>
      </c>
    </row>
    <row r="730" spans="1:16" s="78" customFormat="1" hidden="1" x14ac:dyDescent="0.25">
      <c r="A730" s="78" t="s">
        <v>384</v>
      </c>
      <c r="B730" s="296" t="str">
        <f>IF(OR(AND(Parameter!$B$4=0,Parameter!$D$5="n"),INDEX(Data!$M$91:$M$190,MATCH("W3",Data!$A$91:$A$190,0))&gt;0,INDEX(Data!$N$91:$N$190,MATCH("W3",Data!$A$91:$A$190,0))&gt;0),"W3","W1")</f>
        <v>W3</v>
      </c>
      <c r="C730" s="78">
        <f>INDEX(Parameter!$9:$9,,MATCH(26,Parameter!$8:$8,0))</f>
        <v>26</v>
      </c>
      <c r="D730" s="78" t="str">
        <f>INDEX(Parameter!$B$10:$AB$10,MATCH(C730,Parameter!$B$9:$AB$9,0))</f>
        <v>no</v>
      </c>
      <c r="E730" s="78">
        <f>COUNTIF(Data!$DY$90:$IB$90,Specials!C730)</f>
        <v>0</v>
      </c>
      <c r="F730" s="78">
        <f ca="1">OFFSET(Data!$CS$91,MATCH("W1",Data!$A$91:$A$190,0)-1,MATCH(C730,Data!$CS$90:$DS$90,0)-1)</f>
        <v>0</v>
      </c>
      <c r="G730" s="78">
        <f ca="1">OFFSET(Data!$CS$91,MATCH($B730,Data!$A$91:$A$190,0)-1,MATCH(C730,Data!$CS$90:$DS$90,0)-1)</f>
        <v>0</v>
      </c>
      <c r="H730" s="78">
        <f t="shared" ca="1" si="47"/>
        <v>0</v>
      </c>
      <c r="I730" s="78">
        <f t="array" ref="I730">SUM(IF(Data!$A$91:$A$190=$B730,Data!$J$91:$M$190))-SUM(IF(Data!$A$91:$A$190="W1",Data!$J$91:$M$190))</f>
        <v>12</v>
      </c>
      <c r="K730" s="78" t="str">
        <f>INDEX(Data!$DT$91:$DT$190,MATCH($B730,Data!$A$91:$A$190,0))</f>
        <v>Sonja Palmetshofer</v>
      </c>
      <c r="L730" s="78" t="str">
        <f t="shared" ca="1" si="48"/>
        <v>Best women took only 0 throws</v>
      </c>
      <c r="M730" s="78" t="s">
        <v>16</v>
      </c>
      <c r="N730" s="78" t="s">
        <v>255</v>
      </c>
      <c r="O730" s="78" t="e">
        <f t="shared" ca="1" si="49"/>
        <v>#VALUE!</v>
      </c>
      <c r="P730" s="78" t="str">
        <f t="shared" ca="1" si="50"/>
        <v/>
      </c>
    </row>
    <row r="731" spans="1:16" s="78" customFormat="1" hidden="1" x14ac:dyDescent="0.25">
      <c r="A731" s="78" t="s">
        <v>384</v>
      </c>
      <c r="B731" s="296" t="str">
        <f>IF(OR(AND(Parameter!$B$4=0,Parameter!$D$5="n"),INDEX(Data!$M$91:$M$190,MATCH("W3",Data!$A$91:$A$190,0))&gt;0,INDEX(Data!$N$91:$N$190,MATCH("W3",Data!$A$91:$A$190,0))&gt;0),"W3","W1")</f>
        <v>W3</v>
      </c>
      <c r="C731" s="78">
        <f>INDEX(Parameter!$9:$9,,MATCH(27,Parameter!$8:$8,0))</f>
        <v>27</v>
      </c>
      <c r="D731" s="78" t="str">
        <f>INDEX(Parameter!$B$10:$AB$10,MATCH(C731,Parameter!$B$9:$AB$9,0))</f>
        <v>no</v>
      </c>
      <c r="E731" s="78">
        <f>COUNTIF(Data!$DY$90:$IB$90,Specials!C731)</f>
        <v>0</v>
      </c>
      <c r="F731" s="78">
        <f ca="1">OFFSET(Data!$CS$91,MATCH("W1",Data!$A$91:$A$190,0)-1,MATCH(C731,Data!$CS$90:$DS$90,0)-1)</f>
        <v>0</v>
      </c>
      <c r="G731" s="78">
        <f ca="1">OFFSET(Data!$CS$91,MATCH($B731,Data!$A$91:$A$190,0)-1,MATCH(C731,Data!$CS$90:$DS$90,0)-1)</f>
        <v>0</v>
      </c>
      <c r="H731" s="78">
        <f t="shared" ca="1" si="47"/>
        <v>0</v>
      </c>
      <c r="I731" s="78">
        <f t="array" ref="I731">SUM(IF(Data!$A$91:$A$190=$B731,Data!$J$91:$M$190))-SUM(IF(Data!$A$91:$A$190="W1",Data!$J$91:$M$190))</f>
        <v>12</v>
      </c>
      <c r="K731" s="78" t="str">
        <f>INDEX(Data!$DT$91:$DT$190,MATCH($B731,Data!$A$91:$A$190,0))</f>
        <v>Sonja Palmetshofer</v>
      </c>
      <c r="L731" s="78" t="str">
        <f t="shared" ca="1" si="48"/>
        <v>Best women took only 0 throws</v>
      </c>
      <c r="M731" s="78" t="s">
        <v>16</v>
      </c>
      <c r="N731" s="78" t="s">
        <v>255</v>
      </c>
      <c r="O731" s="78" t="e">
        <f t="shared" ca="1" si="49"/>
        <v>#VALUE!</v>
      </c>
      <c r="P731" s="78" t="str">
        <f t="shared" ca="1" si="50"/>
        <v/>
      </c>
    </row>
    <row r="732" spans="1:16" s="78" customFormat="1" ht="15" hidden="1" customHeight="1" x14ac:dyDescent="0.25">
      <c r="A732" s="78" t="s">
        <v>384</v>
      </c>
      <c r="B732" s="296" t="str">
        <f>IF(OR(AND(Parameter!$B$4=0,Parameter!$D$5="n"),INDEX(Data!$M$91:$M$190,MATCH("W4",Data!$A$91:$A$190,0))&gt;0,INDEX(Data!$N$91:$N$190,MATCH("W4",Data!$A$91:$A$190,0))&gt;0),"W4","W1")</f>
        <v>W4</v>
      </c>
      <c r="C732" s="78">
        <f>INDEX(Parameter!$9:$9,,MATCH(1,Parameter!$8:$8,0))</f>
        <v>1</v>
      </c>
      <c r="D732" s="78">
        <f>INDEX(Parameter!$B$10:$AB$10,MATCH(C732,Parameter!$B$9:$AB$9,0))</f>
        <v>3</v>
      </c>
      <c r="E732" s="78">
        <f>COUNTIF(Data!$DY$90:$IB$90,Specials!C732)</f>
        <v>2</v>
      </c>
      <c r="F732" s="78">
        <f ca="1">OFFSET(Data!$CS$91,MATCH("W1",Data!$A$91:$A$190,0)-1,MATCH(C732,Data!$CS$90:$DS$90,0)-1)</f>
        <v>7</v>
      </c>
      <c r="G732" s="78">
        <f ca="1">OFFSET(Data!$CS$91,MATCH($B732,Data!$A$91:$A$190,0)-1,MATCH(C732,Data!$CS$90:$DS$90,0)-1)</f>
        <v>7</v>
      </c>
      <c r="H732" s="78">
        <f t="shared" ca="1" si="47"/>
        <v>0</v>
      </c>
      <c r="I732" s="78">
        <f t="array" ref="I732">SUM(IF(Data!$A$91:$A$190=$B732,Data!$J$91:$M$190))-SUM(IF(Data!$A$91:$A$190="W1",Data!$J$91:$M$190))</f>
        <v>18</v>
      </c>
      <c r="K732" s="78" t="str">
        <f>INDEX(Data!$DT$91:$DT$190,MATCH($B732,Data!$A$91:$A$190,0))</f>
        <v>Irmgard Derschmidt</v>
      </c>
      <c r="L732" s="78" t="str">
        <f t="shared" ca="1" si="48"/>
        <v>Best women took only 7 throws</v>
      </c>
      <c r="M732" s="78" t="s">
        <v>16</v>
      </c>
      <c r="N732" s="78" t="s">
        <v>255</v>
      </c>
      <c r="O732" s="78" t="e">
        <f t="shared" ca="1" si="49"/>
        <v>#VALUE!</v>
      </c>
      <c r="P732" s="78" t="str">
        <f t="shared" ca="1" si="50"/>
        <v/>
      </c>
    </row>
    <row r="733" spans="1:16" s="78" customFormat="1" hidden="1" x14ac:dyDescent="0.25">
      <c r="A733" s="78" t="s">
        <v>384</v>
      </c>
      <c r="B733" s="296" t="str">
        <f>IF(OR(AND(Parameter!$B$4=0,Parameter!$D$5="n"),INDEX(Data!$M$91:$M$190,MATCH("W4",Data!$A$91:$A$190,0))&gt;0,INDEX(Data!$N$91:$N$190,MATCH("W4",Data!$A$91:$A$190,0))&gt;0),"W4","W1")</f>
        <v>W4</v>
      </c>
      <c r="C733" s="78">
        <f>INDEX(Parameter!$9:$9,,MATCH(2,Parameter!$8:$8,0))</f>
        <v>2</v>
      </c>
      <c r="D733" s="78">
        <f>INDEX(Parameter!$B$10:$AB$10,MATCH(C733,Parameter!$B$9:$AB$9,0))</f>
        <v>3</v>
      </c>
      <c r="E733" s="78">
        <f>COUNTIF(Data!$DY$90:$IB$90,Specials!C733)</f>
        <v>2</v>
      </c>
      <c r="F733" s="78">
        <f ca="1">OFFSET(Data!$CS$91,MATCH("W1",Data!$A$91:$A$190,0)-1,MATCH(C733,Data!$CS$90:$DS$90,0)-1)</f>
        <v>6</v>
      </c>
      <c r="G733" s="78">
        <f ca="1">OFFSET(Data!$CS$91,MATCH($B733,Data!$A$91:$A$190,0)-1,MATCH(C733,Data!$CS$90:$DS$90,0)-1)</f>
        <v>6</v>
      </c>
      <c r="H733" s="78">
        <f t="shared" ca="1" si="47"/>
        <v>0</v>
      </c>
      <c r="I733" s="78">
        <f t="array" ref="I733">SUM(IF(Data!$A$91:$A$190=$B733,Data!$J$91:$M$190))-SUM(IF(Data!$A$91:$A$190="W1",Data!$J$91:$M$190))</f>
        <v>18</v>
      </c>
      <c r="K733" s="78" t="str">
        <f>INDEX(Data!$DT$91:$DT$190,MATCH($B733,Data!$A$91:$A$190,0))</f>
        <v>Irmgard Derschmidt</v>
      </c>
      <c r="L733" s="78" t="str">
        <f t="shared" ca="1" si="48"/>
        <v>Best women took only 6 throws</v>
      </c>
      <c r="M733" s="78" t="s">
        <v>16</v>
      </c>
      <c r="N733" s="78" t="s">
        <v>255</v>
      </c>
      <c r="O733" s="78" t="e">
        <f t="shared" ca="1" si="49"/>
        <v>#VALUE!</v>
      </c>
      <c r="P733" s="78" t="str">
        <f t="shared" ca="1" si="50"/>
        <v/>
      </c>
    </row>
    <row r="734" spans="1:16" s="78" customFormat="1" hidden="1" x14ac:dyDescent="0.25">
      <c r="A734" s="78" t="s">
        <v>384</v>
      </c>
      <c r="B734" s="296" t="str">
        <f>IF(OR(AND(Parameter!$B$4=0,Parameter!$D$5="n"),INDEX(Data!$M$91:$M$190,MATCH("W4",Data!$A$91:$A$190,0))&gt;0,INDEX(Data!$N$91:$N$190,MATCH("W4",Data!$A$91:$A$190,0))&gt;0),"W4","W1")</f>
        <v>W4</v>
      </c>
      <c r="C734" s="78">
        <f>INDEX(Parameter!$9:$9,,MATCH(3,Parameter!$8:$8,0))</f>
        <v>3</v>
      </c>
      <c r="D734" s="78">
        <f>INDEX(Parameter!$B$10:$AB$10,MATCH(C734,Parameter!$B$9:$AB$9,0))</f>
        <v>3</v>
      </c>
      <c r="E734" s="78">
        <f>COUNTIF(Data!$DY$90:$IB$90,Specials!C734)</f>
        <v>2</v>
      </c>
      <c r="F734" s="78">
        <f ca="1">OFFSET(Data!$CS$91,MATCH("W1",Data!$A$91:$A$190,0)-1,MATCH(C734,Data!$CS$90:$DS$90,0)-1)</f>
        <v>8</v>
      </c>
      <c r="G734" s="78">
        <f ca="1">OFFSET(Data!$CS$91,MATCH($B734,Data!$A$91:$A$190,0)-1,MATCH(C734,Data!$CS$90:$DS$90,0)-1)</f>
        <v>7</v>
      </c>
      <c r="H734" s="78">
        <f t="shared" ca="1" si="47"/>
        <v>0</v>
      </c>
      <c r="I734" s="78">
        <f t="array" ref="I734">SUM(IF(Data!$A$91:$A$190=$B734,Data!$J$91:$M$190))-SUM(IF(Data!$A$91:$A$190="W1",Data!$J$91:$M$190))</f>
        <v>18</v>
      </c>
      <c r="K734" s="78" t="str">
        <f>INDEX(Data!$DT$91:$DT$190,MATCH($B734,Data!$A$91:$A$190,0))</f>
        <v>Irmgard Derschmidt</v>
      </c>
      <c r="L734" s="78" t="str">
        <f t="shared" ca="1" si="48"/>
        <v>Best women took only 8 throws</v>
      </c>
      <c r="M734" s="78" t="s">
        <v>16</v>
      </c>
      <c r="N734" s="78" t="s">
        <v>255</v>
      </c>
      <c r="O734" s="78" t="e">
        <f t="shared" ca="1" si="49"/>
        <v>#VALUE!</v>
      </c>
      <c r="P734" s="78" t="str">
        <f t="shared" ca="1" si="50"/>
        <v/>
      </c>
    </row>
    <row r="735" spans="1:16" s="78" customFormat="1" hidden="1" x14ac:dyDescent="0.25">
      <c r="A735" s="78" t="s">
        <v>384</v>
      </c>
      <c r="B735" s="296" t="str">
        <f>IF(OR(AND(Parameter!$B$4=0,Parameter!$D$5="n"),INDEX(Data!$M$91:$M$190,MATCH("W4",Data!$A$91:$A$190,0))&gt;0,INDEX(Data!$N$91:$N$190,MATCH("W4",Data!$A$91:$A$190,0))&gt;0),"W4","W1")</f>
        <v>W4</v>
      </c>
      <c r="C735" s="78">
        <f>INDEX(Parameter!$9:$9,,MATCH(4,Parameter!$8:$8,0))</f>
        <v>4</v>
      </c>
      <c r="D735" s="78">
        <f>INDEX(Parameter!$B$10:$AB$10,MATCH(C735,Parameter!$B$9:$AB$9,0))</f>
        <v>3</v>
      </c>
      <c r="E735" s="78">
        <f>COUNTIF(Data!$DY$90:$IB$90,Specials!C735)</f>
        <v>2</v>
      </c>
      <c r="F735" s="78">
        <f ca="1">OFFSET(Data!$CS$91,MATCH("W1",Data!$A$91:$A$190,0)-1,MATCH(C735,Data!$CS$90:$DS$90,0)-1)</f>
        <v>7</v>
      </c>
      <c r="G735" s="78">
        <f ca="1">OFFSET(Data!$CS$91,MATCH($B735,Data!$A$91:$A$190,0)-1,MATCH(C735,Data!$CS$90:$DS$90,0)-1)</f>
        <v>7</v>
      </c>
      <c r="H735" s="78">
        <f t="shared" ca="1" si="47"/>
        <v>0</v>
      </c>
      <c r="I735" s="78">
        <f t="array" ref="I735">SUM(IF(Data!$A$91:$A$190=$B735,Data!$J$91:$M$190))-SUM(IF(Data!$A$91:$A$190="W1",Data!$J$91:$M$190))</f>
        <v>18</v>
      </c>
      <c r="K735" s="78" t="str">
        <f>INDEX(Data!$DT$91:$DT$190,MATCH($B735,Data!$A$91:$A$190,0))</f>
        <v>Irmgard Derschmidt</v>
      </c>
      <c r="L735" s="78" t="str">
        <f t="shared" ca="1" si="48"/>
        <v>Best women took only 7 throws</v>
      </c>
      <c r="M735" s="78" t="s">
        <v>16</v>
      </c>
      <c r="N735" s="78" t="s">
        <v>255</v>
      </c>
      <c r="O735" s="78" t="e">
        <f t="shared" ca="1" si="49"/>
        <v>#VALUE!</v>
      </c>
      <c r="P735" s="78" t="str">
        <f t="shared" ca="1" si="50"/>
        <v/>
      </c>
    </row>
    <row r="736" spans="1:16" s="78" customFormat="1" hidden="1" x14ac:dyDescent="0.25">
      <c r="A736" s="78" t="s">
        <v>384</v>
      </c>
      <c r="B736" s="296" t="str">
        <f>IF(OR(AND(Parameter!$B$4=0,Parameter!$D$5="n"),INDEX(Data!$M$91:$M$190,MATCH("W4",Data!$A$91:$A$190,0))&gt;0,INDEX(Data!$N$91:$N$190,MATCH("W4",Data!$A$91:$A$190,0))&gt;0),"W4","W1")</f>
        <v>W4</v>
      </c>
      <c r="C736" s="78">
        <f>INDEX(Parameter!$9:$9,,MATCH(5,Parameter!$8:$8,0))</f>
        <v>5</v>
      </c>
      <c r="D736" s="78">
        <f>INDEX(Parameter!$B$10:$AB$10,MATCH(C736,Parameter!$B$9:$AB$9,0))</f>
        <v>4</v>
      </c>
      <c r="E736" s="78">
        <f>COUNTIF(Data!$DY$90:$IB$90,Specials!C736)</f>
        <v>2</v>
      </c>
      <c r="F736" s="78">
        <f ca="1">OFFSET(Data!$CS$91,MATCH("W1",Data!$A$91:$A$190,0)-1,MATCH(C736,Data!$CS$90:$DS$90,0)-1)</f>
        <v>8</v>
      </c>
      <c r="G736" s="78">
        <f ca="1">OFFSET(Data!$CS$91,MATCH($B736,Data!$A$91:$A$190,0)-1,MATCH(C736,Data!$CS$90:$DS$90,0)-1)</f>
        <v>8</v>
      </c>
      <c r="H736" s="78">
        <f t="shared" ca="1" si="47"/>
        <v>0</v>
      </c>
      <c r="I736" s="78">
        <f t="array" ref="I736">SUM(IF(Data!$A$91:$A$190=$B736,Data!$J$91:$M$190))-SUM(IF(Data!$A$91:$A$190="W1",Data!$J$91:$M$190))</f>
        <v>18</v>
      </c>
      <c r="K736" s="78" t="str">
        <f>INDEX(Data!$DT$91:$DT$190,MATCH($B736,Data!$A$91:$A$190,0))</f>
        <v>Irmgard Derschmidt</v>
      </c>
      <c r="L736" s="78" t="str">
        <f t="shared" ca="1" si="48"/>
        <v>Best women took only 8 throws</v>
      </c>
      <c r="M736" s="78" t="s">
        <v>16</v>
      </c>
      <c r="N736" s="78" t="s">
        <v>255</v>
      </c>
      <c r="O736" s="78" t="e">
        <f t="shared" ca="1" si="49"/>
        <v>#VALUE!</v>
      </c>
      <c r="P736" s="78" t="str">
        <f t="shared" ca="1" si="50"/>
        <v/>
      </c>
    </row>
    <row r="737" spans="1:16" s="78" customFormat="1" hidden="1" x14ac:dyDescent="0.25">
      <c r="A737" s="78" t="s">
        <v>384</v>
      </c>
      <c r="B737" s="296" t="str">
        <f>IF(OR(AND(Parameter!$B$4=0,Parameter!$D$5="n"),INDEX(Data!$M$91:$M$190,MATCH("W4",Data!$A$91:$A$190,0))&gt;0,INDEX(Data!$N$91:$N$190,MATCH("W4",Data!$A$91:$A$190,0))&gt;0),"W4","W1")</f>
        <v>W4</v>
      </c>
      <c r="C737" s="78">
        <f>INDEX(Parameter!$9:$9,,MATCH(6,Parameter!$8:$8,0))</f>
        <v>6</v>
      </c>
      <c r="D737" s="78">
        <f>INDEX(Parameter!$B$10:$AB$10,MATCH(C737,Parameter!$B$9:$AB$9,0))</f>
        <v>3</v>
      </c>
      <c r="E737" s="78">
        <f>COUNTIF(Data!$DY$90:$IB$90,Specials!C737)</f>
        <v>2</v>
      </c>
      <c r="F737" s="78">
        <f ca="1">OFFSET(Data!$CS$91,MATCH("W1",Data!$A$91:$A$190,0)-1,MATCH(C737,Data!$CS$90:$DS$90,0)-1)</f>
        <v>7</v>
      </c>
      <c r="G737" s="78">
        <f ca="1">OFFSET(Data!$CS$91,MATCH($B737,Data!$A$91:$A$190,0)-1,MATCH(C737,Data!$CS$90:$DS$90,0)-1)</f>
        <v>7</v>
      </c>
      <c r="H737" s="78">
        <f t="shared" ca="1" si="47"/>
        <v>0</v>
      </c>
      <c r="I737" s="78">
        <f t="array" ref="I737">SUM(IF(Data!$A$91:$A$190=$B737,Data!$J$91:$M$190))-SUM(IF(Data!$A$91:$A$190="W1",Data!$J$91:$M$190))</f>
        <v>18</v>
      </c>
      <c r="K737" s="78" t="str">
        <f>INDEX(Data!$DT$91:$DT$190,MATCH($B737,Data!$A$91:$A$190,0))</f>
        <v>Irmgard Derschmidt</v>
      </c>
      <c r="L737" s="78" t="str">
        <f t="shared" ca="1" si="48"/>
        <v>Best women took only 7 throws</v>
      </c>
      <c r="M737" s="78" t="s">
        <v>16</v>
      </c>
      <c r="N737" s="78" t="s">
        <v>255</v>
      </c>
      <c r="O737" s="78" t="e">
        <f t="shared" ca="1" si="49"/>
        <v>#VALUE!</v>
      </c>
      <c r="P737" s="78" t="str">
        <f t="shared" ca="1" si="50"/>
        <v/>
      </c>
    </row>
    <row r="738" spans="1:16" s="78" customFormat="1" hidden="1" x14ac:dyDescent="0.25">
      <c r="A738" s="78" t="s">
        <v>384</v>
      </c>
      <c r="B738" s="296" t="str">
        <f>IF(OR(AND(Parameter!$B$4=0,Parameter!$D$5="n"),INDEX(Data!$M$91:$M$190,MATCH("W4",Data!$A$91:$A$190,0))&gt;0,INDEX(Data!$N$91:$N$190,MATCH("W4",Data!$A$91:$A$190,0))&gt;0),"W4","W1")</f>
        <v>W4</v>
      </c>
      <c r="C738" s="78">
        <f>INDEX(Parameter!$9:$9,,MATCH(7,Parameter!$8:$8,0))</f>
        <v>7</v>
      </c>
      <c r="D738" s="78">
        <f>INDEX(Parameter!$B$10:$AB$10,MATCH(C738,Parameter!$B$9:$AB$9,0))</f>
        <v>3</v>
      </c>
      <c r="E738" s="78">
        <f>COUNTIF(Data!$DY$90:$IB$90,Specials!C738)</f>
        <v>2</v>
      </c>
      <c r="F738" s="78">
        <f ca="1">OFFSET(Data!$CS$91,MATCH("W1",Data!$A$91:$A$190,0)-1,MATCH(C738,Data!$CS$90:$DS$90,0)-1)</f>
        <v>6</v>
      </c>
      <c r="G738" s="78">
        <f ca="1">OFFSET(Data!$CS$91,MATCH($B738,Data!$A$91:$A$190,0)-1,MATCH(C738,Data!$CS$90:$DS$90,0)-1)</f>
        <v>6</v>
      </c>
      <c r="H738" s="78">
        <f t="shared" ca="1" si="47"/>
        <v>0</v>
      </c>
      <c r="I738" s="78">
        <f t="array" ref="I738">SUM(IF(Data!$A$91:$A$190=$B738,Data!$J$91:$M$190))-SUM(IF(Data!$A$91:$A$190="W1",Data!$J$91:$M$190))</f>
        <v>18</v>
      </c>
      <c r="K738" s="78" t="str">
        <f>INDEX(Data!$DT$91:$DT$190,MATCH($B738,Data!$A$91:$A$190,0))</f>
        <v>Irmgard Derschmidt</v>
      </c>
      <c r="L738" s="78" t="str">
        <f t="shared" ca="1" si="48"/>
        <v>Best women took only 6 throws</v>
      </c>
      <c r="M738" s="78" t="s">
        <v>16</v>
      </c>
      <c r="N738" s="78" t="s">
        <v>255</v>
      </c>
      <c r="O738" s="78" t="e">
        <f t="shared" ca="1" si="49"/>
        <v>#VALUE!</v>
      </c>
      <c r="P738" s="78" t="str">
        <f t="shared" ca="1" si="50"/>
        <v/>
      </c>
    </row>
    <row r="739" spans="1:16" s="78" customFormat="1" hidden="1" x14ac:dyDescent="0.25">
      <c r="A739" s="78" t="s">
        <v>384</v>
      </c>
      <c r="B739" s="296" t="str">
        <f>IF(OR(AND(Parameter!$B$4=0,Parameter!$D$5="n"),INDEX(Data!$M$91:$M$190,MATCH("W4",Data!$A$91:$A$190,0))&gt;0,INDEX(Data!$N$91:$N$190,MATCH("W4",Data!$A$91:$A$190,0))&gt;0),"W4","W1")</f>
        <v>W4</v>
      </c>
      <c r="C739" s="78">
        <f>INDEX(Parameter!$9:$9,,MATCH(8,Parameter!$8:$8,0))</f>
        <v>8</v>
      </c>
      <c r="D739" s="78">
        <f>INDEX(Parameter!$B$10:$AB$10,MATCH(C739,Parameter!$B$9:$AB$9,0))</f>
        <v>3</v>
      </c>
      <c r="E739" s="78">
        <f>COUNTIF(Data!$DY$90:$IB$90,Specials!C739)</f>
        <v>2</v>
      </c>
      <c r="F739" s="78">
        <f ca="1">OFFSET(Data!$CS$91,MATCH("W1",Data!$A$91:$A$190,0)-1,MATCH(C739,Data!$CS$90:$DS$90,0)-1)</f>
        <v>6</v>
      </c>
      <c r="G739" s="78">
        <f ca="1">OFFSET(Data!$CS$91,MATCH($B739,Data!$A$91:$A$190,0)-1,MATCH(C739,Data!$CS$90:$DS$90,0)-1)</f>
        <v>8</v>
      </c>
      <c r="H739" s="78">
        <f t="shared" ca="1" si="47"/>
        <v>0</v>
      </c>
      <c r="I739" s="78">
        <f t="array" ref="I739">SUM(IF(Data!$A$91:$A$190=$B739,Data!$J$91:$M$190))-SUM(IF(Data!$A$91:$A$190="W1",Data!$J$91:$M$190))</f>
        <v>18</v>
      </c>
      <c r="K739" s="78" t="str">
        <f>INDEX(Data!$DT$91:$DT$190,MATCH($B739,Data!$A$91:$A$190,0))</f>
        <v>Irmgard Derschmidt</v>
      </c>
      <c r="L739" s="78" t="str">
        <f t="shared" ca="1" si="48"/>
        <v>Best women took only 6 throws</v>
      </c>
      <c r="M739" s="78" t="s">
        <v>16</v>
      </c>
      <c r="N739" s="78" t="s">
        <v>255</v>
      </c>
      <c r="O739" s="78" t="e">
        <f t="shared" ca="1" si="49"/>
        <v>#VALUE!</v>
      </c>
      <c r="P739" s="78" t="str">
        <f t="shared" ca="1" si="50"/>
        <v/>
      </c>
    </row>
    <row r="740" spans="1:16" s="78" customFormat="1" hidden="1" x14ac:dyDescent="0.25">
      <c r="A740" s="78" t="s">
        <v>384</v>
      </c>
      <c r="B740" s="296" t="str">
        <f>IF(OR(AND(Parameter!$B$4=0,Parameter!$D$5="n"),INDEX(Data!$M$91:$M$190,MATCH("W4",Data!$A$91:$A$190,0))&gt;0,INDEX(Data!$N$91:$N$190,MATCH("W4",Data!$A$91:$A$190,0))&gt;0),"W4","W1")</f>
        <v>W4</v>
      </c>
      <c r="C740" s="78">
        <f>INDEX(Parameter!$9:$9,,MATCH(9,Parameter!$8:$8,0))</f>
        <v>9</v>
      </c>
      <c r="D740" s="78">
        <f>INDEX(Parameter!$B$10:$AB$10,MATCH(C740,Parameter!$B$9:$AB$9,0))</f>
        <v>4</v>
      </c>
      <c r="E740" s="78">
        <f>COUNTIF(Data!$DY$90:$IB$90,Specials!C740)</f>
        <v>2</v>
      </c>
      <c r="F740" s="78">
        <f ca="1">OFFSET(Data!$CS$91,MATCH("W1",Data!$A$91:$A$190,0)-1,MATCH(C740,Data!$CS$90:$DS$90,0)-1)</f>
        <v>9</v>
      </c>
      <c r="G740" s="78">
        <f ca="1">OFFSET(Data!$CS$91,MATCH($B740,Data!$A$91:$A$190,0)-1,MATCH(C740,Data!$CS$90:$DS$90,0)-1)</f>
        <v>10</v>
      </c>
      <c r="H740" s="78">
        <f t="shared" ca="1" si="47"/>
        <v>0</v>
      </c>
      <c r="I740" s="78">
        <f t="array" ref="I740">SUM(IF(Data!$A$91:$A$190=$B740,Data!$J$91:$M$190))-SUM(IF(Data!$A$91:$A$190="W1",Data!$J$91:$M$190))</f>
        <v>18</v>
      </c>
      <c r="K740" s="78" t="str">
        <f>INDEX(Data!$DT$91:$DT$190,MATCH($B740,Data!$A$91:$A$190,0))</f>
        <v>Irmgard Derschmidt</v>
      </c>
      <c r="L740" s="78" t="str">
        <f t="shared" ca="1" si="48"/>
        <v>Best women took only 9 throws</v>
      </c>
      <c r="M740" s="78" t="s">
        <v>16</v>
      </c>
      <c r="N740" s="78" t="s">
        <v>255</v>
      </c>
      <c r="O740" s="78" t="e">
        <f t="shared" ca="1" si="49"/>
        <v>#VALUE!</v>
      </c>
      <c r="P740" s="78" t="str">
        <f t="shared" ca="1" si="50"/>
        <v/>
      </c>
    </row>
    <row r="741" spans="1:16" s="78" customFormat="1" hidden="1" x14ac:dyDescent="0.25">
      <c r="A741" s="78" t="s">
        <v>384</v>
      </c>
      <c r="B741" s="296" t="str">
        <f>IF(OR(AND(Parameter!$B$4=0,Parameter!$D$5="n"),INDEX(Data!$M$91:$M$190,MATCH("W4",Data!$A$91:$A$190,0))&gt;0,INDEX(Data!$N$91:$N$190,MATCH("W4",Data!$A$91:$A$190,0))&gt;0),"W4","W1")</f>
        <v>W4</v>
      </c>
      <c r="C741" s="78">
        <f>INDEX(Parameter!$9:$9,,MATCH(10,Parameter!$8:$8,0))</f>
        <v>10</v>
      </c>
      <c r="D741" s="78">
        <f>INDEX(Parameter!$B$10:$AB$10,MATCH(C741,Parameter!$B$9:$AB$9,0))</f>
        <v>4</v>
      </c>
      <c r="E741" s="78">
        <f>COUNTIF(Data!$DY$90:$IB$90,Specials!C741)</f>
        <v>2</v>
      </c>
      <c r="F741" s="78">
        <f ca="1">OFFSET(Data!$CS$91,MATCH("W1",Data!$A$91:$A$190,0)-1,MATCH(C741,Data!$CS$90:$DS$90,0)-1)</f>
        <v>8</v>
      </c>
      <c r="G741" s="78">
        <f ca="1">OFFSET(Data!$CS$91,MATCH($B741,Data!$A$91:$A$190,0)-1,MATCH(C741,Data!$CS$90:$DS$90,0)-1)</f>
        <v>10</v>
      </c>
      <c r="H741" s="78">
        <f t="shared" ca="1" si="47"/>
        <v>0</v>
      </c>
      <c r="I741" s="78">
        <f t="array" ref="I741">SUM(IF(Data!$A$91:$A$190=$B741,Data!$J$91:$M$190))-SUM(IF(Data!$A$91:$A$190="W1",Data!$J$91:$M$190))</f>
        <v>18</v>
      </c>
      <c r="K741" s="78" t="str">
        <f>INDEX(Data!$DT$91:$DT$190,MATCH($B741,Data!$A$91:$A$190,0))</f>
        <v>Irmgard Derschmidt</v>
      </c>
      <c r="L741" s="78" t="str">
        <f t="shared" ca="1" si="48"/>
        <v>Best women took only 8 throws</v>
      </c>
      <c r="M741" s="78" t="s">
        <v>16</v>
      </c>
      <c r="N741" s="78" t="s">
        <v>255</v>
      </c>
      <c r="O741" s="78" t="e">
        <f t="shared" ca="1" si="49"/>
        <v>#VALUE!</v>
      </c>
      <c r="P741" s="78" t="str">
        <f t="shared" ca="1" si="50"/>
        <v/>
      </c>
    </row>
    <row r="742" spans="1:16" s="78" customFormat="1" hidden="1" x14ac:dyDescent="0.25">
      <c r="A742" s="78" t="s">
        <v>384</v>
      </c>
      <c r="B742" s="296" t="str">
        <f>IF(OR(AND(Parameter!$B$4=0,Parameter!$D$5="n"),INDEX(Data!$M$91:$M$190,MATCH("W4",Data!$A$91:$A$190,0))&gt;0,INDEX(Data!$N$91:$N$190,MATCH("W4",Data!$A$91:$A$190,0))&gt;0),"W4","W1")</f>
        <v>W4</v>
      </c>
      <c r="C742" s="78">
        <f>INDEX(Parameter!$9:$9,,MATCH(11,Parameter!$8:$8,0))</f>
        <v>11</v>
      </c>
      <c r="D742" s="78">
        <f>INDEX(Parameter!$B$10:$AB$10,MATCH(C742,Parameter!$B$9:$AB$9,0))</f>
        <v>4</v>
      </c>
      <c r="E742" s="78">
        <f>COUNTIF(Data!$DY$90:$IB$90,Specials!C742)</f>
        <v>2</v>
      </c>
      <c r="F742" s="78">
        <f ca="1">OFFSET(Data!$CS$91,MATCH("W1",Data!$A$91:$A$190,0)-1,MATCH(C742,Data!$CS$90:$DS$90,0)-1)</f>
        <v>10</v>
      </c>
      <c r="G742" s="78">
        <f ca="1">OFFSET(Data!$CS$91,MATCH($B742,Data!$A$91:$A$190,0)-1,MATCH(C742,Data!$CS$90:$DS$90,0)-1)</f>
        <v>13</v>
      </c>
      <c r="H742" s="78">
        <f t="shared" ca="1" si="47"/>
        <v>0</v>
      </c>
      <c r="I742" s="78">
        <f t="array" ref="I742">SUM(IF(Data!$A$91:$A$190=$B742,Data!$J$91:$M$190))-SUM(IF(Data!$A$91:$A$190="W1",Data!$J$91:$M$190))</f>
        <v>18</v>
      </c>
      <c r="K742" s="78" t="str">
        <f>INDEX(Data!$DT$91:$DT$190,MATCH($B742,Data!$A$91:$A$190,0))</f>
        <v>Irmgard Derschmidt</v>
      </c>
      <c r="L742" s="78" t="str">
        <f t="shared" ca="1" si="48"/>
        <v>Best women took only 10 throws</v>
      </c>
      <c r="M742" s="78" t="s">
        <v>16</v>
      </c>
      <c r="N742" s="78" t="s">
        <v>255</v>
      </c>
      <c r="O742" s="78" t="e">
        <f t="shared" ca="1" si="49"/>
        <v>#VALUE!</v>
      </c>
      <c r="P742" s="78" t="str">
        <f t="shared" ref="P742:P773" ca="1" si="51">IF(H742&gt;0,"On hole "&amp;C742&amp;" (par "&amp;D742&amp;") "&amp;K742&amp;" took "&amp;G742&amp;" throws in total ("&amp;$E742&amp;" rounds)","")</f>
        <v/>
      </c>
    </row>
    <row r="743" spans="1:16" s="78" customFormat="1" hidden="1" x14ac:dyDescent="0.25">
      <c r="A743" s="78" t="s">
        <v>384</v>
      </c>
      <c r="B743" s="296" t="str">
        <f>IF(OR(AND(Parameter!$B$4=0,Parameter!$D$5="n"),INDEX(Data!$M$91:$M$190,MATCH("W4",Data!$A$91:$A$190,0))&gt;0,INDEX(Data!$N$91:$N$190,MATCH("W4",Data!$A$91:$A$190,0))&gt;0),"W4","W1")</f>
        <v>W4</v>
      </c>
      <c r="C743" s="78" t="str">
        <f>INDEX(Parameter!$9:$9,,MATCH(12,Parameter!$8:$8,0))</f>
        <v>11b</v>
      </c>
      <c r="D743" s="78">
        <f>INDEX(Parameter!$B$10:$AB$10,MATCH(C743,Parameter!$B$9:$AB$9,0))</f>
        <v>3</v>
      </c>
      <c r="E743" s="78">
        <f>COUNTIF(Data!$DY$90:$IB$90,Specials!C743)</f>
        <v>2</v>
      </c>
      <c r="F743" s="78">
        <f ca="1">OFFSET(Data!$CS$91,MATCH("W1",Data!$A$91:$A$190,0)-1,MATCH(C743,Data!$CS$90:$DS$90,0)-1)</f>
        <v>6</v>
      </c>
      <c r="G743" s="78">
        <f ca="1">OFFSET(Data!$CS$91,MATCH($B743,Data!$A$91:$A$190,0)-1,MATCH(C743,Data!$CS$90:$DS$90,0)-1)</f>
        <v>8</v>
      </c>
      <c r="H743" s="78">
        <f t="shared" ref="H743:H785" ca="1" si="52">IF(AND(G743-F743&gt;=E743*1,G743-F743&lt;E743*2,G743-F743&gt;=3,G743-F743&gt;=I743-1),1,0)</f>
        <v>0</v>
      </c>
      <c r="I743" s="78">
        <f t="array" ref="I743">SUM(IF(Data!$A$91:$A$190=$B743,Data!$J$91:$M$190))-SUM(IF(Data!$A$91:$A$190="W1",Data!$J$91:$M$190))</f>
        <v>18</v>
      </c>
      <c r="K743" s="78" t="str">
        <f>INDEX(Data!$DT$91:$DT$190,MATCH($B743,Data!$A$91:$A$190,0))</f>
        <v>Irmgard Derschmidt</v>
      </c>
      <c r="L743" s="78" t="str">
        <f t="shared" ref="L743:L785" ca="1" si="53">"Best women took only "&amp;F743&amp;" throws"</f>
        <v>Best women took only 6 throws</v>
      </c>
      <c r="M743" s="78" t="s">
        <v>16</v>
      </c>
      <c r="N743" s="78" t="s">
        <v>255</v>
      </c>
      <c r="O743" s="78" t="e">
        <f t="shared" ca="1" si="49"/>
        <v>#VALUE!</v>
      </c>
      <c r="P743" s="78" t="str">
        <f t="shared" ca="1" si="51"/>
        <v/>
      </c>
    </row>
    <row r="744" spans="1:16" s="78" customFormat="1" hidden="1" x14ac:dyDescent="0.25">
      <c r="A744" s="78" t="s">
        <v>384</v>
      </c>
      <c r="B744" s="296" t="str">
        <f>IF(OR(AND(Parameter!$B$4=0,Parameter!$D$5="n"),INDEX(Data!$M$91:$M$190,MATCH("W4",Data!$A$91:$A$190,0))&gt;0,INDEX(Data!$N$91:$N$190,MATCH("W4",Data!$A$91:$A$190,0))&gt;0),"W4","W1")</f>
        <v>W4</v>
      </c>
      <c r="C744" s="78">
        <f>INDEX(Parameter!$9:$9,,MATCH(13,Parameter!$8:$8,0))</f>
        <v>12</v>
      </c>
      <c r="D744" s="78">
        <f>INDEX(Parameter!$B$10:$AB$10,MATCH(C744,Parameter!$B$9:$AB$9,0))</f>
        <v>3</v>
      </c>
      <c r="E744" s="78">
        <f>COUNTIF(Data!$DY$90:$IB$90,Specials!C744)</f>
        <v>2</v>
      </c>
      <c r="F744" s="78">
        <f ca="1">OFFSET(Data!$CS$91,MATCH("W1",Data!$A$91:$A$190,0)-1,MATCH(C744,Data!$CS$90:$DS$90,0)-1)</f>
        <v>6</v>
      </c>
      <c r="G744" s="78">
        <f ca="1">OFFSET(Data!$CS$91,MATCH($B744,Data!$A$91:$A$190,0)-1,MATCH(C744,Data!$CS$90:$DS$90,0)-1)</f>
        <v>10</v>
      </c>
      <c r="H744" s="78">
        <f t="shared" ca="1" si="52"/>
        <v>0</v>
      </c>
      <c r="I744" s="78">
        <f t="array" ref="I744">SUM(IF(Data!$A$91:$A$190=$B744,Data!$J$91:$M$190))-SUM(IF(Data!$A$91:$A$190="W1",Data!$J$91:$M$190))</f>
        <v>18</v>
      </c>
      <c r="K744" s="78" t="str">
        <f>INDEX(Data!$DT$91:$DT$190,MATCH($B744,Data!$A$91:$A$190,0))</f>
        <v>Irmgard Derschmidt</v>
      </c>
      <c r="L744" s="78" t="str">
        <f t="shared" ca="1" si="53"/>
        <v>Best women took only 6 throws</v>
      </c>
      <c r="M744" s="78" t="s">
        <v>16</v>
      </c>
      <c r="N744" s="78" t="s">
        <v>255</v>
      </c>
      <c r="O744" s="78" t="e">
        <f t="shared" ca="1" si="49"/>
        <v>#VALUE!</v>
      </c>
      <c r="P744" s="78" t="str">
        <f t="shared" ca="1" si="51"/>
        <v/>
      </c>
    </row>
    <row r="745" spans="1:16" s="78" customFormat="1" hidden="1" x14ac:dyDescent="0.25">
      <c r="A745" s="78" t="s">
        <v>384</v>
      </c>
      <c r="B745" s="296" t="str">
        <f>IF(OR(AND(Parameter!$B$4=0,Parameter!$D$5="n"),INDEX(Data!$M$91:$M$190,MATCH("W4",Data!$A$91:$A$190,0))&gt;0,INDEX(Data!$N$91:$N$190,MATCH("W4",Data!$A$91:$A$190,0))&gt;0),"W4","W1")</f>
        <v>W4</v>
      </c>
      <c r="C745" s="78">
        <f>INDEX(Parameter!$9:$9,,MATCH(14,Parameter!$8:$8,0))</f>
        <v>13</v>
      </c>
      <c r="D745" s="78">
        <f>INDEX(Parameter!$B$10:$AB$10,MATCH(C745,Parameter!$B$9:$AB$9,0))</f>
        <v>3</v>
      </c>
      <c r="E745" s="78">
        <f>COUNTIF(Data!$DY$90:$IB$90,Specials!C745)</f>
        <v>2</v>
      </c>
      <c r="F745" s="78">
        <f ca="1">OFFSET(Data!$CS$91,MATCH("W1",Data!$A$91:$A$190,0)-1,MATCH(C745,Data!$CS$90:$DS$90,0)-1)</f>
        <v>7</v>
      </c>
      <c r="G745" s="78">
        <f ca="1">OFFSET(Data!$CS$91,MATCH($B745,Data!$A$91:$A$190,0)-1,MATCH(C745,Data!$CS$90:$DS$90,0)-1)</f>
        <v>8</v>
      </c>
      <c r="H745" s="78">
        <f t="shared" ca="1" si="52"/>
        <v>0</v>
      </c>
      <c r="I745" s="78">
        <f t="array" ref="I745">SUM(IF(Data!$A$91:$A$190=$B745,Data!$J$91:$M$190))-SUM(IF(Data!$A$91:$A$190="W1",Data!$J$91:$M$190))</f>
        <v>18</v>
      </c>
      <c r="K745" s="78" t="str">
        <f>INDEX(Data!$DT$91:$DT$190,MATCH($B745,Data!$A$91:$A$190,0))</f>
        <v>Irmgard Derschmidt</v>
      </c>
      <c r="L745" s="78" t="str">
        <f t="shared" ca="1" si="53"/>
        <v>Best women took only 7 throws</v>
      </c>
      <c r="M745" s="78" t="s">
        <v>16</v>
      </c>
      <c r="N745" s="78" t="s">
        <v>255</v>
      </c>
      <c r="O745" s="78" t="e">
        <f t="shared" ca="1" si="49"/>
        <v>#VALUE!</v>
      </c>
      <c r="P745" s="78" t="str">
        <f t="shared" ca="1" si="51"/>
        <v/>
      </c>
    </row>
    <row r="746" spans="1:16" s="78" customFormat="1" hidden="1" x14ac:dyDescent="0.25">
      <c r="A746" s="78" t="s">
        <v>384</v>
      </c>
      <c r="B746" s="296" t="str">
        <f>IF(OR(AND(Parameter!$B$4=0,Parameter!$D$5="n"),INDEX(Data!$M$91:$M$190,MATCH("W4",Data!$A$91:$A$190,0))&gt;0,INDEX(Data!$N$91:$N$190,MATCH("W4",Data!$A$91:$A$190,0))&gt;0),"W4","W1")</f>
        <v>W4</v>
      </c>
      <c r="C746" s="78">
        <f>INDEX(Parameter!$9:$9,,MATCH(15,Parameter!$8:$8,0))</f>
        <v>14</v>
      </c>
      <c r="D746" s="78">
        <f>INDEX(Parameter!$B$10:$AB$10,MATCH(C746,Parameter!$B$9:$AB$9,0))</f>
        <v>3</v>
      </c>
      <c r="E746" s="78">
        <f>COUNTIF(Data!$DY$90:$IB$90,Specials!C746)</f>
        <v>2</v>
      </c>
      <c r="F746" s="78">
        <f ca="1">OFFSET(Data!$CS$91,MATCH("W1",Data!$A$91:$A$190,0)-1,MATCH(C746,Data!$CS$90:$DS$90,0)-1)</f>
        <v>7</v>
      </c>
      <c r="G746" s="78">
        <f ca="1">OFFSET(Data!$CS$91,MATCH($B746,Data!$A$91:$A$190,0)-1,MATCH(C746,Data!$CS$90:$DS$90,0)-1)</f>
        <v>7</v>
      </c>
      <c r="H746" s="78">
        <f t="shared" ca="1" si="52"/>
        <v>0</v>
      </c>
      <c r="I746" s="78">
        <f t="array" ref="I746">SUM(IF(Data!$A$91:$A$190=$B746,Data!$J$91:$M$190))-SUM(IF(Data!$A$91:$A$190="W1",Data!$J$91:$M$190))</f>
        <v>18</v>
      </c>
      <c r="K746" s="78" t="str">
        <f>INDEX(Data!$DT$91:$DT$190,MATCH($B746,Data!$A$91:$A$190,0))</f>
        <v>Irmgard Derschmidt</v>
      </c>
      <c r="L746" s="78" t="str">
        <f t="shared" ca="1" si="53"/>
        <v>Best women took only 7 throws</v>
      </c>
      <c r="M746" s="78" t="s">
        <v>16</v>
      </c>
      <c r="N746" s="78" t="s">
        <v>255</v>
      </c>
      <c r="O746" s="78" t="e">
        <f t="shared" ca="1" si="49"/>
        <v>#VALUE!</v>
      </c>
      <c r="P746" s="78" t="str">
        <f t="shared" ca="1" si="51"/>
        <v/>
      </c>
    </row>
    <row r="747" spans="1:16" s="78" customFormat="1" hidden="1" x14ac:dyDescent="0.25">
      <c r="A747" s="78" t="s">
        <v>384</v>
      </c>
      <c r="B747" s="296" t="str">
        <f>IF(OR(AND(Parameter!$B$4=0,Parameter!$D$5="n"),INDEX(Data!$M$91:$M$190,MATCH("W4",Data!$A$91:$A$190,0))&gt;0,INDEX(Data!$N$91:$N$190,MATCH("W4",Data!$A$91:$A$190,0))&gt;0),"W4","W1")</f>
        <v>W4</v>
      </c>
      <c r="C747" s="78">
        <f>INDEX(Parameter!$9:$9,,MATCH(16,Parameter!$8:$8,0))</f>
        <v>15</v>
      </c>
      <c r="D747" s="78">
        <f>INDEX(Parameter!$B$10:$AB$10,MATCH(C747,Parameter!$B$9:$AB$9,0))</f>
        <v>3</v>
      </c>
      <c r="E747" s="78">
        <f>COUNTIF(Data!$DY$90:$IB$90,Specials!C747)</f>
        <v>2</v>
      </c>
      <c r="F747" s="78">
        <f ca="1">OFFSET(Data!$CS$91,MATCH("W1",Data!$A$91:$A$190,0)-1,MATCH(C747,Data!$CS$90:$DS$90,0)-1)</f>
        <v>5</v>
      </c>
      <c r="G747" s="78">
        <f ca="1">OFFSET(Data!$CS$91,MATCH($B747,Data!$A$91:$A$190,0)-1,MATCH(C747,Data!$CS$90:$DS$90,0)-1)</f>
        <v>6</v>
      </c>
      <c r="H747" s="78">
        <f t="shared" ca="1" si="52"/>
        <v>0</v>
      </c>
      <c r="I747" s="78">
        <f t="array" ref="I747">SUM(IF(Data!$A$91:$A$190=$B747,Data!$J$91:$M$190))-SUM(IF(Data!$A$91:$A$190="W1",Data!$J$91:$M$190))</f>
        <v>18</v>
      </c>
      <c r="K747" s="78" t="str">
        <f>INDEX(Data!$DT$91:$DT$190,MATCH($B747,Data!$A$91:$A$190,0))</f>
        <v>Irmgard Derschmidt</v>
      </c>
      <c r="L747" s="78" t="str">
        <f t="shared" ca="1" si="53"/>
        <v>Best women took only 5 throws</v>
      </c>
      <c r="M747" s="78" t="s">
        <v>16</v>
      </c>
      <c r="N747" s="78" t="s">
        <v>255</v>
      </c>
      <c r="O747" s="78" t="e">
        <f t="shared" ca="1" si="49"/>
        <v>#VALUE!</v>
      </c>
      <c r="P747" s="78" t="str">
        <f t="shared" ca="1" si="51"/>
        <v/>
      </c>
    </row>
    <row r="748" spans="1:16" s="78" customFormat="1" hidden="1" x14ac:dyDescent="0.25">
      <c r="A748" s="78" t="s">
        <v>384</v>
      </c>
      <c r="B748" s="296" t="str">
        <f>IF(OR(AND(Parameter!$B$4=0,Parameter!$D$5="n"),INDEX(Data!$M$91:$M$190,MATCH("W4",Data!$A$91:$A$190,0))&gt;0,INDEX(Data!$N$91:$N$190,MATCH("W4",Data!$A$91:$A$190,0))&gt;0),"W4","W1")</f>
        <v>W4</v>
      </c>
      <c r="C748" s="78">
        <f>INDEX(Parameter!$9:$9,,MATCH(17,Parameter!$8:$8,0))</f>
        <v>16</v>
      </c>
      <c r="D748" s="78">
        <f>INDEX(Parameter!$B$10:$AB$10,MATCH(C748,Parameter!$B$9:$AB$9,0))</f>
        <v>3</v>
      </c>
      <c r="E748" s="78">
        <f>COUNTIF(Data!$DY$90:$IB$90,Specials!C748)</f>
        <v>2</v>
      </c>
      <c r="F748" s="78">
        <f ca="1">OFFSET(Data!$CS$91,MATCH("W1",Data!$A$91:$A$190,0)-1,MATCH(C748,Data!$CS$90:$DS$90,0)-1)</f>
        <v>6</v>
      </c>
      <c r="G748" s="78">
        <f ca="1">OFFSET(Data!$CS$91,MATCH($B748,Data!$A$91:$A$190,0)-1,MATCH(C748,Data!$CS$90:$DS$90,0)-1)</f>
        <v>8</v>
      </c>
      <c r="H748" s="78">
        <f t="shared" ca="1" si="52"/>
        <v>0</v>
      </c>
      <c r="I748" s="78">
        <f t="array" ref="I748">SUM(IF(Data!$A$91:$A$190=$B748,Data!$J$91:$M$190))-SUM(IF(Data!$A$91:$A$190="W1",Data!$J$91:$M$190))</f>
        <v>18</v>
      </c>
      <c r="K748" s="78" t="str">
        <f>INDEX(Data!$DT$91:$DT$190,MATCH($B748,Data!$A$91:$A$190,0))</f>
        <v>Irmgard Derschmidt</v>
      </c>
      <c r="L748" s="78" t="str">
        <f t="shared" ca="1" si="53"/>
        <v>Best women took only 6 throws</v>
      </c>
      <c r="M748" s="78" t="s">
        <v>16</v>
      </c>
      <c r="N748" s="78" t="s">
        <v>255</v>
      </c>
      <c r="O748" s="78" t="e">
        <f t="shared" ca="1" si="49"/>
        <v>#VALUE!</v>
      </c>
      <c r="P748" s="78" t="str">
        <f t="shared" ca="1" si="51"/>
        <v/>
      </c>
    </row>
    <row r="749" spans="1:16" s="78" customFormat="1" hidden="1" x14ac:dyDescent="0.25">
      <c r="A749" s="78" t="s">
        <v>384</v>
      </c>
      <c r="B749" s="296" t="str">
        <f>IF(OR(AND(Parameter!$B$4=0,Parameter!$D$5="n"),INDEX(Data!$M$91:$M$190,MATCH("W4",Data!$A$91:$A$190,0))&gt;0,INDEX(Data!$N$91:$N$190,MATCH("W4",Data!$A$91:$A$190,0))&gt;0),"W4","W1")</f>
        <v>W4</v>
      </c>
      <c r="C749" s="78">
        <f>INDEX(Parameter!$9:$9,,MATCH(18,Parameter!$8:$8,0))</f>
        <v>17</v>
      </c>
      <c r="D749" s="78">
        <f>INDEX(Parameter!$B$10:$AB$10,MATCH(C749,Parameter!$B$9:$AB$9,0))</f>
        <v>3</v>
      </c>
      <c r="E749" s="78">
        <f>COUNTIF(Data!$DY$90:$IB$90,Specials!C749)</f>
        <v>2</v>
      </c>
      <c r="F749" s="78">
        <f ca="1">OFFSET(Data!$CS$91,MATCH("W1",Data!$A$91:$A$190,0)-1,MATCH(C749,Data!$CS$90:$DS$90,0)-1)</f>
        <v>6</v>
      </c>
      <c r="G749" s="78">
        <f ca="1">OFFSET(Data!$CS$91,MATCH($B749,Data!$A$91:$A$190,0)-1,MATCH(C749,Data!$CS$90:$DS$90,0)-1)</f>
        <v>6</v>
      </c>
      <c r="H749" s="78">
        <f t="shared" ca="1" si="52"/>
        <v>0</v>
      </c>
      <c r="I749" s="78">
        <f t="array" ref="I749">SUM(IF(Data!$A$91:$A$190=$B749,Data!$J$91:$M$190))-SUM(IF(Data!$A$91:$A$190="W1",Data!$J$91:$M$190))</f>
        <v>18</v>
      </c>
      <c r="K749" s="78" t="str">
        <f>INDEX(Data!$DT$91:$DT$190,MATCH($B749,Data!$A$91:$A$190,0))</f>
        <v>Irmgard Derschmidt</v>
      </c>
      <c r="L749" s="78" t="str">
        <f t="shared" ca="1" si="53"/>
        <v>Best women took only 6 throws</v>
      </c>
      <c r="M749" s="78" t="s">
        <v>16</v>
      </c>
      <c r="N749" s="78" t="s">
        <v>255</v>
      </c>
      <c r="O749" s="78" t="e">
        <f t="shared" ca="1" si="49"/>
        <v>#VALUE!</v>
      </c>
      <c r="P749" s="78" t="str">
        <f t="shared" ca="1" si="51"/>
        <v/>
      </c>
    </row>
    <row r="750" spans="1:16" s="78" customFormat="1" hidden="1" x14ac:dyDescent="0.25">
      <c r="A750" s="78" t="s">
        <v>384</v>
      </c>
      <c r="B750" s="296" t="str">
        <f>IF(OR(AND(Parameter!$B$4=0,Parameter!$D$5="n"),INDEX(Data!$M$91:$M$190,MATCH("W4",Data!$A$91:$A$190,0))&gt;0,INDEX(Data!$N$91:$N$190,MATCH("W4",Data!$A$91:$A$190,0))&gt;0),"W4","W1")</f>
        <v>W4</v>
      </c>
      <c r="C750" s="78">
        <f>INDEX(Parameter!$9:$9,,MATCH(19,Parameter!$8:$8,0))</f>
        <v>18</v>
      </c>
      <c r="D750" s="78">
        <f>INDEX(Parameter!$B$10:$AB$10,MATCH(C750,Parameter!$B$9:$AB$9,0))</f>
        <v>3</v>
      </c>
      <c r="E750" s="78">
        <f>COUNTIF(Data!$DY$90:$IB$90,Specials!C750)</f>
        <v>2</v>
      </c>
      <c r="F750" s="78">
        <f ca="1">OFFSET(Data!$CS$91,MATCH("W1",Data!$A$91:$A$190,0)-1,MATCH(C750,Data!$CS$90:$DS$90,0)-1)</f>
        <v>6</v>
      </c>
      <c r="G750" s="78">
        <f ca="1">OFFSET(Data!$CS$91,MATCH($B750,Data!$A$91:$A$190,0)-1,MATCH(C750,Data!$CS$90:$DS$90,0)-1)</f>
        <v>7</v>
      </c>
      <c r="H750" s="78">
        <f t="shared" ca="1" si="52"/>
        <v>0</v>
      </c>
      <c r="I750" s="78">
        <f t="array" ref="I750">SUM(IF(Data!$A$91:$A$190=$B750,Data!$J$91:$M$190))-SUM(IF(Data!$A$91:$A$190="W1",Data!$J$91:$M$190))</f>
        <v>18</v>
      </c>
      <c r="K750" s="78" t="str">
        <f>INDEX(Data!$DT$91:$DT$190,MATCH($B750,Data!$A$91:$A$190,0))</f>
        <v>Irmgard Derschmidt</v>
      </c>
      <c r="L750" s="78" t="str">
        <f t="shared" ca="1" si="53"/>
        <v>Best women took only 6 throws</v>
      </c>
      <c r="M750" s="78" t="s">
        <v>16</v>
      </c>
      <c r="N750" s="78" t="s">
        <v>255</v>
      </c>
      <c r="O750" s="78" t="e">
        <f t="shared" ca="1" si="49"/>
        <v>#VALUE!</v>
      </c>
      <c r="P750" s="78" t="str">
        <f t="shared" ca="1" si="51"/>
        <v/>
      </c>
    </row>
    <row r="751" spans="1:16" s="78" customFormat="1" hidden="1" x14ac:dyDescent="0.25">
      <c r="A751" s="78" t="s">
        <v>384</v>
      </c>
      <c r="B751" s="296" t="str">
        <f>IF(OR(AND(Parameter!$B$4=0,Parameter!$D$5="n"),INDEX(Data!$M$91:$M$190,MATCH("W4",Data!$A$91:$A$190,0))&gt;0,INDEX(Data!$N$91:$N$190,MATCH("W4",Data!$A$91:$A$190,0))&gt;0),"W4","W1")</f>
        <v>W4</v>
      </c>
      <c r="C751" s="78">
        <f>INDEX(Parameter!$9:$9,,MATCH(20,Parameter!$8:$8,0))</f>
        <v>20</v>
      </c>
      <c r="D751" s="78" t="str">
        <f>INDEX(Parameter!$B$10:$AB$10,MATCH(C751,Parameter!$B$9:$AB$9,0))</f>
        <v>no</v>
      </c>
      <c r="E751" s="78">
        <f>COUNTIF(Data!$DY$90:$IB$90,Specials!C751)</f>
        <v>0</v>
      </c>
      <c r="F751" s="78">
        <f ca="1">OFFSET(Data!$CS$91,MATCH("W1",Data!$A$91:$A$190,0)-1,MATCH(C751,Data!$CS$90:$DS$90,0)-1)</f>
        <v>0</v>
      </c>
      <c r="G751" s="78">
        <f ca="1">OFFSET(Data!$CS$91,MATCH($B751,Data!$A$91:$A$190,0)-1,MATCH(C751,Data!$CS$90:$DS$90,0)-1)</f>
        <v>0</v>
      </c>
      <c r="H751" s="78">
        <f t="shared" ca="1" si="52"/>
        <v>0</v>
      </c>
      <c r="I751" s="78">
        <f t="array" ref="I751">SUM(IF(Data!$A$91:$A$190=$B751,Data!$J$91:$M$190))-SUM(IF(Data!$A$91:$A$190="W1",Data!$J$91:$M$190))</f>
        <v>18</v>
      </c>
      <c r="K751" s="78" t="str">
        <f>INDEX(Data!$DT$91:$DT$190,MATCH($B751,Data!$A$91:$A$190,0))</f>
        <v>Irmgard Derschmidt</v>
      </c>
      <c r="L751" s="78" t="str">
        <f t="shared" ca="1" si="53"/>
        <v>Best women took only 0 throws</v>
      </c>
      <c r="M751" s="78" t="s">
        <v>16</v>
      </c>
      <c r="N751" s="78" t="s">
        <v>255</v>
      </c>
      <c r="O751" s="78" t="e">
        <f t="shared" ca="1" si="49"/>
        <v>#VALUE!</v>
      </c>
      <c r="P751" s="78" t="str">
        <f t="shared" ca="1" si="51"/>
        <v/>
      </c>
    </row>
    <row r="752" spans="1:16" s="78" customFormat="1" hidden="1" x14ac:dyDescent="0.25">
      <c r="A752" s="78" t="s">
        <v>384</v>
      </c>
      <c r="B752" s="296" t="str">
        <f>IF(OR(AND(Parameter!$B$4=0,Parameter!$D$5="n"),INDEX(Data!$M$91:$M$190,MATCH("W4",Data!$A$91:$A$190,0))&gt;0,INDEX(Data!$N$91:$N$190,MATCH("W4",Data!$A$91:$A$190,0))&gt;0),"W4","W1")</f>
        <v>W4</v>
      </c>
      <c r="C752" s="78">
        <f>INDEX(Parameter!$9:$9,,MATCH(21,Parameter!$8:$8,0))</f>
        <v>21</v>
      </c>
      <c r="D752" s="78" t="str">
        <f>INDEX(Parameter!$B$10:$AB$10,MATCH(C752,Parameter!$B$9:$AB$9,0))</f>
        <v>no</v>
      </c>
      <c r="E752" s="78">
        <f>COUNTIF(Data!$DY$90:$IB$90,Specials!C752)</f>
        <v>0</v>
      </c>
      <c r="F752" s="78">
        <f ca="1">OFFSET(Data!$CS$91,MATCH("W1",Data!$A$91:$A$190,0)-1,MATCH(C752,Data!$CS$90:$DS$90,0)-1)</f>
        <v>0</v>
      </c>
      <c r="G752" s="78">
        <f ca="1">OFFSET(Data!$CS$91,MATCH($B752,Data!$A$91:$A$190,0)-1,MATCH(C752,Data!$CS$90:$DS$90,0)-1)</f>
        <v>0</v>
      </c>
      <c r="H752" s="78">
        <f t="shared" ca="1" si="52"/>
        <v>0</v>
      </c>
      <c r="I752" s="78">
        <f t="array" ref="I752">SUM(IF(Data!$A$91:$A$190=$B752,Data!$J$91:$M$190))-SUM(IF(Data!$A$91:$A$190="W1",Data!$J$91:$M$190))</f>
        <v>18</v>
      </c>
      <c r="K752" s="78" t="str">
        <f>INDEX(Data!$DT$91:$DT$190,MATCH($B752,Data!$A$91:$A$190,0))</f>
        <v>Irmgard Derschmidt</v>
      </c>
      <c r="L752" s="78" t="str">
        <f t="shared" ca="1" si="53"/>
        <v>Best women took only 0 throws</v>
      </c>
      <c r="M752" s="78" t="s">
        <v>16</v>
      </c>
      <c r="N752" s="78" t="s">
        <v>255</v>
      </c>
      <c r="O752" s="78" t="e">
        <f t="shared" ca="1" si="49"/>
        <v>#VALUE!</v>
      </c>
      <c r="P752" s="78" t="str">
        <f t="shared" ca="1" si="51"/>
        <v/>
      </c>
    </row>
    <row r="753" spans="1:16" s="78" customFormat="1" hidden="1" x14ac:dyDescent="0.25">
      <c r="A753" s="78" t="s">
        <v>384</v>
      </c>
      <c r="B753" s="296" t="str">
        <f>IF(OR(AND(Parameter!$B$4=0,Parameter!$D$5="n"),INDEX(Data!$M$91:$M$190,MATCH("W4",Data!$A$91:$A$190,0))&gt;0,INDEX(Data!$N$91:$N$190,MATCH("W4",Data!$A$91:$A$190,0))&gt;0),"W4","W1")</f>
        <v>W4</v>
      </c>
      <c r="C753" s="78">
        <f>INDEX(Parameter!$9:$9,,MATCH(22,Parameter!$8:$8,0))</f>
        <v>22</v>
      </c>
      <c r="D753" s="78" t="str">
        <f>INDEX(Parameter!$B$10:$AB$10,MATCH(C753,Parameter!$B$9:$AB$9,0))</f>
        <v>no</v>
      </c>
      <c r="E753" s="78">
        <f>COUNTIF(Data!$DY$90:$IB$90,Specials!C753)</f>
        <v>0</v>
      </c>
      <c r="F753" s="78">
        <f ca="1">OFFSET(Data!$CS$91,MATCH("W1",Data!$A$91:$A$190,0)-1,MATCH(C753,Data!$CS$90:$DS$90,0)-1)</f>
        <v>0</v>
      </c>
      <c r="G753" s="78">
        <f ca="1">OFFSET(Data!$CS$91,MATCH($B753,Data!$A$91:$A$190,0)-1,MATCH(C753,Data!$CS$90:$DS$90,0)-1)</f>
        <v>0</v>
      </c>
      <c r="H753" s="78">
        <f t="shared" ca="1" si="52"/>
        <v>0</v>
      </c>
      <c r="I753" s="78">
        <f t="array" ref="I753">SUM(IF(Data!$A$91:$A$190=$B753,Data!$J$91:$M$190))-SUM(IF(Data!$A$91:$A$190="W1",Data!$J$91:$M$190))</f>
        <v>18</v>
      </c>
      <c r="K753" s="78" t="str">
        <f>INDEX(Data!$DT$91:$DT$190,MATCH($B753,Data!$A$91:$A$190,0))</f>
        <v>Irmgard Derschmidt</v>
      </c>
      <c r="L753" s="78" t="str">
        <f t="shared" ca="1" si="53"/>
        <v>Best women took only 0 throws</v>
      </c>
      <c r="M753" s="78" t="s">
        <v>16</v>
      </c>
      <c r="N753" s="78" t="s">
        <v>255</v>
      </c>
      <c r="O753" s="78" t="e">
        <f t="shared" ca="1" si="49"/>
        <v>#VALUE!</v>
      </c>
      <c r="P753" s="78" t="str">
        <f t="shared" ca="1" si="51"/>
        <v/>
      </c>
    </row>
    <row r="754" spans="1:16" s="78" customFormat="1" hidden="1" x14ac:dyDescent="0.25">
      <c r="A754" s="78" t="s">
        <v>384</v>
      </c>
      <c r="B754" s="296" t="str">
        <f>IF(OR(AND(Parameter!$B$4=0,Parameter!$D$5="n"),INDEX(Data!$M$91:$M$190,MATCH("W4",Data!$A$91:$A$190,0))&gt;0,INDEX(Data!$N$91:$N$190,MATCH("W4",Data!$A$91:$A$190,0))&gt;0),"W4","W1")</f>
        <v>W4</v>
      </c>
      <c r="C754" s="78">
        <f>INDEX(Parameter!$9:$9,,MATCH(23,Parameter!$8:$8,0))</f>
        <v>23</v>
      </c>
      <c r="D754" s="78" t="str">
        <f>INDEX(Parameter!$B$10:$AB$10,MATCH(C754,Parameter!$B$9:$AB$9,0))</f>
        <v>no</v>
      </c>
      <c r="E754" s="78">
        <f>COUNTIF(Data!$DY$90:$IB$90,Specials!C754)</f>
        <v>0</v>
      </c>
      <c r="F754" s="78">
        <f ca="1">OFFSET(Data!$CS$91,MATCH("W1",Data!$A$91:$A$190,0)-1,MATCH(C754,Data!$CS$90:$DS$90,0)-1)</f>
        <v>0</v>
      </c>
      <c r="G754" s="78">
        <f ca="1">OFFSET(Data!$CS$91,MATCH($B754,Data!$A$91:$A$190,0)-1,MATCH(C754,Data!$CS$90:$DS$90,0)-1)</f>
        <v>0</v>
      </c>
      <c r="H754" s="78">
        <f t="shared" ca="1" si="52"/>
        <v>0</v>
      </c>
      <c r="I754" s="78">
        <f t="array" ref="I754">SUM(IF(Data!$A$91:$A$190=$B754,Data!$J$91:$M$190))-SUM(IF(Data!$A$91:$A$190="W1",Data!$J$91:$M$190))</f>
        <v>18</v>
      </c>
      <c r="K754" s="78" t="str">
        <f>INDEX(Data!$DT$91:$DT$190,MATCH($B754,Data!$A$91:$A$190,0))</f>
        <v>Irmgard Derschmidt</v>
      </c>
      <c r="L754" s="78" t="str">
        <f t="shared" ca="1" si="53"/>
        <v>Best women took only 0 throws</v>
      </c>
      <c r="M754" s="78" t="s">
        <v>16</v>
      </c>
      <c r="N754" s="78" t="s">
        <v>255</v>
      </c>
      <c r="O754" s="78" t="e">
        <f t="shared" ca="1" si="49"/>
        <v>#VALUE!</v>
      </c>
      <c r="P754" s="78" t="str">
        <f t="shared" ca="1" si="51"/>
        <v/>
      </c>
    </row>
    <row r="755" spans="1:16" s="78" customFormat="1" hidden="1" x14ac:dyDescent="0.25">
      <c r="A755" s="78" t="s">
        <v>384</v>
      </c>
      <c r="B755" s="296" t="str">
        <f>IF(OR(AND(Parameter!$B$4=0,Parameter!$D$5="n"),INDEX(Data!$M$91:$M$190,MATCH("W4",Data!$A$91:$A$190,0))&gt;0,INDEX(Data!$N$91:$N$190,MATCH("W4",Data!$A$91:$A$190,0))&gt;0),"W4","W1")</f>
        <v>W4</v>
      </c>
      <c r="C755" s="78">
        <f>INDEX(Parameter!$9:$9,,MATCH(24,Parameter!$8:$8,0))</f>
        <v>24</v>
      </c>
      <c r="D755" s="78" t="str">
        <f>INDEX(Parameter!$B$10:$AB$10,MATCH(C755,Parameter!$B$9:$AB$9,0))</f>
        <v>no</v>
      </c>
      <c r="E755" s="78">
        <f>COUNTIF(Data!$DY$90:$IB$90,Specials!C755)</f>
        <v>0</v>
      </c>
      <c r="F755" s="78">
        <f ca="1">OFFSET(Data!$CS$91,MATCH("W1",Data!$A$91:$A$190,0)-1,MATCH(C755,Data!$CS$90:$DS$90,0)-1)</f>
        <v>0</v>
      </c>
      <c r="G755" s="78">
        <f ca="1">OFFSET(Data!$CS$91,MATCH($B755,Data!$A$91:$A$190,0)-1,MATCH(C755,Data!$CS$90:$DS$90,0)-1)</f>
        <v>0</v>
      </c>
      <c r="H755" s="78">
        <f t="shared" ca="1" si="52"/>
        <v>0</v>
      </c>
      <c r="I755" s="78">
        <f t="array" ref="I755">SUM(IF(Data!$A$91:$A$190=$B755,Data!$J$91:$M$190))-SUM(IF(Data!$A$91:$A$190="W1",Data!$J$91:$M$190))</f>
        <v>18</v>
      </c>
      <c r="K755" s="78" t="str">
        <f>INDEX(Data!$DT$91:$DT$190,MATCH($B755,Data!$A$91:$A$190,0))</f>
        <v>Irmgard Derschmidt</v>
      </c>
      <c r="L755" s="78" t="str">
        <f t="shared" ca="1" si="53"/>
        <v>Best women took only 0 throws</v>
      </c>
      <c r="M755" s="78" t="s">
        <v>16</v>
      </c>
      <c r="N755" s="78" t="s">
        <v>255</v>
      </c>
      <c r="O755" s="78" t="e">
        <f t="shared" ca="1" si="49"/>
        <v>#VALUE!</v>
      </c>
      <c r="P755" s="78" t="str">
        <f t="shared" ca="1" si="51"/>
        <v/>
      </c>
    </row>
    <row r="756" spans="1:16" s="78" customFormat="1" hidden="1" x14ac:dyDescent="0.25">
      <c r="A756" s="78" t="s">
        <v>384</v>
      </c>
      <c r="B756" s="296" t="str">
        <f>IF(OR(AND(Parameter!$B$4=0,Parameter!$D$5="n"),INDEX(Data!$M$91:$M$190,MATCH("W4",Data!$A$91:$A$190,0))&gt;0,INDEX(Data!$N$91:$N$190,MATCH("W4",Data!$A$91:$A$190,0))&gt;0),"W4","W1")</f>
        <v>W4</v>
      </c>
      <c r="C756" s="78">
        <f>INDEX(Parameter!$9:$9,,MATCH(25,Parameter!$8:$8,0))</f>
        <v>25</v>
      </c>
      <c r="D756" s="78" t="str">
        <f>INDEX(Parameter!$B$10:$AB$10,MATCH(C756,Parameter!$B$9:$AB$9,0))</f>
        <v>no</v>
      </c>
      <c r="E756" s="78">
        <f>COUNTIF(Data!$DY$90:$IB$90,Specials!C756)</f>
        <v>0</v>
      </c>
      <c r="F756" s="78">
        <f ca="1">OFFSET(Data!$CS$91,MATCH("W1",Data!$A$91:$A$190,0)-1,MATCH(C756,Data!$CS$90:$DS$90,0)-1)</f>
        <v>0</v>
      </c>
      <c r="G756" s="78">
        <f ca="1">OFFSET(Data!$CS$91,MATCH($B756,Data!$A$91:$A$190,0)-1,MATCH(C756,Data!$CS$90:$DS$90,0)-1)</f>
        <v>0</v>
      </c>
      <c r="H756" s="78">
        <f t="shared" ca="1" si="52"/>
        <v>0</v>
      </c>
      <c r="I756" s="78">
        <f t="array" ref="I756">SUM(IF(Data!$A$91:$A$190=$B756,Data!$J$91:$M$190))-SUM(IF(Data!$A$91:$A$190="W1",Data!$J$91:$M$190))</f>
        <v>18</v>
      </c>
      <c r="K756" s="78" t="str">
        <f>INDEX(Data!$DT$91:$DT$190,MATCH($B756,Data!$A$91:$A$190,0))</f>
        <v>Irmgard Derschmidt</v>
      </c>
      <c r="L756" s="78" t="str">
        <f t="shared" ca="1" si="53"/>
        <v>Best women took only 0 throws</v>
      </c>
      <c r="M756" s="78" t="s">
        <v>16</v>
      </c>
      <c r="N756" s="78" t="s">
        <v>255</v>
      </c>
      <c r="O756" s="78" t="e">
        <f t="shared" ca="1" si="49"/>
        <v>#VALUE!</v>
      </c>
      <c r="P756" s="78" t="str">
        <f t="shared" ca="1" si="51"/>
        <v/>
      </c>
    </row>
    <row r="757" spans="1:16" s="78" customFormat="1" hidden="1" x14ac:dyDescent="0.25">
      <c r="A757" s="78" t="s">
        <v>384</v>
      </c>
      <c r="B757" s="296" t="str">
        <f>IF(OR(AND(Parameter!$B$4=0,Parameter!$D$5="n"),INDEX(Data!$M$91:$M$190,MATCH("W4",Data!$A$91:$A$190,0))&gt;0,INDEX(Data!$N$91:$N$190,MATCH("W4",Data!$A$91:$A$190,0))&gt;0),"W4","W1")</f>
        <v>W4</v>
      </c>
      <c r="C757" s="78">
        <f>INDEX(Parameter!$9:$9,,MATCH(26,Parameter!$8:$8,0))</f>
        <v>26</v>
      </c>
      <c r="D757" s="78" t="str">
        <f>INDEX(Parameter!$B$10:$AB$10,MATCH(C757,Parameter!$B$9:$AB$9,0))</f>
        <v>no</v>
      </c>
      <c r="E757" s="78">
        <f>COUNTIF(Data!$DY$90:$IB$90,Specials!C757)</f>
        <v>0</v>
      </c>
      <c r="F757" s="78">
        <f ca="1">OFFSET(Data!$CS$91,MATCH("W1",Data!$A$91:$A$190,0)-1,MATCH(C757,Data!$CS$90:$DS$90,0)-1)</f>
        <v>0</v>
      </c>
      <c r="G757" s="78">
        <f ca="1">OFFSET(Data!$CS$91,MATCH($B757,Data!$A$91:$A$190,0)-1,MATCH(C757,Data!$CS$90:$DS$90,0)-1)</f>
        <v>0</v>
      </c>
      <c r="H757" s="78">
        <f t="shared" ca="1" si="52"/>
        <v>0</v>
      </c>
      <c r="I757" s="78">
        <f t="array" ref="I757">SUM(IF(Data!$A$91:$A$190=$B757,Data!$J$91:$M$190))-SUM(IF(Data!$A$91:$A$190="W1",Data!$J$91:$M$190))</f>
        <v>18</v>
      </c>
      <c r="K757" s="78" t="str">
        <f>INDEX(Data!$DT$91:$DT$190,MATCH($B757,Data!$A$91:$A$190,0))</f>
        <v>Irmgard Derschmidt</v>
      </c>
      <c r="L757" s="78" t="str">
        <f t="shared" ca="1" si="53"/>
        <v>Best women took only 0 throws</v>
      </c>
      <c r="M757" s="78" t="s">
        <v>16</v>
      </c>
      <c r="N757" s="78" t="s">
        <v>255</v>
      </c>
      <c r="O757" s="78" t="e">
        <f t="shared" ca="1" si="49"/>
        <v>#VALUE!</v>
      </c>
      <c r="P757" s="78" t="str">
        <f t="shared" ca="1" si="51"/>
        <v/>
      </c>
    </row>
    <row r="758" spans="1:16" s="78" customFormat="1" hidden="1" x14ac:dyDescent="0.25">
      <c r="A758" s="78" t="s">
        <v>384</v>
      </c>
      <c r="B758" s="296" t="str">
        <f>IF(OR(AND(Parameter!$B$4=0,Parameter!$D$5="n"),INDEX(Data!$M$91:$M$190,MATCH("W4",Data!$A$91:$A$190,0))&gt;0,INDEX(Data!$N$91:$N$190,MATCH("W4",Data!$A$91:$A$190,0))&gt;0),"W4","W1")</f>
        <v>W4</v>
      </c>
      <c r="C758" s="78">
        <f>INDEX(Parameter!$9:$9,,MATCH(27,Parameter!$8:$8,0))</f>
        <v>27</v>
      </c>
      <c r="D758" s="78" t="str">
        <f>INDEX(Parameter!$B$10:$AB$10,MATCH(C758,Parameter!$B$9:$AB$9,0))</f>
        <v>no</v>
      </c>
      <c r="E758" s="78">
        <f>COUNTIF(Data!$DY$90:$IB$90,Specials!C758)</f>
        <v>0</v>
      </c>
      <c r="F758" s="78">
        <f ca="1">OFFSET(Data!$CS$91,MATCH("W1",Data!$A$91:$A$190,0)-1,MATCH(C758,Data!$CS$90:$DS$90,0)-1)</f>
        <v>0</v>
      </c>
      <c r="G758" s="78">
        <f ca="1">OFFSET(Data!$CS$91,MATCH($B758,Data!$A$91:$A$190,0)-1,MATCH(C758,Data!$CS$90:$DS$90,0)-1)</f>
        <v>0</v>
      </c>
      <c r="H758" s="78">
        <f t="shared" ca="1" si="52"/>
        <v>0</v>
      </c>
      <c r="I758" s="78">
        <f t="array" ref="I758">SUM(IF(Data!$A$91:$A$190=$B758,Data!$J$91:$M$190))-SUM(IF(Data!$A$91:$A$190="W1",Data!$J$91:$M$190))</f>
        <v>18</v>
      </c>
      <c r="K758" s="78" t="str">
        <f>INDEX(Data!$DT$91:$DT$190,MATCH($B758,Data!$A$91:$A$190,0))</f>
        <v>Irmgard Derschmidt</v>
      </c>
      <c r="L758" s="78" t="str">
        <f t="shared" ca="1" si="53"/>
        <v>Best women took only 0 throws</v>
      </c>
      <c r="M758" s="78" t="s">
        <v>16</v>
      </c>
      <c r="N758" s="78" t="s">
        <v>255</v>
      </c>
      <c r="O758" s="78" t="e">
        <f t="shared" ca="1" si="49"/>
        <v>#VALUE!</v>
      </c>
      <c r="P758" s="78" t="str">
        <f t="shared" ca="1" si="51"/>
        <v/>
      </c>
    </row>
    <row r="759" spans="1:16" s="78" customFormat="1" ht="15" hidden="1" customHeight="1" x14ac:dyDescent="0.25">
      <c r="A759" s="78" t="s">
        <v>384</v>
      </c>
      <c r="B759" s="296" t="str">
        <f>IF(OR(AND(Parameter!$B$4=0,Parameter!$D$5="n"),INDEX(Data!$M$91:$M$190,MATCH("W5",Data!$A$91:$A$190,0))&gt;0,INDEX(Data!$N$91:$N$190,MATCH("W5",Data!$A$91:$A$190,0))&gt;0),"W5","W1")</f>
        <v>W5</v>
      </c>
      <c r="C759" s="78">
        <f>INDEX(Parameter!$9:$9,,MATCH(1,Parameter!$8:$8,0))</f>
        <v>1</v>
      </c>
      <c r="D759" s="78">
        <f>INDEX(Parameter!$B$10:$AB$10,MATCH(C759,Parameter!$B$9:$AB$9,0))</f>
        <v>3</v>
      </c>
      <c r="E759" s="78">
        <f>COUNTIF(Data!$DY$90:$IB$90,Specials!C759)</f>
        <v>2</v>
      </c>
      <c r="F759" s="78">
        <f ca="1">OFFSET(Data!$CS$91,MATCH("W1",Data!$A$91:$A$190,0)-1,MATCH(C759,Data!$CS$90:$DS$90,0)-1)</f>
        <v>7</v>
      </c>
      <c r="G759" s="78">
        <f ca="1">OFFSET(Data!$CS$91,MATCH($B759,Data!$A$91:$A$190,0)-1,MATCH(C759,Data!$CS$90:$DS$90,0)-1)</f>
        <v>7</v>
      </c>
      <c r="H759" s="78">
        <f t="shared" ca="1" si="52"/>
        <v>0</v>
      </c>
      <c r="I759" s="78">
        <f t="array" ref="I759">SUM(IF(Data!$A$91:$A$190=$B759,Data!$J$91:$M$190))-SUM(IF(Data!$A$91:$A$190="W1",Data!$J$91:$M$190))</f>
        <v>21</v>
      </c>
      <c r="K759" s="78" t="str">
        <f>INDEX(Data!$DT$91:$DT$190,MATCH($B759,Data!$A$91:$A$190,0))</f>
        <v>Wiltrud Derschmidt</v>
      </c>
      <c r="L759" s="78" t="str">
        <f t="shared" ca="1" si="53"/>
        <v>Best women took only 7 throws</v>
      </c>
      <c r="M759" s="78" t="s">
        <v>16</v>
      </c>
      <c r="N759" s="78" t="s">
        <v>255</v>
      </c>
      <c r="O759" s="78" t="e">
        <f t="shared" ca="1" si="49"/>
        <v>#VALUE!</v>
      </c>
      <c r="P759" s="78" t="str">
        <f t="shared" ca="1" si="51"/>
        <v/>
      </c>
    </row>
    <row r="760" spans="1:16" s="78" customFormat="1" hidden="1" x14ac:dyDescent="0.25">
      <c r="A760" s="78" t="s">
        <v>384</v>
      </c>
      <c r="B760" s="296" t="str">
        <f>IF(OR(AND(Parameter!$B$4=0,Parameter!$D$5="n"),INDEX(Data!$M$91:$M$190,MATCH("W5",Data!$A$91:$A$190,0))&gt;0,INDEX(Data!$N$91:$N$190,MATCH("W5",Data!$A$91:$A$190,0))&gt;0),"W5","W1")</f>
        <v>W5</v>
      </c>
      <c r="C760" s="78">
        <f>INDEX(Parameter!$9:$9,,MATCH(2,Parameter!$8:$8,0))</f>
        <v>2</v>
      </c>
      <c r="D760" s="78">
        <f>INDEX(Parameter!$B$10:$AB$10,MATCH(C760,Parameter!$B$9:$AB$9,0))</f>
        <v>3</v>
      </c>
      <c r="E760" s="78">
        <f>COUNTIF(Data!$DY$90:$IB$90,Specials!C760)</f>
        <v>2</v>
      </c>
      <c r="F760" s="78">
        <f ca="1">OFFSET(Data!$CS$91,MATCH("W1",Data!$A$91:$A$190,0)-1,MATCH(C760,Data!$CS$90:$DS$90,0)-1)</f>
        <v>6</v>
      </c>
      <c r="G760" s="78">
        <f ca="1">OFFSET(Data!$CS$91,MATCH($B760,Data!$A$91:$A$190,0)-1,MATCH(C760,Data!$CS$90:$DS$90,0)-1)</f>
        <v>7</v>
      </c>
      <c r="H760" s="78">
        <f t="shared" ca="1" si="52"/>
        <v>0</v>
      </c>
      <c r="I760" s="78">
        <f t="array" ref="I760">SUM(IF(Data!$A$91:$A$190=$B760,Data!$J$91:$M$190))-SUM(IF(Data!$A$91:$A$190="W1",Data!$J$91:$M$190))</f>
        <v>21</v>
      </c>
      <c r="K760" s="78" t="str">
        <f>INDEX(Data!$DT$91:$DT$190,MATCH($B760,Data!$A$91:$A$190,0))</f>
        <v>Wiltrud Derschmidt</v>
      </c>
      <c r="L760" s="78" t="str">
        <f t="shared" ca="1" si="53"/>
        <v>Best women took only 6 throws</v>
      </c>
      <c r="M760" s="78" t="s">
        <v>16</v>
      </c>
      <c r="N760" s="78" t="s">
        <v>255</v>
      </c>
      <c r="O760" s="78" t="e">
        <f t="shared" ca="1" si="49"/>
        <v>#VALUE!</v>
      </c>
      <c r="P760" s="78" t="str">
        <f t="shared" ca="1" si="51"/>
        <v/>
      </c>
    </row>
    <row r="761" spans="1:16" s="78" customFormat="1" hidden="1" x14ac:dyDescent="0.25">
      <c r="A761" s="78" t="s">
        <v>384</v>
      </c>
      <c r="B761" s="296" t="str">
        <f>IF(OR(AND(Parameter!$B$4=0,Parameter!$D$5="n"),INDEX(Data!$M$91:$M$190,MATCH("W5",Data!$A$91:$A$190,0))&gt;0,INDEX(Data!$N$91:$N$190,MATCH("W5",Data!$A$91:$A$190,0))&gt;0),"W5","W1")</f>
        <v>W5</v>
      </c>
      <c r="C761" s="78">
        <f>INDEX(Parameter!$9:$9,,MATCH(3,Parameter!$8:$8,0))</f>
        <v>3</v>
      </c>
      <c r="D761" s="78">
        <f>INDEX(Parameter!$B$10:$AB$10,MATCH(C761,Parameter!$B$9:$AB$9,0))</f>
        <v>3</v>
      </c>
      <c r="E761" s="78">
        <f>COUNTIF(Data!$DY$90:$IB$90,Specials!C761)</f>
        <v>2</v>
      </c>
      <c r="F761" s="78">
        <f ca="1">OFFSET(Data!$CS$91,MATCH("W1",Data!$A$91:$A$190,0)-1,MATCH(C761,Data!$CS$90:$DS$90,0)-1)</f>
        <v>8</v>
      </c>
      <c r="G761" s="78">
        <f ca="1">OFFSET(Data!$CS$91,MATCH($B761,Data!$A$91:$A$190,0)-1,MATCH(C761,Data!$CS$90:$DS$90,0)-1)</f>
        <v>6</v>
      </c>
      <c r="H761" s="78">
        <f t="shared" ca="1" si="52"/>
        <v>0</v>
      </c>
      <c r="I761" s="78">
        <f t="array" ref="I761">SUM(IF(Data!$A$91:$A$190=$B761,Data!$J$91:$M$190))-SUM(IF(Data!$A$91:$A$190="W1",Data!$J$91:$M$190))</f>
        <v>21</v>
      </c>
      <c r="K761" s="78" t="str">
        <f>INDEX(Data!$DT$91:$DT$190,MATCH($B761,Data!$A$91:$A$190,0))</f>
        <v>Wiltrud Derschmidt</v>
      </c>
      <c r="L761" s="78" t="str">
        <f t="shared" ca="1" si="53"/>
        <v>Best women took only 8 throws</v>
      </c>
      <c r="M761" s="78" t="s">
        <v>16</v>
      </c>
      <c r="N761" s="78" t="s">
        <v>255</v>
      </c>
      <c r="O761" s="78" t="e">
        <f t="shared" ca="1" si="49"/>
        <v>#VALUE!</v>
      </c>
      <c r="P761" s="78" t="str">
        <f t="shared" ca="1" si="51"/>
        <v/>
      </c>
    </row>
    <row r="762" spans="1:16" s="78" customFormat="1" hidden="1" x14ac:dyDescent="0.25">
      <c r="A762" s="78" t="s">
        <v>384</v>
      </c>
      <c r="B762" s="296" t="str">
        <f>IF(OR(AND(Parameter!$B$4=0,Parameter!$D$5="n"),INDEX(Data!$M$91:$M$190,MATCH("W5",Data!$A$91:$A$190,0))&gt;0,INDEX(Data!$N$91:$N$190,MATCH("W5",Data!$A$91:$A$190,0))&gt;0),"W5","W1")</f>
        <v>W5</v>
      </c>
      <c r="C762" s="78">
        <f>INDEX(Parameter!$9:$9,,MATCH(4,Parameter!$8:$8,0))</f>
        <v>4</v>
      </c>
      <c r="D762" s="78">
        <f>INDEX(Parameter!$B$10:$AB$10,MATCH(C762,Parameter!$B$9:$AB$9,0))</f>
        <v>3</v>
      </c>
      <c r="E762" s="78">
        <f>COUNTIF(Data!$DY$90:$IB$90,Specials!C762)</f>
        <v>2</v>
      </c>
      <c r="F762" s="78">
        <f ca="1">OFFSET(Data!$CS$91,MATCH("W1",Data!$A$91:$A$190,0)-1,MATCH(C762,Data!$CS$90:$DS$90,0)-1)</f>
        <v>7</v>
      </c>
      <c r="G762" s="78">
        <f ca="1">OFFSET(Data!$CS$91,MATCH($B762,Data!$A$91:$A$190,0)-1,MATCH(C762,Data!$CS$90:$DS$90,0)-1)</f>
        <v>5</v>
      </c>
      <c r="H762" s="78">
        <f t="shared" ca="1" si="52"/>
        <v>0</v>
      </c>
      <c r="I762" s="78">
        <f t="array" ref="I762">SUM(IF(Data!$A$91:$A$190=$B762,Data!$J$91:$M$190))-SUM(IF(Data!$A$91:$A$190="W1",Data!$J$91:$M$190))</f>
        <v>21</v>
      </c>
      <c r="K762" s="78" t="str">
        <f>INDEX(Data!$DT$91:$DT$190,MATCH($B762,Data!$A$91:$A$190,0))</f>
        <v>Wiltrud Derschmidt</v>
      </c>
      <c r="L762" s="78" t="str">
        <f t="shared" ca="1" si="53"/>
        <v>Best women took only 7 throws</v>
      </c>
      <c r="M762" s="78" t="s">
        <v>16</v>
      </c>
      <c r="N762" s="78" t="s">
        <v>255</v>
      </c>
      <c r="O762" s="78" t="e">
        <f t="shared" ca="1" si="49"/>
        <v>#VALUE!</v>
      </c>
      <c r="P762" s="78" t="str">
        <f t="shared" ca="1" si="51"/>
        <v/>
      </c>
    </row>
    <row r="763" spans="1:16" s="78" customFormat="1" hidden="1" x14ac:dyDescent="0.25">
      <c r="A763" s="78" t="s">
        <v>384</v>
      </c>
      <c r="B763" s="296" t="str">
        <f>IF(OR(AND(Parameter!$B$4=0,Parameter!$D$5="n"),INDEX(Data!$M$91:$M$190,MATCH("W5",Data!$A$91:$A$190,0))&gt;0,INDEX(Data!$N$91:$N$190,MATCH("W5",Data!$A$91:$A$190,0))&gt;0),"W5","W1")</f>
        <v>W5</v>
      </c>
      <c r="C763" s="78">
        <f>INDEX(Parameter!$9:$9,,MATCH(5,Parameter!$8:$8,0))</f>
        <v>5</v>
      </c>
      <c r="D763" s="78">
        <f>INDEX(Parameter!$B$10:$AB$10,MATCH(C763,Parameter!$B$9:$AB$9,0))</f>
        <v>4</v>
      </c>
      <c r="E763" s="78">
        <f>COUNTIF(Data!$DY$90:$IB$90,Specials!C763)</f>
        <v>2</v>
      </c>
      <c r="F763" s="78">
        <f ca="1">OFFSET(Data!$CS$91,MATCH("W1",Data!$A$91:$A$190,0)-1,MATCH(C763,Data!$CS$90:$DS$90,0)-1)</f>
        <v>8</v>
      </c>
      <c r="G763" s="78">
        <f ca="1">OFFSET(Data!$CS$91,MATCH($B763,Data!$A$91:$A$190,0)-1,MATCH(C763,Data!$CS$90:$DS$90,0)-1)</f>
        <v>11</v>
      </c>
      <c r="H763" s="78">
        <f t="shared" ca="1" si="52"/>
        <v>0</v>
      </c>
      <c r="I763" s="78">
        <f t="array" ref="I763">SUM(IF(Data!$A$91:$A$190=$B763,Data!$J$91:$M$190))-SUM(IF(Data!$A$91:$A$190="W1",Data!$J$91:$M$190))</f>
        <v>21</v>
      </c>
      <c r="K763" s="78" t="str">
        <f>INDEX(Data!$DT$91:$DT$190,MATCH($B763,Data!$A$91:$A$190,0))</f>
        <v>Wiltrud Derschmidt</v>
      </c>
      <c r="L763" s="78" t="str">
        <f t="shared" ca="1" si="53"/>
        <v>Best women took only 8 throws</v>
      </c>
      <c r="M763" s="78" t="s">
        <v>16</v>
      </c>
      <c r="N763" s="78" t="s">
        <v>255</v>
      </c>
      <c r="O763" s="78" t="e">
        <f t="shared" ca="1" si="49"/>
        <v>#VALUE!</v>
      </c>
      <c r="P763" s="78" t="str">
        <f t="shared" ca="1" si="51"/>
        <v/>
      </c>
    </row>
    <row r="764" spans="1:16" s="78" customFormat="1" hidden="1" x14ac:dyDescent="0.25">
      <c r="A764" s="78" t="s">
        <v>384</v>
      </c>
      <c r="B764" s="296" t="str">
        <f>IF(OR(AND(Parameter!$B$4=0,Parameter!$D$5="n"),INDEX(Data!$M$91:$M$190,MATCH("W5",Data!$A$91:$A$190,0))&gt;0,INDEX(Data!$N$91:$N$190,MATCH("W5",Data!$A$91:$A$190,0))&gt;0),"W5","W1")</f>
        <v>W5</v>
      </c>
      <c r="C764" s="78">
        <f>INDEX(Parameter!$9:$9,,MATCH(6,Parameter!$8:$8,0))</f>
        <v>6</v>
      </c>
      <c r="D764" s="78">
        <f>INDEX(Parameter!$B$10:$AB$10,MATCH(C764,Parameter!$B$9:$AB$9,0))</f>
        <v>3</v>
      </c>
      <c r="E764" s="78">
        <f>COUNTIF(Data!$DY$90:$IB$90,Specials!C764)</f>
        <v>2</v>
      </c>
      <c r="F764" s="78">
        <f ca="1">OFFSET(Data!$CS$91,MATCH("W1",Data!$A$91:$A$190,0)-1,MATCH(C764,Data!$CS$90:$DS$90,0)-1)</f>
        <v>7</v>
      </c>
      <c r="G764" s="78">
        <f ca="1">OFFSET(Data!$CS$91,MATCH($B764,Data!$A$91:$A$190,0)-1,MATCH(C764,Data!$CS$90:$DS$90,0)-1)</f>
        <v>8</v>
      </c>
      <c r="H764" s="78">
        <f t="shared" ca="1" si="52"/>
        <v>0</v>
      </c>
      <c r="I764" s="78">
        <f t="array" ref="I764">SUM(IF(Data!$A$91:$A$190=$B764,Data!$J$91:$M$190))-SUM(IF(Data!$A$91:$A$190="W1",Data!$J$91:$M$190))</f>
        <v>21</v>
      </c>
      <c r="K764" s="78" t="str">
        <f>INDEX(Data!$DT$91:$DT$190,MATCH($B764,Data!$A$91:$A$190,0))</f>
        <v>Wiltrud Derschmidt</v>
      </c>
      <c r="L764" s="78" t="str">
        <f t="shared" ca="1" si="53"/>
        <v>Best women took only 7 throws</v>
      </c>
      <c r="M764" s="78" t="s">
        <v>16</v>
      </c>
      <c r="N764" s="78" t="s">
        <v>255</v>
      </c>
      <c r="O764" s="78" t="e">
        <f t="shared" ca="1" si="49"/>
        <v>#VALUE!</v>
      </c>
      <c r="P764" s="78" t="str">
        <f t="shared" ca="1" si="51"/>
        <v/>
      </c>
    </row>
    <row r="765" spans="1:16" s="78" customFormat="1" hidden="1" x14ac:dyDescent="0.25">
      <c r="A765" s="78" t="s">
        <v>384</v>
      </c>
      <c r="B765" s="296" t="str">
        <f>IF(OR(AND(Parameter!$B$4=0,Parameter!$D$5="n"),INDEX(Data!$M$91:$M$190,MATCH("W5",Data!$A$91:$A$190,0))&gt;0,INDEX(Data!$N$91:$N$190,MATCH("W5",Data!$A$91:$A$190,0))&gt;0),"W5","W1")</f>
        <v>W5</v>
      </c>
      <c r="C765" s="78">
        <f>INDEX(Parameter!$9:$9,,MATCH(7,Parameter!$8:$8,0))</f>
        <v>7</v>
      </c>
      <c r="D765" s="78">
        <f>INDEX(Parameter!$B$10:$AB$10,MATCH(C765,Parameter!$B$9:$AB$9,0))</f>
        <v>3</v>
      </c>
      <c r="E765" s="78">
        <f>COUNTIF(Data!$DY$90:$IB$90,Specials!C765)</f>
        <v>2</v>
      </c>
      <c r="F765" s="78">
        <f ca="1">OFFSET(Data!$CS$91,MATCH("W1",Data!$A$91:$A$190,0)-1,MATCH(C765,Data!$CS$90:$DS$90,0)-1)</f>
        <v>6</v>
      </c>
      <c r="G765" s="78">
        <f ca="1">OFFSET(Data!$CS$91,MATCH($B765,Data!$A$91:$A$190,0)-1,MATCH(C765,Data!$CS$90:$DS$90,0)-1)</f>
        <v>8</v>
      </c>
      <c r="H765" s="78">
        <f t="shared" ca="1" si="52"/>
        <v>0</v>
      </c>
      <c r="I765" s="78">
        <f t="array" ref="I765">SUM(IF(Data!$A$91:$A$190=$B765,Data!$J$91:$M$190))-SUM(IF(Data!$A$91:$A$190="W1",Data!$J$91:$M$190))</f>
        <v>21</v>
      </c>
      <c r="K765" s="78" t="str">
        <f>INDEX(Data!$DT$91:$DT$190,MATCH($B765,Data!$A$91:$A$190,0))</f>
        <v>Wiltrud Derschmidt</v>
      </c>
      <c r="L765" s="78" t="str">
        <f t="shared" ca="1" si="53"/>
        <v>Best women took only 6 throws</v>
      </c>
      <c r="M765" s="78" t="s">
        <v>16</v>
      </c>
      <c r="N765" s="78" t="s">
        <v>255</v>
      </c>
      <c r="O765" s="78" t="e">
        <f t="shared" ca="1" si="49"/>
        <v>#VALUE!</v>
      </c>
      <c r="P765" s="78" t="str">
        <f t="shared" ca="1" si="51"/>
        <v/>
      </c>
    </row>
    <row r="766" spans="1:16" s="78" customFormat="1" hidden="1" x14ac:dyDescent="0.25">
      <c r="A766" s="78" t="s">
        <v>384</v>
      </c>
      <c r="B766" s="296" t="str">
        <f>IF(OR(AND(Parameter!$B$4=0,Parameter!$D$5="n"),INDEX(Data!$M$91:$M$190,MATCH("W5",Data!$A$91:$A$190,0))&gt;0,INDEX(Data!$N$91:$N$190,MATCH("W5",Data!$A$91:$A$190,0))&gt;0),"W5","W1")</f>
        <v>W5</v>
      </c>
      <c r="C766" s="78">
        <f>INDEX(Parameter!$9:$9,,MATCH(8,Parameter!$8:$8,0))</f>
        <v>8</v>
      </c>
      <c r="D766" s="78">
        <f>INDEX(Parameter!$B$10:$AB$10,MATCH(C766,Parameter!$B$9:$AB$9,0))</f>
        <v>3</v>
      </c>
      <c r="E766" s="78">
        <f>COUNTIF(Data!$DY$90:$IB$90,Specials!C766)</f>
        <v>2</v>
      </c>
      <c r="F766" s="78">
        <f ca="1">OFFSET(Data!$CS$91,MATCH("W1",Data!$A$91:$A$190,0)-1,MATCH(C766,Data!$CS$90:$DS$90,0)-1)</f>
        <v>6</v>
      </c>
      <c r="G766" s="78">
        <f ca="1">OFFSET(Data!$CS$91,MATCH($B766,Data!$A$91:$A$190,0)-1,MATCH(C766,Data!$CS$90:$DS$90,0)-1)</f>
        <v>6</v>
      </c>
      <c r="H766" s="78">
        <f t="shared" ca="1" si="52"/>
        <v>0</v>
      </c>
      <c r="I766" s="78">
        <f t="array" ref="I766">SUM(IF(Data!$A$91:$A$190=$B766,Data!$J$91:$M$190))-SUM(IF(Data!$A$91:$A$190="W1",Data!$J$91:$M$190))</f>
        <v>21</v>
      </c>
      <c r="K766" s="78" t="str">
        <f>INDEX(Data!$DT$91:$DT$190,MATCH($B766,Data!$A$91:$A$190,0))</f>
        <v>Wiltrud Derschmidt</v>
      </c>
      <c r="L766" s="78" t="str">
        <f t="shared" ca="1" si="53"/>
        <v>Best women took only 6 throws</v>
      </c>
      <c r="M766" s="78" t="s">
        <v>16</v>
      </c>
      <c r="N766" s="78" t="s">
        <v>255</v>
      </c>
      <c r="O766" s="78" t="e">
        <f t="shared" ca="1" si="49"/>
        <v>#VALUE!</v>
      </c>
      <c r="P766" s="78" t="str">
        <f t="shared" ca="1" si="51"/>
        <v/>
      </c>
    </row>
    <row r="767" spans="1:16" s="78" customFormat="1" hidden="1" x14ac:dyDescent="0.25">
      <c r="A767" s="78" t="s">
        <v>384</v>
      </c>
      <c r="B767" s="296" t="str">
        <f>IF(OR(AND(Parameter!$B$4=0,Parameter!$D$5="n"),INDEX(Data!$M$91:$M$190,MATCH("W5",Data!$A$91:$A$190,0))&gt;0,INDEX(Data!$N$91:$N$190,MATCH("W5",Data!$A$91:$A$190,0))&gt;0),"W5","W1")</f>
        <v>W5</v>
      </c>
      <c r="C767" s="78">
        <f>INDEX(Parameter!$9:$9,,MATCH(9,Parameter!$8:$8,0))</f>
        <v>9</v>
      </c>
      <c r="D767" s="78">
        <f>INDEX(Parameter!$B$10:$AB$10,MATCH(C767,Parameter!$B$9:$AB$9,0))</f>
        <v>4</v>
      </c>
      <c r="E767" s="78">
        <f>COUNTIF(Data!$DY$90:$IB$90,Specials!C767)</f>
        <v>2</v>
      </c>
      <c r="F767" s="78">
        <f ca="1">OFFSET(Data!$CS$91,MATCH("W1",Data!$A$91:$A$190,0)-1,MATCH(C767,Data!$CS$90:$DS$90,0)-1)</f>
        <v>9</v>
      </c>
      <c r="G767" s="78">
        <f ca="1">OFFSET(Data!$CS$91,MATCH($B767,Data!$A$91:$A$190,0)-1,MATCH(C767,Data!$CS$90:$DS$90,0)-1)</f>
        <v>12</v>
      </c>
      <c r="H767" s="78">
        <f t="shared" ca="1" si="52"/>
        <v>0</v>
      </c>
      <c r="I767" s="78">
        <f t="array" ref="I767">SUM(IF(Data!$A$91:$A$190=$B767,Data!$J$91:$M$190))-SUM(IF(Data!$A$91:$A$190="W1",Data!$J$91:$M$190))</f>
        <v>21</v>
      </c>
      <c r="K767" s="78" t="str">
        <f>INDEX(Data!$DT$91:$DT$190,MATCH($B767,Data!$A$91:$A$190,0))</f>
        <v>Wiltrud Derschmidt</v>
      </c>
      <c r="L767" s="78" t="str">
        <f t="shared" ca="1" si="53"/>
        <v>Best women took only 9 throws</v>
      </c>
      <c r="M767" s="78" t="s">
        <v>16</v>
      </c>
      <c r="N767" s="78" t="s">
        <v>255</v>
      </c>
      <c r="O767" s="78" t="e">
        <f t="shared" ca="1" si="49"/>
        <v>#VALUE!</v>
      </c>
      <c r="P767" s="78" t="str">
        <f t="shared" ca="1" si="51"/>
        <v/>
      </c>
    </row>
    <row r="768" spans="1:16" s="78" customFormat="1" hidden="1" x14ac:dyDescent="0.25">
      <c r="A768" s="78" t="s">
        <v>384</v>
      </c>
      <c r="B768" s="296" t="str">
        <f>IF(OR(AND(Parameter!$B$4=0,Parameter!$D$5="n"),INDEX(Data!$M$91:$M$190,MATCH("W5",Data!$A$91:$A$190,0))&gt;0,INDEX(Data!$N$91:$N$190,MATCH("W5",Data!$A$91:$A$190,0))&gt;0),"W5","W1")</f>
        <v>W5</v>
      </c>
      <c r="C768" s="78">
        <f>INDEX(Parameter!$9:$9,,MATCH(10,Parameter!$8:$8,0))</f>
        <v>10</v>
      </c>
      <c r="D768" s="78">
        <f>INDEX(Parameter!$B$10:$AB$10,MATCH(C768,Parameter!$B$9:$AB$9,0))</f>
        <v>4</v>
      </c>
      <c r="E768" s="78">
        <f>COUNTIF(Data!$DY$90:$IB$90,Specials!C768)</f>
        <v>2</v>
      </c>
      <c r="F768" s="78">
        <f ca="1">OFFSET(Data!$CS$91,MATCH("W1",Data!$A$91:$A$190,0)-1,MATCH(C768,Data!$CS$90:$DS$90,0)-1)</f>
        <v>8</v>
      </c>
      <c r="G768" s="78">
        <f ca="1">OFFSET(Data!$CS$91,MATCH($B768,Data!$A$91:$A$190,0)-1,MATCH(C768,Data!$CS$90:$DS$90,0)-1)</f>
        <v>10</v>
      </c>
      <c r="H768" s="78">
        <f t="shared" ca="1" si="52"/>
        <v>0</v>
      </c>
      <c r="I768" s="78">
        <f t="array" ref="I768">SUM(IF(Data!$A$91:$A$190=$B768,Data!$J$91:$M$190))-SUM(IF(Data!$A$91:$A$190="W1",Data!$J$91:$M$190))</f>
        <v>21</v>
      </c>
      <c r="K768" s="78" t="str">
        <f>INDEX(Data!$DT$91:$DT$190,MATCH($B768,Data!$A$91:$A$190,0))</f>
        <v>Wiltrud Derschmidt</v>
      </c>
      <c r="L768" s="78" t="str">
        <f t="shared" ca="1" si="53"/>
        <v>Best women took only 8 throws</v>
      </c>
      <c r="M768" s="78" t="s">
        <v>16</v>
      </c>
      <c r="N768" s="78" t="s">
        <v>255</v>
      </c>
      <c r="O768" s="78" t="e">
        <f t="shared" ca="1" si="49"/>
        <v>#VALUE!</v>
      </c>
      <c r="P768" s="78" t="str">
        <f t="shared" ca="1" si="51"/>
        <v/>
      </c>
    </row>
    <row r="769" spans="1:16" s="78" customFormat="1" hidden="1" x14ac:dyDescent="0.25">
      <c r="A769" s="78" t="s">
        <v>384</v>
      </c>
      <c r="B769" s="296" t="str">
        <f>IF(OR(AND(Parameter!$B$4=0,Parameter!$D$5="n"),INDEX(Data!$M$91:$M$190,MATCH("W5",Data!$A$91:$A$190,0))&gt;0,INDEX(Data!$N$91:$N$190,MATCH("W5",Data!$A$91:$A$190,0))&gt;0),"W5","W1")</f>
        <v>W5</v>
      </c>
      <c r="C769" s="78">
        <f>INDEX(Parameter!$9:$9,,MATCH(11,Parameter!$8:$8,0))</f>
        <v>11</v>
      </c>
      <c r="D769" s="78">
        <f>INDEX(Parameter!$B$10:$AB$10,MATCH(C769,Parameter!$B$9:$AB$9,0))</f>
        <v>4</v>
      </c>
      <c r="E769" s="78">
        <f>COUNTIF(Data!$DY$90:$IB$90,Specials!C769)</f>
        <v>2</v>
      </c>
      <c r="F769" s="78">
        <f ca="1">OFFSET(Data!$CS$91,MATCH("W1",Data!$A$91:$A$190,0)-1,MATCH(C769,Data!$CS$90:$DS$90,0)-1)</f>
        <v>10</v>
      </c>
      <c r="G769" s="78">
        <f ca="1">OFFSET(Data!$CS$91,MATCH($B769,Data!$A$91:$A$190,0)-1,MATCH(C769,Data!$CS$90:$DS$90,0)-1)</f>
        <v>10</v>
      </c>
      <c r="H769" s="78">
        <f t="shared" ca="1" si="52"/>
        <v>0</v>
      </c>
      <c r="I769" s="78">
        <f t="array" ref="I769">SUM(IF(Data!$A$91:$A$190=$B769,Data!$J$91:$M$190))-SUM(IF(Data!$A$91:$A$190="W1",Data!$J$91:$M$190))</f>
        <v>21</v>
      </c>
      <c r="K769" s="78" t="str">
        <f>INDEX(Data!$DT$91:$DT$190,MATCH($B769,Data!$A$91:$A$190,0))</f>
        <v>Wiltrud Derschmidt</v>
      </c>
      <c r="L769" s="78" t="str">
        <f t="shared" ca="1" si="53"/>
        <v>Best women took only 10 throws</v>
      </c>
      <c r="M769" s="78" t="s">
        <v>16</v>
      </c>
      <c r="N769" s="78" t="s">
        <v>255</v>
      </c>
      <c r="O769" s="78" t="e">
        <f t="shared" ca="1" si="49"/>
        <v>#VALUE!</v>
      </c>
      <c r="P769" s="78" t="str">
        <f t="shared" ca="1" si="51"/>
        <v/>
      </c>
    </row>
    <row r="770" spans="1:16" s="78" customFormat="1" hidden="1" x14ac:dyDescent="0.25">
      <c r="A770" s="78" t="s">
        <v>384</v>
      </c>
      <c r="B770" s="296" t="str">
        <f>IF(OR(AND(Parameter!$B$4=0,Parameter!$D$5="n"),INDEX(Data!$M$91:$M$190,MATCH("W5",Data!$A$91:$A$190,0))&gt;0,INDEX(Data!$N$91:$N$190,MATCH("W5",Data!$A$91:$A$190,0))&gt;0),"W5","W1")</f>
        <v>W5</v>
      </c>
      <c r="C770" s="78" t="str">
        <f>INDEX(Parameter!$9:$9,,MATCH(12,Parameter!$8:$8,0))</f>
        <v>11b</v>
      </c>
      <c r="D770" s="78">
        <f>INDEX(Parameter!$B$10:$AB$10,MATCH(C770,Parameter!$B$9:$AB$9,0))</f>
        <v>3</v>
      </c>
      <c r="E770" s="78">
        <f>COUNTIF(Data!$DY$90:$IB$90,Specials!C770)</f>
        <v>2</v>
      </c>
      <c r="F770" s="78">
        <f ca="1">OFFSET(Data!$CS$91,MATCH("W1",Data!$A$91:$A$190,0)-1,MATCH(C770,Data!$CS$90:$DS$90,0)-1)</f>
        <v>6</v>
      </c>
      <c r="G770" s="78">
        <f ca="1">OFFSET(Data!$CS$91,MATCH($B770,Data!$A$91:$A$190,0)-1,MATCH(C770,Data!$CS$90:$DS$90,0)-1)</f>
        <v>7</v>
      </c>
      <c r="H770" s="78">
        <f t="shared" ca="1" si="52"/>
        <v>0</v>
      </c>
      <c r="I770" s="78">
        <f t="array" ref="I770">SUM(IF(Data!$A$91:$A$190=$B770,Data!$J$91:$M$190))-SUM(IF(Data!$A$91:$A$190="W1",Data!$J$91:$M$190))</f>
        <v>21</v>
      </c>
      <c r="K770" s="78" t="str">
        <f>INDEX(Data!$DT$91:$DT$190,MATCH($B770,Data!$A$91:$A$190,0))</f>
        <v>Wiltrud Derschmidt</v>
      </c>
      <c r="L770" s="78" t="str">
        <f t="shared" ca="1" si="53"/>
        <v>Best women took only 6 throws</v>
      </c>
      <c r="M770" s="78" t="s">
        <v>16</v>
      </c>
      <c r="N770" s="78" t="s">
        <v>255</v>
      </c>
      <c r="O770" s="78" t="e">
        <f t="shared" ca="1" si="49"/>
        <v>#VALUE!</v>
      </c>
      <c r="P770" s="78" t="str">
        <f t="shared" ca="1" si="51"/>
        <v/>
      </c>
    </row>
    <row r="771" spans="1:16" s="78" customFormat="1" hidden="1" x14ac:dyDescent="0.25">
      <c r="A771" s="78" t="s">
        <v>384</v>
      </c>
      <c r="B771" s="296" t="str">
        <f>IF(OR(AND(Parameter!$B$4=0,Parameter!$D$5="n"),INDEX(Data!$M$91:$M$190,MATCH("W5",Data!$A$91:$A$190,0))&gt;0,INDEX(Data!$N$91:$N$190,MATCH("W5",Data!$A$91:$A$190,0))&gt;0),"W5","W1")</f>
        <v>W5</v>
      </c>
      <c r="C771" s="78">
        <f>INDEX(Parameter!$9:$9,,MATCH(13,Parameter!$8:$8,0))</f>
        <v>12</v>
      </c>
      <c r="D771" s="78">
        <f>INDEX(Parameter!$B$10:$AB$10,MATCH(C771,Parameter!$B$9:$AB$9,0))</f>
        <v>3</v>
      </c>
      <c r="E771" s="78">
        <f>COUNTIF(Data!$DY$90:$IB$90,Specials!C771)</f>
        <v>2</v>
      </c>
      <c r="F771" s="78">
        <f ca="1">OFFSET(Data!$CS$91,MATCH("W1",Data!$A$91:$A$190,0)-1,MATCH(C771,Data!$CS$90:$DS$90,0)-1)</f>
        <v>6</v>
      </c>
      <c r="G771" s="78">
        <f ca="1">OFFSET(Data!$CS$91,MATCH($B771,Data!$A$91:$A$190,0)-1,MATCH(C771,Data!$CS$90:$DS$90,0)-1)</f>
        <v>5</v>
      </c>
      <c r="H771" s="78">
        <f t="shared" ca="1" si="52"/>
        <v>0</v>
      </c>
      <c r="I771" s="78">
        <f t="array" ref="I771">SUM(IF(Data!$A$91:$A$190=$B771,Data!$J$91:$M$190))-SUM(IF(Data!$A$91:$A$190="W1",Data!$J$91:$M$190))</f>
        <v>21</v>
      </c>
      <c r="K771" s="78" t="str">
        <f>INDEX(Data!$DT$91:$DT$190,MATCH($B771,Data!$A$91:$A$190,0))</f>
        <v>Wiltrud Derschmidt</v>
      </c>
      <c r="L771" s="78" t="str">
        <f t="shared" ca="1" si="53"/>
        <v>Best women took only 6 throws</v>
      </c>
      <c r="M771" s="78" t="s">
        <v>16</v>
      </c>
      <c r="N771" s="78" t="s">
        <v>255</v>
      </c>
      <c r="O771" s="78" t="e">
        <f t="shared" ca="1" si="49"/>
        <v>#VALUE!</v>
      </c>
      <c r="P771" s="78" t="str">
        <f t="shared" ca="1" si="51"/>
        <v/>
      </c>
    </row>
    <row r="772" spans="1:16" s="78" customFormat="1" hidden="1" x14ac:dyDescent="0.25">
      <c r="A772" s="78" t="s">
        <v>384</v>
      </c>
      <c r="B772" s="296" t="str">
        <f>IF(OR(AND(Parameter!$B$4=0,Parameter!$D$5="n"),INDEX(Data!$M$91:$M$190,MATCH("W5",Data!$A$91:$A$190,0))&gt;0,INDEX(Data!$N$91:$N$190,MATCH("W5",Data!$A$91:$A$190,0))&gt;0),"W5","W1")</f>
        <v>W5</v>
      </c>
      <c r="C772" s="78">
        <f>INDEX(Parameter!$9:$9,,MATCH(14,Parameter!$8:$8,0))</f>
        <v>13</v>
      </c>
      <c r="D772" s="78">
        <f>INDEX(Parameter!$B$10:$AB$10,MATCH(C772,Parameter!$B$9:$AB$9,0))</f>
        <v>3</v>
      </c>
      <c r="E772" s="78">
        <f>COUNTIF(Data!$DY$90:$IB$90,Specials!C772)</f>
        <v>2</v>
      </c>
      <c r="F772" s="78">
        <f ca="1">OFFSET(Data!$CS$91,MATCH("W1",Data!$A$91:$A$190,0)-1,MATCH(C772,Data!$CS$90:$DS$90,0)-1)</f>
        <v>7</v>
      </c>
      <c r="G772" s="78">
        <f ca="1">OFFSET(Data!$CS$91,MATCH($B772,Data!$A$91:$A$190,0)-1,MATCH(C772,Data!$CS$90:$DS$90,0)-1)</f>
        <v>8</v>
      </c>
      <c r="H772" s="78">
        <f t="shared" ca="1" si="52"/>
        <v>0</v>
      </c>
      <c r="I772" s="78">
        <f t="array" ref="I772">SUM(IF(Data!$A$91:$A$190=$B772,Data!$J$91:$M$190))-SUM(IF(Data!$A$91:$A$190="W1",Data!$J$91:$M$190))</f>
        <v>21</v>
      </c>
      <c r="K772" s="78" t="str">
        <f>INDEX(Data!$DT$91:$DT$190,MATCH($B772,Data!$A$91:$A$190,0))</f>
        <v>Wiltrud Derschmidt</v>
      </c>
      <c r="L772" s="78" t="str">
        <f t="shared" ca="1" si="53"/>
        <v>Best women took only 7 throws</v>
      </c>
      <c r="M772" s="78" t="s">
        <v>16</v>
      </c>
      <c r="N772" s="78" t="s">
        <v>255</v>
      </c>
      <c r="O772" s="78" t="e">
        <f t="shared" ref="O772:O835" ca="1" si="54">IF(AND($P772&lt;&gt;"",$N772="yes"),O771+1,O771)</f>
        <v>#VALUE!</v>
      </c>
      <c r="P772" s="78" t="str">
        <f t="shared" ca="1" si="51"/>
        <v/>
      </c>
    </row>
    <row r="773" spans="1:16" s="78" customFormat="1" hidden="1" x14ac:dyDescent="0.25">
      <c r="A773" s="78" t="s">
        <v>384</v>
      </c>
      <c r="B773" s="296" t="str">
        <f>IF(OR(AND(Parameter!$B$4=0,Parameter!$D$5="n"),INDEX(Data!$M$91:$M$190,MATCH("W5",Data!$A$91:$A$190,0))&gt;0,INDEX(Data!$N$91:$N$190,MATCH("W5",Data!$A$91:$A$190,0))&gt;0),"W5","W1")</f>
        <v>W5</v>
      </c>
      <c r="C773" s="78">
        <f>INDEX(Parameter!$9:$9,,MATCH(15,Parameter!$8:$8,0))</f>
        <v>14</v>
      </c>
      <c r="D773" s="78">
        <f>INDEX(Parameter!$B$10:$AB$10,MATCH(C773,Parameter!$B$9:$AB$9,0))</f>
        <v>3</v>
      </c>
      <c r="E773" s="78">
        <f>COUNTIF(Data!$DY$90:$IB$90,Specials!C773)</f>
        <v>2</v>
      </c>
      <c r="F773" s="78">
        <f ca="1">OFFSET(Data!$CS$91,MATCH("W1",Data!$A$91:$A$190,0)-1,MATCH(C773,Data!$CS$90:$DS$90,0)-1)</f>
        <v>7</v>
      </c>
      <c r="G773" s="78">
        <f ca="1">OFFSET(Data!$CS$91,MATCH($B773,Data!$A$91:$A$190,0)-1,MATCH(C773,Data!$CS$90:$DS$90,0)-1)</f>
        <v>8</v>
      </c>
      <c r="H773" s="78">
        <f t="shared" ca="1" si="52"/>
        <v>0</v>
      </c>
      <c r="I773" s="78">
        <f t="array" ref="I773">SUM(IF(Data!$A$91:$A$190=$B773,Data!$J$91:$M$190))-SUM(IF(Data!$A$91:$A$190="W1",Data!$J$91:$M$190))</f>
        <v>21</v>
      </c>
      <c r="K773" s="78" t="str">
        <f>INDEX(Data!$DT$91:$DT$190,MATCH($B773,Data!$A$91:$A$190,0))</f>
        <v>Wiltrud Derschmidt</v>
      </c>
      <c r="L773" s="78" t="str">
        <f t="shared" ca="1" si="53"/>
        <v>Best women took only 7 throws</v>
      </c>
      <c r="M773" s="78" t="s">
        <v>16</v>
      </c>
      <c r="N773" s="78" t="s">
        <v>255</v>
      </c>
      <c r="O773" s="78" t="e">
        <f t="shared" ca="1" si="54"/>
        <v>#VALUE!</v>
      </c>
      <c r="P773" s="78" t="str">
        <f t="shared" ca="1" si="51"/>
        <v/>
      </c>
    </row>
    <row r="774" spans="1:16" s="78" customFormat="1" hidden="1" x14ac:dyDescent="0.25">
      <c r="A774" s="78" t="s">
        <v>384</v>
      </c>
      <c r="B774" s="296" t="str">
        <f>IF(OR(AND(Parameter!$B$4=0,Parameter!$D$5="n"),INDEX(Data!$M$91:$M$190,MATCH("W5",Data!$A$91:$A$190,0))&gt;0,INDEX(Data!$N$91:$N$190,MATCH("W5",Data!$A$91:$A$190,0))&gt;0),"W5","W1")</f>
        <v>W5</v>
      </c>
      <c r="C774" s="78">
        <f>INDEX(Parameter!$9:$9,,MATCH(16,Parameter!$8:$8,0))</f>
        <v>15</v>
      </c>
      <c r="D774" s="78">
        <f>INDEX(Parameter!$B$10:$AB$10,MATCH(C774,Parameter!$B$9:$AB$9,0))</f>
        <v>3</v>
      </c>
      <c r="E774" s="78">
        <f>COUNTIF(Data!$DY$90:$IB$90,Specials!C774)</f>
        <v>2</v>
      </c>
      <c r="F774" s="78">
        <f ca="1">OFFSET(Data!$CS$91,MATCH("W1",Data!$A$91:$A$190,0)-1,MATCH(C774,Data!$CS$90:$DS$90,0)-1)</f>
        <v>5</v>
      </c>
      <c r="G774" s="78">
        <f ca="1">OFFSET(Data!$CS$91,MATCH($B774,Data!$A$91:$A$190,0)-1,MATCH(C774,Data!$CS$90:$DS$90,0)-1)</f>
        <v>7</v>
      </c>
      <c r="H774" s="78">
        <f t="shared" ca="1" si="52"/>
        <v>0</v>
      </c>
      <c r="I774" s="78">
        <f t="array" ref="I774">SUM(IF(Data!$A$91:$A$190=$B774,Data!$J$91:$M$190))-SUM(IF(Data!$A$91:$A$190="W1",Data!$J$91:$M$190))</f>
        <v>21</v>
      </c>
      <c r="K774" s="78" t="str">
        <f>INDEX(Data!$DT$91:$DT$190,MATCH($B774,Data!$A$91:$A$190,0))</f>
        <v>Wiltrud Derschmidt</v>
      </c>
      <c r="L774" s="78" t="str">
        <f t="shared" ca="1" si="53"/>
        <v>Best women took only 5 throws</v>
      </c>
      <c r="M774" s="78" t="s">
        <v>16</v>
      </c>
      <c r="N774" s="78" t="s">
        <v>255</v>
      </c>
      <c r="O774" s="78" t="e">
        <f t="shared" ca="1" si="54"/>
        <v>#VALUE!</v>
      </c>
      <c r="P774" s="78" t="str">
        <f t="shared" ref="P774:P785" ca="1" si="55">IF(H774&gt;0,"On hole "&amp;C774&amp;" (par "&amp;D774&amp;") "&amp;K774&amp;" took "&amp;G774&amp;" throws in total ("&amp;$E774&amp;" rounds)","")</f>
        <v/>
      </c>
    </row>
    <row r="775" spans="1:16" s="78" customFormat="1" hidden="1" x14ac:dyDescent="0.25">
      <c r="A775" s="78" t="s">
        <v>384</v>
      </c>
      <c r="B775" s="296" t="str">
        <f>IF(OR(AND(Parameter!$B$4=0,Parameter!$D$5="n"),INDEX(Data!$M$91:$M$190,MATCH("W5",Data!$A$91:$A$190,0))&gt;0,INDEX(Data!$N$91:$N$190,MATCH("W5",Data!$A$91:$A$190,0))&gt;0),"W5","W1")</f>
        <v>W5</v>
      </c>
      <c r="C775" s="78">
        <f>INDEX(Parameter!$9:$9,,MATCH(17,Parameter!$8:$8,0))</f>
        <v>16</v>
      </c>
      <c r="D775" s="78">
        <f>INDEX(Parameter!$B$10:$AB$10,MATCH(C775,Parameter!$B$9:$AB$9,0))</f>
        <v>3</v>
      </c>
      <c r="E775" s="78">
        <f>COUNTIF(Data!$DY$90:$IB$90,Specials!C775)</f>
        <v>2</v>
      </c>
      <c r="F775" s="78">
        <f ca="1">OFFSET(Data!$CS$91,MATCH("W1",Data!$A$91:$A$190,0)-1,MATCH(C775,Data!$CS$90:$DS$90,0)-1)</f>
        <v>6</v>
      </c>
      <c r="G775" s="78">
        <f ca="1">OFFSET(Data!$CS$91,MATCH($B775,Data!$A$91:$A$190,0)-1,MATCH(C775,Data!$CS$90:$DS$90,0)-1)</f>
        <v>7</v>
      </c>
      <c r="H775" s="78">
        <f t="shared" ca="1" si="52"/>
        <v>0</v>
      </c>
      <c r="I775" s="78">
        <f t="array" ref="I775">SUM(IF(Data!$A$91:$A$190=$B775,Data!$J$91:$M$190))-SUM(IF(Data!$A$91:$A$190="W1",Data!$J$91:$M$190))</f>
        <v>21</v>
      </c>
      <c r="K775" s="78" t="str">
        <f>INDEX(Data!$DT$91:$DT$190,MATCH($B775,Data!$A$91:$A$190,0))</f>
        <v>Wiltrud Derschmidt</v>
      </c>
      <c r="L775" s="78" t="str">
        <f t="shared" ca="1" si="53"/>
        <v>Best women took only 6 throws</v>
      </c>
      <c r="M775" s="78" t="s">
        <v>16</v>
      </c>
      <c r="N775" s="78" t="s">
        <v>255</v>
      </c>
      <c r="O775" s="78" t="e">
        <f t="shared" ca="1" si="54"/>
        <v>#VALUE!</v>
      </c>
      <c r="P775" s="78" t="str">
        <f t="shared" ca="1" si="55"/>
        <v/>
      </c>
    </row>
    <row r="776" spans="1:16" s="78" customFormat="1" hidden="1" x14ac:dyDescent="0.25">
      <c r="A776" s="78" t="s">
        <v>384</v>
      </c>
      <c r="B776" s="296" t="str">
        <f>IF(OR(AND(Parameter!$B$4=0,Parameter!$D$5="n"),INDEX(Data!$M$91:$M$190,MATCH("W5",Data!$A$91:$A$190,0))&gt;0,INDEX(Data!$N$91:$N$190,MATCH("W5",Data!$A$91:$A$190,0))&gt;0),"W5","W1")</f>
        <v>W5</v>
      </c>
      <c r="C776" s="78">
        <f>INDEX(Parameter!$9:$9,,MATCH(18,Parameter!$8:$8,0))</f>
        <v>17</v>
      </c>
      <c r="D776" s="78">
        <f>INDEX(Parameter!$B$10:$AB$10,MATCH(C776,Parameter!$B$9:$AB$9,0))</f>
        <v>3</v>
      </c>
      <c r="E776" s="78">
        <f>COUNTIF(Data!$DY$90:$IB$90,Specials!C776)</f>
        <v>2</v>
      </c>
      <c r="F776" s="78">
        <f ca="1">OFFSET(Data!$CS$91,MATCH("W1",Data!$A$91:$A$190,0)-1,MATCH(C776,Data!$CS$90:$DS$90,0)-1)</f>
        <v>6</v>
      </c>
      <c r="G776" s="78">
        <f ca="1">OFFSET(Data!$CS$91,MATCH($B776,Data!$A$91:$A$190,0)-1,MATCH(C776,Data!$CS$90:$DS$90,0)-1)</f>
        <v>12</v>
      </c>
      <c r="H776" s="78">
        <f t="shared" ca="1" si="52"/>
        <v>0</v>
      </c>
      <c r="I776" s="78">
        <f t="array" ref="I776">SUM(IF(Data!$A$91:$A$190=$B776,Data!$J$91:$M$190))-SUM(IF(Data!$A$91:$A$190="W1",Data!$J$91:$M$190))</f>
        <v>21</v>
      </c>
      <c r="K776" s="78" t="str">
        <f>INDEX(Data!$DT$91:$DT$190,MATCH($B776,Data!$A$91:$A$190,0))</f>
        <v>Wiltrud Derschmidt</v>
      </c>
      <c r="L776" s="78" t="str">
        <f t="shared" ca="1" si="53"/>
        <v>Best women took only 6 throws</v>
      </c>
      <c r="M776" s="78" t="s">
        <v>16</v>
      </c>
      <c r="N776" s="78" t="s">
        <v>255</v>
      </c>
      <c r="O776" s="78" t="e">
        <f t="shared" ca="1" si="54"/>
        <v>#VALUE!</v>
      </c>
      <c r="P776" s="78" t="str">
        <f t="shared" ca="1" si="55"/>
        <v/>
      </c>
    </row>
    <row r="777" spans="1:16" s="78" customFormat="1" hidden="1" x14ac:dyDescent="0.25">
      <c r="A777" s="78" t="s">
        <v>384</v>
      </c>
      <c r="B777" s="296" t="str">
        <f>IF(OR(AND(Parameter!$B$4=0,Parameter!$D$5="n"),INDEX(Data!$M$91:$M$190,MATCH("W5",Data!$A$91:$A$190,0))&gt;0,INDEX(Data!$N$91:$N$190,MATCH("W5",Data!$A$91:$A$190,0))&gt;0),"W5","W1")</f>
        <v>W5</v>
      </c>
      <c r="C777" s="78">
        <f>INDEX(Parameter!$9:$9,,MATCH(19,Parameter!$8:$8,0))</f>
        <v>18</v>
      </c>
      <c r="D777" s="78">
        <f>INDEX(Parameter!$B$10:$AB$10,MATCH(C777,Parameter!$B$9:$AB$9,0))</f>
        <v>3</v>
      </c>
      <c r="E777" s="78">
        <f>COUNTIF(Data!$DY$90:$IB$90,Specials!C777)</f>
        <v>2</v>
      </c>
      <c r="F777" s="78">
        <f ca="1">OFFSET(Data!$CS$91,MATCH("W1",Data!$A$91:$A$190,0)-1,MATCH(C777,Data!$CS$90:$DS$90,0)-1)</f>
        <v>6</v>
      </c>
      <c r="G777" s="78">
        <f ca="1">OFFSET(Data!$CS$91,MATCH($B777,Data!$A$91:$A$190,0)-1,MATCH(C777,Data!$CS$90:$DS$90,0)-1)</f>
        <v>8</v>
      </c>
      <c r="H777" s="78">
        <f t="shared" ca="1" si="52"/>
        <v>0</v>
      </c>
      <c r="I777" s="78">
        <f t="array" ref="I777">SUM(IF(Data!$A$91:$A$190=$B777,Data!$J$91:$M$190))-SUM(IF(Data!$A$91:$A$190="W1",Data!$J$91:$M$190))</f>
        <v>21</v>
      </c>
      <c r="K777" s="78" t="str">
        <f>INDEX(Data!$DT$91:$DT$190,MATCH($B777,Data!$A$91:$A$190,0))</f>
        <v>Wiltrud Derschmidt</v>
      </c>
      <c r="L777" s="78" t="str">
        <f t="shared" ca="1" si="53"/>
        <v>Best women took only 6 throws</v>
      </c>
      <c r="M777" s="78" t="s">
        <v>16</v>
      </c>
      <c r="N777" s="78" t="s">
        <v>255</v>
      </c>
      <c r="O777" s="78" t="e">
        <f t="shared" ca="1" si="54"/>
        <v>#VALUE!</v>
      </c>
      <c r="P777" s="78" t="str">
        <f t="shared" ca="1" si="55"/>
        <v/>
      </c>
    </row>
    <row r="778" spans="1:16" s="78" customFormat="1" hidden="1" x14ac:dyDescent="0.25">
      <c r="A778" s="78" t="s">
        <v>384</v>
      </c>
      <c r="B778" s="296" t="str">
        <f>IF(OR(AND(Parameter!$B$4=0,Parameter!$D$5="n"),INDEX(Data!$M$91:$M$190,MATCH("W5",Data!$A$91:$A$190,0))&gt;0,INDEX(Data!$N$91:$N$190,MATCH("W5",Data!$A$91:$A$190,0))&gt;0),"W5","W1")</f>
        <v>W5</v>
      </c>
      <c r="C778" s="78">
        <f>INDEX(Parameter!$9:$9,,MATCH(20,Parameter!$8:$8,0))</f>
        <v>20</v>
      </c>
      <c r="D778" s="78" t="str">
        <f>INDEX(Parameter!$B$10:$AB$10,MATCH(C778,Parameter!$B$9:$AB$9,0))</f>
        <v>no</v>
      </c>
      <c r="E778" s="78">
        <f>COUNTIF(Data!$DY$90:$IB$90,Specials!C778)</f>
        <v>0</v>
      </c>
      <c r="F778" s="78">
        <f ca="1">OFFSET(Data!$CS$91,MATCH("W1",Data!$A$91:$A$190,0)-1,MATCH(C778,Data!$CS$90:$DS$90,0)-1)</f>
        <v>0</v>
      </c>
      <c r="G778" s="78">
        <f ca="1">OFFSET(Data!$CS$91,MATCH($B778,Data!$A$91:$A$190,0)-1,MATCH(C778,Data!$CS$90:$DS$90,0)-1)</f>
        <v>0</v>
      </c>
      <c r="H778" s="78">
        <f t="shared" ca="1" si="52"/>
        <v>0</v>
      </c>
      <c r="I778" s="78">
        <f t="array" ref="I778">SUM(IF(Data!$A$91:$A$190=$B778,Data!$J$91:$M$190))-SUM(IF(Data!$A$91:$A$190="W1",Data!$J$91:$M$190))</f>
        <v>21</v>
      </c>
      <c r="K778" s="78" t="str">
        <f>INDEX(Data!$DT$91:$DT$190,MATCH($B778,Data!$A$91:$A$190,0))</f>
        <v>Wiltrud Derschmidt</v>
      </c>
      <c r="L778" s="78" t="str">
        <f t="shared" ca="1" si="53"/>
        <v>Best women took only 0 throws</v>
      </c>
      <c r="M778" s="78" t="s">
        <v>16</v>
      </c>
      <c r="N778" s="78" t="s">
        <v>255</v>
      </c>
      <c r="O778" s="78" t="e">
        <f t="shared" ca="1" si="54"/>
        <v>#VALUE!</v>
      </c>
      <c r="P778" s="78" t="str">
        <f t="shared" ca="1" si="55"/>
        <v/>
      </c>
    </row>
    <row r="779" spans="1:16" s="78" customFormat="1" hidden="1" x14ac:dyDescent="0.25">
      <c r="A779" s="78" t="s">
        <v>384</v>
      </c>
      <c r="B779" s="296" t="str">
        <f>IF(OR(AND(Parameter!$B$4=0,Parameter!$D$5="n"),INDEX(Data!$M$91:$M$190,MATCH("W5",Data!$A$91:$A$190,0))&gt;0,INDEX(Data!$N$91:$N$190,MATCH("W5",Data!$A$91:$A$190,0))&gt;0),"W5","W1")</f>
        <v>W5</v>
      </c>
      <c r="C779" s="78">
        <f>INDEX(Parameter!$9:$9,,MATCH(21,Parameter!$8:$8,0))</f>
        <v>21</v>
      </c>
      <c r="D779" s="78" t="str">
        <f>INDEX(Parameter!$B$10:$AB$10,MATCH(C779,Parameter!$B$9:$AB$9,0))</f>
        <v>no</v>
      </c>
      <c r="E779" s="78">
        <f>COUNTIF(Data!$DY$90:$IB$90,Specials!C779)</f>
        <v>0</v>
      </c>
      <c r="F779" s="78">
        <f ca="1">OFFSET(Data!$CS$91,MATCH("W1",Data!$A$91:$A$190,0)-1,MATCH(C779,Data!$CS$90:$DS$90,0)-1)</f>
        <v>0</v>
      </c>
      <c r="G779" s="78">
        <f ca="1">OFFSET(Data!$CS$91,MATCH($B779,Data!$A$91:$A$190,0)-1,MATCH(C779,Data!$CS$90:$DS$90,0)-1)</f>
        <v>0</v>
      </c>
      <c r="H779" s="78">
        <f t="shared" ca="1" si="52"/>
        <v>0</v>
      </c>
      <c r="I779" s="78">
        <f t="array" ref="I779">SUM(IF(Data!$A$91:$A$190=$B779,Data!$J$91:$M$190))-SUM(IF(Data!$A$91:$A$190="W1",Data!$J$91:$M$190))</f>
        <v>21</v>
      </c>
      <c r="K779" s="78" t="str">
        <f>INDEX(Data!$DT$91:$DT$190,MATCH($B779,Data!$A$91:$A$190,0))</f>
        <v>Wiltrud Derschmidt</v>
      </c>
      <c r="L779" s="78" t="str">
        <f t="shared" ca="1" si="53"/>
        <v>Best women took only 0 throws</v>
      </c>
      <c r="M779" s="78" t="s">
        <v>16</v>
      </c>
      <c r="N779" s="78" t="s">
        <v>255</v>
      </c>
      <c r="O779" s="78" t="e">
        <f t="shared" ca="1" si="54"/>
        <v>#VALUE!</v>
      </c>
      <c r="P779" s="78" t="str">
        <f t="shared" ca="1" si="55"/>
        <v/>
      </c>
    </row>
    <row r="780" spans="1:16" s="78" customFormat="1" hidden="1" x14ac:dyDescent="0.25">
      <c r="A780" s="78" t="s">
        <v>384</v>
      </c>
      <c r="B780" s="296" t="str">
        <f>IF(OR(AND(Parameter!$B$4=0,Parameter!$D$5="n"),INDEX(Data!$M$91:$M$190,MATCH("W5",Data!$A$91:$A$190,0))&gt;0,INDEX(Data!$N$91:$N$190,MATCH("W5",Data!$A$91:$A$190,0))&gt;0),"W5","W1")</f>
        <v>W5</v>
      </c>
      <c r="C780" s="78">
        <f>INDEX(Parameter!$9:$9,,MATCH(22,Parameter!$8:$8,0))</f>
        <v>22</v>
      </c>
      <c r="D780" s="78" t="str">
        <f>INDEX(Parameter!$B$10:$AB$10,MATCH(C780,Parameter!$B$9:$AB$9,0))</f>
        <v>no</v>
      </c>
      <c r="E780" s="78">
        <f>COUNTIF(Data!$DY$90:$IB$90,Specials!C780)</f>
        <v>0</v>
      </c>
      <c r="F780" s="78">
        <f ca="1">OFFSET(Data!$CS$91,MATCH("W1",Data!$A$91:$A$190,0)-1,MATCH(C780,Data!$CS$90:$DS$90,0)-1)</f>
        <v>0</v>
      </c>
      <c r="G780" s="78">
        <f ca="1">OFFSET(Data!$CS$91,MATCH($B780,Data!$A$91:$A$190,0)-1,MATCH(C780,Data!$CS$90:$DS$90,0)-1)</f>
        <v>0</v>
      </c>
      <c r="H780" s="78">
        <f t="shared" ca="1" si="52"/>
        <v>0</v>
      </c>
      <c r="I780" s="78">
        <f t="array" ref="I780">SUM(IF(Data!$A$91:$A$190=$B780,Data!$J$91:$M$190))-SUM(IF(Data!$A$91:$A$190="W1",Data!$J$91:$M$190))</f>
        <v>21</v>
      </c>
      <c r="K780" s="78" t="str">
        <f>INDEX(Data!$DT$91:$DT$190,MATCH($B780,Data!$A$91:$A$190,0))</f>
        <v>Wiltrud Derschmidt</v>
      </c>
      <c r="L780" s="78" t="str">
        <f t="shared" ca="1" si="53"/>
        <v>Best women took only 0 throws</v>
      </c>
      <c r="M780" s="78" t="s">
        <v>16</v>
      </c>
      <c r="N780" s="78" t="s">
        <v>255</v>
      </c>
      <c r="O780" s="78" t="e">
        <f t="shared" ca="1" si="54"/>
        <v>#VALUE!</v>
      </c>
      <c r="P780" s="78" t="str">
        <f t="shared" ca="1" si="55"/>
        <v/>
      </c>
    </row>
    <row r="781" spans="1:16" s="78" customFormat="1" hidden="1" x14ac:dyDescent="0.25">
      <c r="A781" s="78" t="s">
        <v>384</v>
      </c>
      <c r="B781" s="296" t="str">
        <f>IF(OR(AND(Parameter!$B$4=0,Parameter!$D$5="n"),INDEX(Data!$M$91:$M$190,MATCH("W5",Data!$A$91:$A$190,0))&gt;0,INDEX(Data!$N$91:$N$190,MATCH("W5",Data!$A$91:$A$190,0))&gt;0),"W5","W1")</f>
        <v>W5</v>
      </c>
      <c r="C781" s="78">
        <f>INDEX(Parameter!$9:$9,,MATCH(23,Parameter!$8:$8,0))</f>
        <v>23</v>
      </c>
      <c r="D781" s="78" t="str">
        <f>INDEX(Parameter!$B$10:$AB$10,MATCH(C781,Parameter!$B$9:$AB$9,0))</f>
        <v>no</v>
      </c>
      <c r="E781" s="78">
        <f>COUNTIF(Data!$DY$90:$IB$90,Specials!C781)</f>
        <v>0</v>
      </c>
      <c r="F781" s="78">
        <f ca="1">OFFSET(Data!$CS$91,MATCH("W1",Data!$A$91:$A$190,0)-1,MATCH(C781,Data!$CS$90:$DS$90,0)-1)</f>
        <v>0</v>
      </c>
      <c r="G781" s="78">
        <f ca="1">OFFSET(Data!$CS$91,MATCH($B781,Data!$A$91:$A$190,0)-1,MATCH(C781,Data!$CS$90:$DS$90,0)-1)</f>
        <v>0</v>
      </c>
      <c r="H781" s="78">
        <f t="shared" ca="1" si="52"/>
        <v>0</v>
      </c>
      <c r="I781" s="78">
        <f t="array" ref="I781">SUM(IF(Data!$A$91:$A$190=$B781,Data!$J$91:$M$190))-SUM(IF(Data!$A$91:$A$190="W1",Data!$J$91:$M$190))</f>
        <v>21</v>
      </c>
      <c r="K781" s="78" t="str">
        <f>INDEX(Data!$DT$91:$DT$190,MATCH($B781,Data!$A$91:$A$190,0))</f>
        <v>Wiltrud Derschmidt</v>
      </c>
      <c r="L781" s="78" t="str">
        <f t="shared" ca="1" si="53"/>
        <v>Best women took only 0 throws</v>
      </c>
      <c r="M781" s="78" t="s">
        <v>16</v>
      </c>
      <c r="N781" s="78" t="s">
        <v>255</v>
      </c>
      <c r="O781" s="78" t="e">
        <f t="shared" ca="1" si="54"/>
        <v>#VALUE!</v>
      </c>
      <c r="P781" s="78" t="str">
        <f t="shared" ca="1" si="55"/>
        <v/>
      </c>
    </row>
    <row r="782" spans="1:16" s="78" customFormat="1" hidden="1" x14ac:dyDescent="0.25">
      <c r="A782" s="78" t="s">
        <v>384</v>
      </c>
      <c r="B782" s="296" t="str">
        <f>IF(OR(AND(Parameter!$B$4=0,Parameter!$D$5="n"),INDEX(Data!$M$91:$M$190,MATCH("W5",Data!$A$91:$A$190,0))&gt;0,INDEX(Data!$N$91:$N$190,MATCH("W5",Data!$A$91:$A$190,0))&gt;0),"W5","W1")</f>
        <v>W5</v>
      </c>
      <c r="C782" s="78">
        <f>INDEX(Parameter!$9:$9,,MATCH(24,Parameter!$8:$8,0))</f>
        <v>24</v>
      </c>
      <c r="D782" s="78" t="str">
        <f>INDEX(Parameter!$B$10:$AB$10,MATCH(C782,Parameter!$B$9:$AB$9,0))</f>
        <v>no</v>
      </c>
      <c r="E782" s="78">
        <f>COUNTIF(Data!$DY$90:$IB$90,Specials!C782)</f>
        <v>0</v>
      </c>
      <c r="F782" s="78">
        <f ca="1">OFFSET(Data!$CS$91,MATCH("W1",Data!$A$91:$A$190,0)-1,MATCH(C782,Data!$CS$90:$DS$90,0)-1)</f>
        <v>0</v>
      </c>
      <c r="G782" s="78">
        <f ca="1">OFFSET(Data!$CS$91,MATCH($B782,Data!$A$91:$A$190,0)-1,MATCH(C782,Data!$CS$90:$DS$90,0)-1)</f>
        <v>0</v>
      </c>
      <c r="H782" s="78">
        <f t="shared" ca="1" si="52"/>
        <v>0</v>
      </c>
      <c r="I782" s="78">
        <f t="array" ref="I782">SUM(IF(Data!$A$91:$A$190=$B782,Data!$J$91:$M$190))-SUM(IF(Data!$A$91:$A$190="W1",Data!$J$91:$M$190))</f>
        <v>21</v>
      </c>
      <c r="K782" s="78" t="str">
        <f>INDEX(Data!$DT$91:$DT$190,MATCH($B782,Data!$A$91:$A$190,0))</f>
        <v>Wiltrud Derschmidt</v>
      </c>
      <c r="L782" s="78" t="str">
        <f t="shared" ca="1" si="53"/>
        <v>Best women took only 0 throws</v>
      </c>
      <c r="M782" s="78" t="s">
        <v>16</v>
      </c>
      <c r="N782" s="78" t="s">
        <v>255</v>
      </c>
      <c r="O782" s="78" t="e">
        <f t="shared" ca="1" si="54"/>
        <v>#VALUE!</v>
      </c>
      <c r="P782" s="78" t="str">
        <f t="shared" ca="1" si="55"/>
        <v/>
      </c>
    </row>
    <row r="783" spans="1:16" s="78" customFormat="1" hidden="1" x14ac:dyDescent="0.25">
      <c r="A783" s="78" t="s">
        <v>384</v>
      </c>
      <c r="B783" s="296" t="str">
        <f>IF(OR(AND(Parameter!$B$4=0,Parameter!$D$5="n"),INDEX(Data!$M$91:$M$190,MATCH("W5",Data!$A$91:$A$190,0))&gt;0,INDEX(Data!$N$91:$N$190,MATCH("W5",Data!$A$91:$A$190,0))&gt;0),"W5","W1")</f>
        <v>W5</v>
      </c>
      <c r="C783" s="78">
        <f>INDEX(Parameter!$9:$9,,MATCH(25,Parameter!$8:$8,0))</f>
        <v>25</v>
      </c>
      <c r="D783" s="78" t="str">
        <f>INDEX(Parameter!$B$10:$AB$10,MATCH(C783,Parameter!$B$9:$AB$9,0))</f>
        <v>no</v>
      </c>
      <c r="E783" s="78">
        <f>COUNTIF(Data!$DY$90:$IB$90,Specials!C783)</f>
        <v>0</v>
      </c>
      <c r="F783" s="78">
        <f ca="1">OFFSET(Data!$CS$91,MATCH("W1",Data!$A$91:$A$190,0)-1,MATCH(C783,Data!$CS$90:$DS$90,0)-1)</f>
        <v>0</v>
      </c>
      <c r="G783" s="78">
        <f ca="1">OFFSET(Data!$CS$91,MATCH($B783,Data!$A$91:$A$190,0)-1,MATCH(C783,Data!$CS$90:$DS$90,0)-1)</f>
        <v>0</v>
      </c>
      <c r="H783" s="78">
        <f t="shared" ca="1" si="52"/>
        <v>0</v>
      </c>
      <c r="I783" s="78">
        <f t="array" ref="I783">SUM(IF(Data!$A$91:$A$190=$B783,Data!$J$91:$M$190))-SUM(IF(Data!$A$91:$A$190="W1",Data!$J$91:$M$190))</f>
        <v>21</v>
      </c>
      <c r="K783" s="78" t="str">
        <f>INDEX(Data!$DT$91:$DT$190,MATCH($B783,Data!$A$91:$A$190,0))</f>
        <v>Wiltrud Derschmidt</v>
      </c>
      <c r="L783" s="78" t="str">
        <f t="shared" ca="1" si="53"/>
        <v>Best women took only 0 throws</v>
      </c>
      <c r="M783" s="78" t="s">
        <v>16</v>
      </c>
      <c r="N783" s="78" t="s">
        <v>255</v>
      </c>
      <c r="O783" s="78" t="e">
        <f t="shared" ca="1" si="54"/>
        <v>#VALUE!</v>
      </c>
      <c r="P783" s="78" t="str">
        <f t="shared" ca="1" si="55"/>
        <v/>
      </c>
    </row>
    <row r="784" spans="1:16" s="78" customFormat="1" hidden="1" x14ac:dyDescent="0.25">
      <c r="A784" s="78" t="s">
        <v>384</v>
      </c>
      <c r="B784" s="296" t="str">
        <f>IF(OR(AND(Parameter!$B$4=0,Parameter!$D$5="n"),INDEX(Data!$M$91:$M$190,MATCH("W5",Data!$A$91:$A$190,0))&gt;0,INDEX(Data!$N$91:$N$190,MATCH("W5",Data!$A$91:$A$190,0))&gt;0),"W5","W1")</f>
        <v>W5</v>
      </c>
      <c r="C784" s="78">
        <f>INDEX(Parameter!$9:$9,,MATCH(26,Parameter!$8:$8,0))</f>
        <v>26</v>
      </c>
      <c r="D784" s="78" t="str">
        <f>INDEX(Parameter!$B$10:$AB$10,MATCH(C784,Parameter!$B$9:$AB$9,0))</f>
        <v>no</v>
      </c>
      <c r="E784" s="78">
        <f>COUNTIF(Data!$DY$90:$IB$90,Specials!C784)</f>
        <v>0</v>
      </c>
      <c r="F784" s="78">
        <f ca="1">OFFSET(Data!$CS$91,MATCH("W1",Data!$A$91:$A$190,0)-1,MATCH(C784,Data!$CS$90:$DS$90,0)-1)</f>
        <v>0</v>
      </c>
      <c r="G784" s="78">
        <f ca="1">OFFSET(Data!$CS$91,MATCH($B784,Data!$A$91:$A$190,0)-1,MATCH(C784,Data!$CS$90:$DS$90,0)-1)</f>
        <v>0</v>
      </c>
      <c r="H784" s="78">
        <f t="shared" ca="1" si="52"/>
        <v>0</v>
      </c>
      <c r="I784" s="78">
        <f t="array" ref="I784">SUM(IF(Data!$A$91:$A$190=$B784,Data!$J$91:$M$190))-SUM(IF(Data!$A$91:$A$190="W1",Data!$J$91:$M$190))</f>
        <v>21</v>
      </c>
      <c r="K784" s="78" t="str">
        <f>INDEX(Data!$DT$91:$DT$190,MATCH($B784,Data!$A$91:$A$190,0))</f>
        <v>Wiltrud Derschmidt</v>
      </c>
      <c r="L784" s="78" t="str">
        <f t="shared" ca="1" si="53"/>
        <v>Best women took only 0 throws</v>
      </c>
      <c r="M784" s="78" t="s">
        <v>16</v>
      </c>
      <c r="N784" s="78" t="s">
        <v>255</v>
      </c>
      <c r="O784" s="78" t="e">
        <f t="shared" ca="1" si="54"/>
        <v>#VALUE!</v>
      </c>
      <c r="P784" s="78" t="str">
        <f t="shared" ca="1" si="55"/>
        <v/>
      </c>
    </row>
    <row r="785" spans="1:16" s="78" customFormat="1" hidden="1" x14ac:dyDescent="0.25">
      <c r="A785" s="78" t="s">
        <v>384</v>
      </c>
      <c r="B785" s="296" t="str">
        <f>IF(OR(AND(Parameter!$B$4=0,Parameter!$D$5="n"),INDEX(Data!$M$91:$M$190,MATCH("W5",Data!$A$91:$A$190,0))&gt;0,INDEX(Data!$N$91:$N$190,MATCH("W5",Data!$A$91:$A$190,0))&gt;0),"W5","W1")</f>
        <v>W5</v>
      </c>
      <c r="C785" s="78">
        <f>INDEX(Parameter!$9:$9,,MATCH(27,Parameter!$8:$8,0))</f>
        <v>27</v>
      </c>
      <c r="D785" s="78" t="str">
        <f>INDEX(Parameter!$B$10:$AB$10,MATCH(C785,Parameter!$B$9:$AB$9,0))</f>
        <v>no</v>
      </c>
      <c r="E785" s="78">
        <f>COUNTIF(Data!$DY$90:$IB$90,Specials!C785)</f>
        <v>0</v>
      </c>
      <c r="F785" s="78">
        <f ca="1">OFFSET(Data!$CS$91,MATCH("W1",Data!$A$91:$A$190,0)-1,MATCH(C785,Data!$CS$90:$DS$90,0)-1)</f>
        <v>0</v>
      </c>
      <c r="G785" s="78">
        <f ca="1">OFFSET(Data!$CS$91,MATCH($B785,Data!$A$91:$A$190,0)-1,MATCH(C785,Data!$CS$90:$DS$90,0)-1)</f>
        <v>0</v>
      </c>
      <c r="H785" s="78">
        <f t="shared" ca="1" si="52"/>
        <v>0</v>
      </c>
      <c r="I785" s="78">
        <f t="array" ref="I785">SUM(IF(Data!$A$91:$A$190=$B785,Data!$J$91:$M$190))-SUM(IF(Data!$A$91:$A$190="W1",Data!$J$91:$M$190))</f>
        <v>21</v>
      </c>
      <c r="K785" s="78" t="str">
        <f>INDEX(Data!$DT$91:$DT$190,MATCH($B785,Data!$A$91:$A$190,0))</f>
        <v>Wiltrud Derschmidt</v>
      </c>
      <c r="L785" s="78" t="str">
        <f t="shared" ca="1" si="53"/>
        <v>Best women took only 0 throws</v>
      </c>
      <c r="M785" s="78" t="s">
        <v>16</v>
      </c>
      <c r="N785" s="78" t="s">
        <v>255</v>
      </c>
      <c r="O785" s="78" t="e">
        <f t="shared" ca="1" si="54"/>
        <v>#VALUE!</v>
      </c>
      <c r="P785" s="78" t="str">
        <f t="shared" ca="1" si="55"/>
        <v/>
      </c>
    </row>
    <row r="786" spans="1:16" s="65" customFormat="1" ht="15" hidden="1" customHeight="1" x14ac:dyDescent="0.25">
      <c r="A786" s="65" t="s">
        <v>380</v>
      </c>
      <c r="B786" s="294"/>
      <c r="C786" s="65">
        <f>INDEX(Parameter!$9:$9,,MATCH(1,Parameter!$8:$8,0))</f>
        <v>1</v>
      </c>
      <c r="D786" s="65">
        <f>INDEX(Parameter!$B$10:$AB$10,MATCH(C786,Parameter!$B$9:$AB$9,0))</f>
        <v>3</v>
      </c>
      <c r="E786" s="65">
        <f>COUNTIF(Data!$DY$90:$IB$90,Specials!C786)</f>
        <v>2</v>
      </c>
      <c r="F786" s="65">
        <f ca="1">OFFSET(Data!$CS$91,MATCH("W1",Data!$A$91:$A$190,0)-1,MATCH(C786,Data!$CS$90:$DS$90,0)-1)</f>
        <v>7</v>
      </c>
      <c r="G786" s="65">
        <f t="array" aca="1" ref="G786" ca="1">SMALL(IF((Data!$AM$91:$AM$190&lt;&gt;0)*(Data!$DW$91:$DW$190="W")*(IF(Parameter!$B$4&gt;0,Data!$M$91:$M$190&lt;999,1)),OFFSET(Data!$CS$91:$CS$190,,MATCH(C786,Data!$CS$90:$DS$90,0)-1)),1)</f>
        <v>5</v>
      </c>
      <c r="H786" s="65">
        <f t="array" aca="1" ref="H786" ca="1">IF(AND(G786&lt;=F786-E786*1,G786&lt;&gt;0),SUM(IF((OFFSET(Data!$CS$91:$CS$190,,MATCH(C786,Data!$CS$90:$DS$90,0)-1)=Specials!G786)*(Data!$DW$91:$DW$190="W"),1)),0)</f>
        <v>1</v>
      </c>
      <c r="K786" s="65" t="str">
        <f t="array" aca="1" ref="K786" ca="1">IF(H786=1,INDEX(Data!$DT$91:$DT$190,MATCH(G786,(OFFSET(Data!$CS$91:$CS$190,,MATCH(C786,Data!$CS$90:$DS$90,0)-1))*(Data!$DW$91:$DW$190="W"),0)),H786&amp;" Players")</f>
        <v>Michaela Trimmel</v>
      </c>
      <c r="L786" s="65" t="str">
        <f ca="1">"Best women took "&amp;F786&amp;" throws"</f>
        <v>Best women took 7 throws</v>
      </c>
      <c r="M786" s="65" t="s">
        <v>16</v>
      </c>
      <c r="N786" s="65" t="s">
        <v>255</v>
      </c>
      <c r="O786" s="65" t="e">
        <f t="shared" ca="1" si="54"/>
        <v>#VALUE!</v>
      </c>
      <c r="P786" s="65" t="str">
        <f t="shared" ref="P786:P812" ca="1" si="56">IF(H786=1,"On hole "&amp;C786&amp;" (par "&amp;D786&amp;") "&amp;K786&amp;" played "&amp;F786-G786&amp;" throws better than best women ("&amp;$E786&amp;" rounds)","")</f>
        <v>On hole 1 (par 3) Michaela Trimmel played 2 throws better than best women (2 rounds)</v>
      </c>
    </row>
    <row r="787" spans="1:16" s="65" customFormat="1" x14ac:dyDescent="0.25">
      <c r="A787" s="65" t="s">
        <v>63</v>
      </c>
      <c r="B787" s="294" t="s">
        <v>240</v>
      </c>
      <c r="C787" s="65" t="s">
        <v>36</v>
      </c>
      <c r="D787" s="65" t="s">
        <v>241</v>
      </c>
      <c r="E787" s="65" t="s">
        <v>242</v>
      </c>
      <c r="F787" s="65" t="s">
        <v>243</v>
      </c>
      <c r="G787" s="65" t="s">
        <v>244</v>
      </c>
      <c r="H787" s="65" t="s">
        <v>245</v>
      </c>
      <c r="I787" s="65" t="s">
        <v>246</v>
      </c>
      <c r="J787" s="65" t="s">
        <v>247</v>
      </c>
      <c r="L787" s="65" t="s">
        <v>248</v>
      </c>
      <c r="M787" s="65" t="s">
        <v>249</v>
      </c>
      <c r="N787" s="65" t="s">
        <v>250</v>
      </c>
      <c r="O787" s="65" t="s">
        <v>251</v>
      </c>
      <c r="P787" s="65" t="s">
        <v>252</v>
      </c>
    </row>
    <row r="788" spans="1:16" s="65" customFormat="1" hidden="1" x14ac:dyDescent="0.25">
      <c r="A788" s="65" t="s">
        <v>380</v>
      </c>
      <c r="B788" s="294"/>
      <c r="C788" s="65">
        <f>INDEX(Parameter!$9:$9,,MATCH(3,Parameter!$8:$8,0))</f>
        <v>3</v>
      </c>
      <c r="D788" s="65">
        <f>INDEX(Parameter!$B$10:$AB$10,MATCH(C788,Parameter!$B$9:$AB$9,0))</f>
        <v>3</v>
      </c>
      <c r="E788" s="65">
        <f>COUNTIF(Data!$DY$90:$IB$90,Specials!C788)</f>
        <v>2</v>
      </c>
      <c r="F788" s="65">
        <f ca="1">OFFSET(Data!$CS$91,MATCH("W1",Data!$A$91:$A$190,0)-1,MATCH(C788,Data!$CS$90:$DS$90,0)-1)</f>
        <v>8</v>
      </c>
      <c r="G788" s="65">
        <f t="array" aca="1" ref="G788" ca="1">SMALL(IF((Data!$AM$91:$AM$190&lt;&gt;0)*(Data!$DW$91:$DW$190="W")*(IF(Parameter!$B$4&gt;0,Data!$M$91:$M$190&lt;999,1)),OFFSET(Data!$CS$91:$CS$190,,MATCH(C788,Data!$CS$90:$DS$90,0)-1)),1)</f>
        <v>6</v>
      </c>
      <c r="H788" s="65">
        <f t="array" aca="1" ref="H788" ca="1">IF(AND(G788&lt;=F788-E788*1,G788&lt;&gt;0),SUM(IF((OFFSET(Data!$CS$91:$CS$190,,MATCH(C788,Data!$CS$90:$DS$90,0)-1)=Specials!G788)*(Data!$DW$91:$DW$190="W"),1)),0)</f>
        <v>1</v>
      </c>
      <c r="K788" s="65" t="str">
        <f t="array" aca="1" ref="K788" ca="1">IF(H788=1,INDEX(Data!$DT$91:$DT$190,MATCH(G788,(OFFSET(Data!$CS$91:$CS$190,,MATCH(C788,Data!$CS$90:$DS$90,0)-1))*(Data!$DW$91:$DW$190="W"),0)),H788&amp;" Players")</f>
        <v>Wiltrud Derschmidt</v>
      </c>
      <c r="L788" s="65" t="str">
        <f t="shared" ref="L787:L812" ca="1" si="57">"Best women took "&amp;F788&amp;" throws"</f>
        <v>Best women took 8 throws</v>
      </c>
      <c r="M788" s="65" t="s">
        <v>16</v>
      </c>
      <c r="N788" s="65" t="s">
        <v>255</v>
      </c>
      <c r="O788" s="65" t="e">
        <f t="shared" ca="1" si="54"/>
        <v>#VALUE!</v>
      </c>
      <c r="P788" s="65" t="str">
        <f t="shared" ca="1" si="56"/>
        <v>On hole 3 (par 3) Wiltrud Derschmidt played 2 throws better than best women (2 rounds)</v>
      </c>
    </row>
    <row r="789" spans="1:16" s="65" customFormat="1" hidden="1" x14ac:dyDescent="0.25">
      <c r="A789" s="65" t="s">
        <v>380</v>
      </c>
      <c r="B789" s="294"/>
      <c r="C789" s="65">
        <f>INDEX(Parameter!$9:$9,,MATCH(4,Parameter!$8:$8,0))</f>
        <v>4</v>
      </c>
      <c r="D789" s="65">
        <f>INDEX(Parameter!$B$10:$AB$10,MATCH(C789,Parameter!$B$9:$AB$9,0))</f>
        <v>3</v>
      </c>
      <c r="E789" s="65">
        <f>COUNTIF(Data!$DY$90:$IB$90,Specials!C789)</f>
        <v>2</v>
      </c>
      <c r="F789" s="65">
        <f ca="1">OFFSET(Data!$CS$91,MATCH("W1",Data!$A$91:$A$190,0)-1,MATCH(C789,Data!$CS$90:$DS$90,0)-1)</f>
        <v>7</v>
      </c>
      <c r="G789" s="65">
        <f t="array" aca="1" ref="G789" ca="1">SMALL(IF((Data!$AM$91:$AM$190&lt;&gt;0)*(Data!$DW$91:$DW$190="W")*(IF(Parameter!$B$4&gt;0,Data!$M$91:$M$190&lt;999,1)),OFFSET(Data!$CS$91:$CS$190,,MATCH(C789,Data!$CS$90:$DS$90,0)-1)),1)</f>
        <v>5</v>
      </c>
      <c r="H789" s="65">
        <f t="array" aca="1" ref="H789" ca="1">IF(AND(G789&lt;=F789-E789*1,G789&lt;&gt;0),SUM(IF((OFFSET(Data!$CS$91:$CS$190,,MATCH(C789,Data!$CS$90:$DS$90,0)-1)=Specials!G789)*(Data!$DW$91:$DW$190="W"),1)),0)</f>
        <v>1</v>
      </c>
      <c r="K789" s="65" t="str">
        <f t="array" aca="1" ref="K789" ca="1">IF(H789=1,INDEX(Data!$DT$91:$DT$190,MATCH(G789,(OFFSET(Data!$CS$91:$CS$190,,MATCH(C789,Data!$CS$90:$DS$90,0)-1))*(Data!$DW$91:$DW$190="W"),0)),H789&amp;" Players")</f>
        <v>Wiltrud Derschmidt</v>
      </c>
      <c r="L789" s="65" t="str">
        <f t="shared" ca="1" si="57"/>
        <v>Best women took 7 throws</v>
      </c>
      <c r="M789" s="65" t="s">
        <v>16</v>
      </c>
      <c r="N789" s="65" t="s">
        <v>255</v>
      </c>
      <c r="O789" s="65" t="e">
        <f t="shared" ca="1" si="54"/>
        <v>#VALUE!</v>
      </c>
      <c r="P789" s="65" t="str">
        <f t="shared" ca="1" si="56"/>
        <v>On hole 4 (par 3) Wiltrud Derschmidt played 2 throws better than best women (2 rounds)</v>
      </c>
    </row>
    <row r="790" spans="1:16" s="65" customFormat="1" hidden="1" x14ac:dyDescent="0.25">
      <c r="A790" s="65" t="s">
        <v>380</v>
      </c>
      <c r="B790" s="294"/>
      <c r="C790" s="65">
        <f>INDEX(Parameter!$9:$9,,MATCH(5,Parameter!$8:$8,0))</f>
        <v>5</v>
      </c>
      <c r="D790" s="65">
        <f>INDEX(Parameter!$B$10:$AB$10,MATCH(C790,Parameter!$B$9:$AB$9,0))</f>
        <v>4</v>
      </c>
      <c r="E790" s="65">
        <f>COUNTIF(Data!$DY$90:$IB$90,Specials!C790)</f>
        <v>2</v>
      </c>
      <c r="F790" s="65">
        <f ca="1">OFFSET(Data!$CS$91,MATCH("W1",Data!$A$91:$A$190,0)-1,MATCH(C790,Data!$CS$90:$DS$90,0)-1)</f>
        <v>8</v>
      </c>
      <c r="G790" s="65">
        <f t="array" aca="1" ref="G790" ca="1">SMALL(IF((Data!$AM$91:$AM$190&lt;&gt;0)*(Data!$DW$91:$DW$190="W")*(IF(Parameter!$B$4&gt;0,Data!$M$91:$M$190&lt;999,1)),OFFSET(Data!$CS$91:$CS$190,,MATCH(C790,Data!$CS$90:$DS$90,0)-1)),1)</f>
        <v>8</v>
      </c>
      <c r="H790" s="65">
        <f t="array" aca="1" ref="H790" ca="1">IF(AND(G790&lt;=F790-E790*1,G790&lt;&gt;0),SUM(IF((OFFSET(Data!$CS$91:$CS$190,,MATCH(C790,Data!$CS$90:$DS$90,0)-1)=Specials!G790)*(Data!$DW$91:$DW$190="W"),1)),0)</f>
        <v>0</v>
      </c>
      <c r="K790" s="65" t="str">
        <f t="array" aca="1" ref="K790" ca="1">IF(H790=1,INDEX(Data!$DT$91:$DT$190,MATCH(G790,(OFFSET(Data!$CS$91:$CS$190,,MATCH(C790,Data!$CS$90:$DS$90,0)-1))*(Data!$DW$91:$DW$190="W"),0)),H790&amp;" Players")</f>
        <v>0 Players</v>
      </c>
      <c r="L790" s="65" t="str">
        <f t="shared" ca="1" si="57"/>
        <v>Best women took 8 throws</v>
      </c>
      <c r="M790" s="65" t="s">
        <v>16</v>
      </c>
      <c r="N790" s="65" t="s">
        <v>255</v>
      </c>
      <c r="O790" s="65" t="e">
        <f t="shared" ca="1" si="54"/>
        <v>#VALUE!</v>
      </c>
      <c r="P790" s="65" t="str">
        <f t="shared" ca="1" si="56"/>
        <v/>
      </c>
    </row>
    <row r="791" spans="1:16" s="65" customFormat="1" hidden="1" x14ac:dyDescent="0.25">
      <c r="A791" s="65" t="s">
        <v>380</v>
      </c>
      <c r="B791" s="294"/>
      <c r="C791" s="65">
        <f>INDEX(Parameter!$9:$9,,MATCH(6,Parameter!$8:$8,0))</f>
        <v>6</v>
      </c>
      <c r="D791" s="65">
        <f>INDEX(Parameter!$B$10:$AB$10,MATCH(C791,Parameter!$B$9:$AB$9,0))</f>
        <v>3</v>
      </c>
      <c r="E791" s="65">
        <f>COUNTIF(Data!$DY$90:$IB$90,Specials!C791)</f>
        <v>2</v>
      </c>
      <c r="F791" s="65">
        <f ca="1">OFFSET(Data!$CS$91,MATCH("W1",Data!$A$91:$A$190,0)-1,MATCH(C791,Data!$CS$90:$DS$90,0)-1)</f>
        <v>7</v>
      </c>
      <c r="G791" s="65">
        <f t="array" aca="1" ref="G791" ca="1">SMALL(IF((Data!$AM$91:$AM$190&lt;&gt;0)*(Data!$DW$91:$DW$190="W")*(IF(Parameter!$B$4&gt;0,Data!$M$91:$M$190&lt;999,1)),OFFSET(Data!$CS$91:$CS$190,,MATCH(C791,Data!$CS$90:$DS$90,0)-1)),1)</f>
        <v>7</v>
      </c>
      <c r="H791" s="65">
        <f t="array" aca="1" ref="H791" ca="1">IF(AND(G791&lt;=F791-E791*1,G791&lt;&gt;0),SUM(IF((OFFSET(Data!$CS$91:$CS$190,,MATCH(C791,Data!$CS$90:$DS$90,0)-1)=Specials!G791)*(Data!$DW$91:$DW$190="W"),1)),0)</f>
        <v>0</v>
      </c>
      <c r="K791" s="65" t="str">
        <f t="array" aca="1" ref="K791" ca="1">IF(H791=1,INDEX(Data!$DT$91:$DT$190,MATCH(G791,(OFFSET(Data!$CS$91:$CS$190,,MATCH(C791,Data!$CS$90:$DS$90,0)-1))*(Data!$DW$91:$DW$190="W"),0)),H791&amp;" Players")</f>
        <v>0 Players</v>
      </c>
      <c r="L791" s="65" t="str">
        <f t="shared" ca="1" si="57"/>
        <v>Best women took 7 throws</v>
      </c>
      <c r="M791" s="65" t="s">
        <v>16</v>
      </c>
      <c r="N791" s="65" t="s">
        <v>255</v>
      </c>
      <c r="O791" s="65" t="e">
        <f t="shared" ca="1" si="54"/>
        <v>#VALUE!</v>
      </c>
      <c r="P791" s="65" t="str">
        <f t="shared" ca="1" si="56"/>
        <v/>
      </c>
    </row>
    <row r="792" spans="1:16" s="65" customFormat="1" hidden="1" x14ac:dyDescent="0.25">
      <c r="A792" s="65" t="s">
        <v>380</v>
      </c>
      <c r="B792" s="294"/>
      <c r="C792" s="65">
        <f>INDEX(Parameter!$9:$9,,MATCH(7,Parameter!$8:$8,0))</f>
        <v>7</v>
      </c>
      <c r="D792" s="65">
        <f>INDEX(Parameter!$B$10:$AB$10,MATCH(C792,Parameter!$B$9:$AB$9,0))</f>
        <v>3</v>
      </c>
      <c r="E792" s="65">
        <f>COUNTIF(Data!$DY$90:$IB$90,Specials!C792)</f>
        <v>2</v>
      </c>
      <c r="F792" s="65">
        <f ca="1">OFFSET(Data!$CS$91,MATCH("W1",Data!$A$91:$A$190,0)-1,MATCH(C792,Data!$CS$90:$DS$90,0)-1)</f>
        <v>6</v>
      </c>
      <c r="G792" s="65">
        <f t="array" aca="1" ref="G792" ca="1">SMALL(IF((Data!$AM$91:$AM$190&lt;&gt;0)*(Data!$DW$91:$DW$190="W")*(IF(Parameter!$B$4&gt;0,Data!$M$91:$M$190&lt;999,1)),OFFSET(Data!$CS$91:$CS$190,,MATCH(C792,Data!$CS$90:$DS$90,0)-1)),1)</f>
        <v>6</v>
      </c>
      <c r="H792" s="65">
        <f t="array" aca="1" ref="H792" ca="1">IF(AND(G792&lt;=F792-E792*1,G792&lt;&gt;0),SUM(IF((OFFSET(Data!$CS$91:$CS$190,,MATCH(C792,Data!$CS$90:$DS$90,0)-1)=Specials!G792)*(Data!$DW$91:$DW$190="W"),1)),0)</f>
        <v>0</v>
      </c>
      <c r="K792" s="65" t="str">
        <f t="array" aca="1" ref="K792" ca="1">IF(H792=1,INDEX(Data!$DT$91:$DT$190,MATCH(G792,(OFFSET(Data!$CS$91:$CS$190,,MATCH(C792,Data!$CS$90:$DS$90,0)-1))*(Data!$DW$91:$DW$190="W"),0)),H792&amp;" Players")</f>
        <v>0 Players</v>
      </c>
      <c r="L792" s="65" t="str">
        <f t="shared" ca="1" si="57"/>
        <v>Best women took 6 throws</v>
      </c>
      <c r="M792" s="65" t="s">
        <v>16</v>
      </c>
      <c r="N792" s="65" t="s">
        <v>255</v>
      </c>
      <c r="O792" s="65" t="e">
        <f t="shared" ca="1" si="54"/>
        <v>#VALUE!</v>
      </c>
      <c r="P792" s="65" t="str">
        <f t="shared" ca="1" si="56"/>
        <v/>
      </c>
    </row>
    <row r="793" spans="1:16" s="65" customFormat="1" hidden="1" x14ac:dyDescent="0.25">
      <c r="A793" s="65" t="s">
        <v>380</v>
      </c>
      <c r="B793" s="294"/>
      <c r="C793" s="65">
        <f>INDEX(Parameter!$9:$9,,MATCH(8,Parameter!$8:$8,0))</f>
        <v>8</v>
      </c>
      <c r="D793" s="65">
        <f>INDEX(Parameter!$B$10:$AB$10,MATCH(C793,Parameter!$B$9:$AB$9,0))</f>
        <v>3</v>
      </c>
      <c r="E793" s="65">
        <f>COUNTIF(Data!$DY$90:$IB$90,Specials!C793)</f>
        <v>2</v>
      </c>
      <c r="F793" s="65">
        <f ca="1">OFFSET(Data!$CS$91,MATCH("W1",Data!$A$91:$A$190,0)-1,MATCH(C793,Data!$CS$90:$DS$90,0)-1)</f>
        <v>6</v>
      </c>
      <c r="G793" s="65">
        <f t="array" aca="1" ref="G793" ca="1">SMALL(IF((Data!$AM$91:$AM$190&lt;&gt;0)*(Data!$DW$91:$DW$190="W")*(IF(Parameter!$B$4&gt;0,Data!$M$91:$M$190&lt;999,1)),OFFSET(Data!$CS$91:$CS$190,,MATCH(C793,Data!$CS$90:$DS$90,0)-1)),1)</f>
        <v>6</v>
      </c>
      <c r="H793" s="65">
        <f t="array" aca="1" ref="H793" ca="1">IF(AND(G793&lt;=F793-E793*1,G793&lt;&gt;0),SUM(IF((OFFSET(Data!$CS$91:$CS$190,,MATCH(C793,Data!$CS$90:$DS$90,0)-1)=Specials!G793)*(Data!$DW$91:$DW$190="W"),1)),0)</f>
        <v>0</v>
      </c>
      <c r="K793" s="65" t="str">
        <f t="array" aca="1" ref="K793" ca="1">IF(H793=1,INDEX(Data!$DT$91:$DT$190,MATCH(G793,(OFFSET(Data!$CS$91:$CS$190,,MATCH(C793,Data!$CS$90:$DS$90,0)-1))*(Data!$DW$91:$DW$190="W"),0)),H793&amp;" Players")</f>
        <v>0 Players</v>
      </c>
      <c r="L793" s="65" t="str">
        <f t="shared" ca="1" si="57"/>
        <v>Best women took 6 throws</v>
      </c>
      <c r="M793" s="65" t="s">
        <v>16</v>
      </c>
      <c r="N793" s="65" t="s">
        <v>255</v>
      </c>
      <c r="O793" s="65" t="e">
        <f t="shared" ca="1" si="54"/>
        <v>#VALUE!</v>
      </c>
      <c r="P793" s="65" t="str">
        <f t="shared" ca="1" si="56"/>
        <v/>
      </c>
    </row>
    <row r="794" spans="1:16" s="65" customFormat="1" x14ac:dyDescent="0.25">
      <c r="A794" s="65" t="s">
        <v>63</v>
      </c>
      <c r="B794" s="294" t="s">
        <v>258</v>
      </c>
      <c r="C794" s="65" t="s">
        <v>258</v>
      </c>
      <c r="D794" s="65" t="s">
        <v>224</v>
      </c>
      <c r="E794" s="65" t="s">
        <v>225</v>
      </c>
      <c r="F794" s="65" t="s">
        <v>225</v>
      </c>
      <c r="G794" s="65" t="s">
        <v>226</v>
      </c>
      <c r="H794" s="65" t="s">
        <v>226</v>
      </c>
      <c r="I794" s="65" t="s">
        <v>58</v>
      </c>
      <c r="J794" s="65" t="s">
        <v>374</v>
      </c>
      <c r="K794" s="65" t="s">
        <v>60</v>
      </c>
      <c r="L794" s="65" t="s">
        <v>102</v>
      </c>
      <c r="M794" s="65" t="s">
        <v>102</v>
      </c>
      <c r="N794" s="65" t="s">
        <v>103</v>
      </c>
      <c r="O794" s="65" t="s">
        <v>103</v>
      </c>
      <c r="P794" s="65" t="s">
        <v>104</v>
      </c>
    </row>
    <row r="795" spans="1:16" s="65" customFormat="1" hidden="1" x14ac:dyDescent="0.25">
      <c r="A795" s="65" t="s">
        <v>380</v>
      </c>
      <c r="B795" s="294"/>
      <c r="C795" s="65">
        <f>INDEX(Parameter!$9:$9,,MATCH(10,Parameter!$8:$8,0))</f>
        <v>10</v>
      </c>
      <c r="D795" s="65">
        <f>INDEX(Parameter!$B$10:$AB$10,MATCH(C795,Parameter!$B$9:$AB$9,0))</f>
        <v>4</v>
      </c>
      <c r="E795" s="65">
        <f>COUNTIF(Data!$DY$90:$IB$90,Specials!C795)</f>
        <v>2</v>
      </c>
      <c r="F795" s="65">
        <f ca="1">OFFSET(Data!$CS$91,MATCH("W1",Data!$A$91:$A$190,0)-1,MATCH(C795,Data!$CS$90:$DS$90,0)-1)</f>
        <v>8</v>
      </c>
      <c r="G795" s="65">
        <f t="array" aca="1" ref="G795" ca="1">SMALL(IF((Data!$AM$91:$AM$190&lt;&gt;0)*(Data!$DW$91:$DW$190="W")*(IF(Parameter!$B$4&gt;0,Data!$M$91:$M$190&lt;999,1)),OFFSET(Data!$CS$91:$CS$190,,MATCH(C795,Data!$CS$90:$DS$90,0)-1)),1)</f>
        <v>8</v>
      </c>
      <c r="H795" s="65">
        <f t="array" aca="1" ref="H795" ca="1">IF(AND(G795&lt;=F795-E795*1,G795&lt;&gt;0),SUM(IF((OFFSET(Data!$CS$91:$CS$190,,MATCH(C795,Data!$CS$90:$DS$90,0)-1)=Specials!G795)*(Data!$DW$91:$DW$190="W"),1)),0)</f>
        <v>0</v>
      </c>
      <c r="K795" s="65" t="str">
        <f t="array" aca="1" ref="K795" ca="1">IF(H795=1,INDEX(Data!$DT$91:$DT$190,MATCH(G795,(OFFSET(Data!$CS$91:$CS$190,,MATCH(C795,Data!$CS$90:$DS$90,0)-1))*(Data!$DW$91:$DW$190="W"),0)),H795&amp;" Players")</f>
        <v>0 Players</v>
      </c>
      <c r="L795" s="65" t="str">
        <f t="shared" ca="1" si="57"/>
        <v>Best women took 8 throws</v>
      </c>
      <c r="M795" s="65" t="s">
        <v>16</v>
      </c>
      <c r="N795" s="65" t="s">
        <v>255</v>
      </c>
      <c r="O795" s="65" t="str">
        <f t="shared" ca="1" si="54"/>
        <v># Triple-Bogeys</v>
      </c>
      <c r="P795" s="65" t="str">
        <f t="shared" ca="1" si="56"/>
        <v/>
      </c>
    </row>
    <row r="796" spans="1:16" s="65" customFormat="1" hidden="1" x14ac:dyDescent="0.25">
      <c r="A796" s="65" t="s">
        <v>380</v>
      </c>
      <c r="B796" s="294"/>
      <c r="C796" s="65">
        <f>INDEX(Parameter!$9:$9,,MATCH(11,Parameter!$8:$8,0))</f>
        <v>11</v>
      </c>
      <c r="D796" s="65">
        <f>INDEX(Parameter!$B$10:$AB$10,MATCH(C796,Parameter!$B$9:$AB$9,0))</f>
        <v>4</v>
      </c>
      <c r="E796" s="65">
        <f>COUNTIF(Data!$DY$90:$IB$90,Specials!C796)</f>
        <v>2</v>
      </c>
      <c r="F796" s="65">
        <f ca="1">OFFSET(Data!$CS$91,MATCH("W1",Data!$A$91:$A$190,0)-1,MATCH(C796,Data!$CS$90:$DS$90,0)-1)</f>
        <v>10</v>
      </c>
      <c r="G796" s="65">
        <f t="array" aca="1" ref="G796" ca="1">SMALL(IF((Data!$AM$91:$AM$190&lt;&gt;0)*(Data!$DW$91:$DW$190="W")*(IF(Parameter!$B$4&gt;0,Data!$M$91:$M$190&lt;999,1)),OFFSET(Data!$CS$91:$CS$190,,MATCH(C796,Data!$CS$90:$DS$90,0)-1)),1)</f>
        <v>10</v>
      </c>
      <c r="H796" s="65">
        <f t="array" aca="1" ref="H796" ca="1">IF(AND(G796&lt;=F796-E796*1,G796&lt;&gt;0),SUM(IF((OFFSET(Data!$CS$91:$CS$190,,MATCH(C796,Data!$CS$90:$DS$90,0)-1)=Specials!G796)*(Data!$DW$91:$DW$190="W"),1)),0)</f>
        <v>0</v>
      </c>
      <c r="K796" s="65" t="str">
        <f t="array" aca="1" ref="K796" ca="1">IF(H796=1,INDEX(Data!$DT$91:$DT$190,MATCH(G796,(OFFSET(Data!$CS$91:$CS$190,,MATCH(C796,Data!$CS$90:$DS$90,0)-1))*(Data!$DW$91:$DW$190="W"),0)),H796&amp;" Players")</f>
        <v>0 Players</v>
      </c>
      <c r="L796" s="65" t="str">
        <f t="shared" ca="1" si="57"/>
        <v>Best women took 10 throws</v>
      </c>
      <c r="M796" s="65" t="s">
        <v>16</v>
      </c>
      <c r="N796" s="65" t="s">
        <v>255</v>
      </c>
      <c r="O796" s="65" t="str">
        <f t="shared" ca="1" si="54"/>
        <v># Triple-Bogeys</v>
      </c>
      <c r="P796" s="65" t="str">
        <f t="shared" ca="1" si="56"/>
        <v/>
      </c>
    </row>
    <row r="797" spans="1:16" s="65" customFormat="1" hidden="1" x14ac:dyDescent="0.25">
      <c r="A797" s="65" t="s">
        <v>380</v>
      </c>
      <c r="B797" s="294"/>
      <c r="C797" s="65" t="str">
        <f>INDEX(Parameter!$9:$9,,MATCH(12,Parameter!$8:$8,0))</f>
        <v>11b</v>
      </c>
      <c r="D797" s="65">
        <f>INDEX(Parameter!$B$10:$AB$10,MATCH(C797,Parameter!$B$9:$AB$9,0))</f>
        <v>3</v>
      </c>
      <c r="E797" s="65">
        <f>COUNTIF(Data!$DY$90:$IB$90,Specials!C797)</f>
        <v>2</v>
      </c>
      <c r="F797" s="65">
        <f ca="1">OFFSET(Data!$CS$91,MATCH("W1",Data!$A$91:$A$190,0)-1,MATCH(C797,Data!$CS$90:$DS$90,0)-1)</f>
        <v>6</v>
      </c>
      <c r="G797" s="65">
        <f t="array" aca="1" ref="G797" ca="1">SMALL(IF((Data!$AM$91:$AM$190&lt;&gt;0)*(Data!$DW$91:$DW$190="W")*(IF(Parameter!$B$4&gt;0,Data!$M$91:$M$190&lt;999,1)),OFFSET(Data!$CS$91:$CS$190,,MATCH(C797,Data!$CS$90:$DS$90,0)-1)),1)</f>
        <v>6</v>
      </c>
      <c r="H797" s="65">
        <f t="array" aca="1" ref="H797" ca="1">IF(AND(G797&lt;=F797-E797*1,G797&lt;&gt;0),SUM(IF((OFFSET(Data!$CS$91:$CS$190,,MATCH(C797,Data!$CS$90:$DS$90,0)-1)=Specials!G797)*(Data!$DW$91:$DW$190="W"),1)),0)</f>
        <v>0</v>
      </c>
      <c r="K797" s="65" t="str">
        <f t="array" aca="1" ref="K797" ca="1">IF(H797=1,INDEX(Data!$DT$91:$DT$190,MATCH(G797,(OFFSET(Data!$CS$91:$CS$190,,MATCH(C797,Data!$CS$90:$DS$90,0)-1))*(Data!$DW$91:$DW$190="W"),0)),H797&amp;" Players")</f>
        <v>0 Players</v>
      </c>
      <c r="L797" s="65" t="str">
        <f t="shared" ca="1" si="57"/>
        <v>Best women took 6 throws</v>
      </c>
      <c r="M797" s="65" t="s">
        <v>16</v>
      </c>
      <c r="N797" s="65" t="s">
        <v>255</v>
      </c>
      <c r="O797" s="65" t="str">
        <f t="shared" ca="1" si="54"/>
        <v># Triple-Bogeys</v>
      </c>
      <c r="P797" s="65" t="str">
        <f t="shared" ca="1" si="56"/>
        <v/>
      </c>
    </row>
    <row r="798" spans="1:16" s="65" customFormat="1" hidden="1" x14ac:dyDescent="0.25">
      <c r="A798" s="65" t="s">
        <v>380</v>
      </c>
      <c r="B798" s="294"/>
      <c r="C798" s="65">
        <f>INDEX(Parameter!$9:$9,,MATCH(13,Parameter!$8:$8,0))</f>
        <v>12</v>
      </c>
      <c r="D798" s="65">
        <f>INDEX(Parameter!$B$10:$AB$10,MATCH(C798,Parameter!$B$9:$AB$9,0))</f>
        <v>3</v>
      </c>
      <c r="E798" s="65">
        <f>COUNTIF(Data!$DY$90:$IB$90,Specials!C798)</f>
        <v>2</v>
      </c>
      <c r="F798" s="65">
        <f ca="1">OFFSET(Data!$CS$91,MATCH("W1",Data!$A$91:$A$190,0)-1,MATCH(C798,Data!$CS$90:$DS$90,0)-1)</f>
        <v>6</v>
      </c>
      <c r="G798" s="65">
        <f t="array" aca="1" ref="G798" ca="1">SMALL(IF((Data!$AM$91:$AM$190&lt;&gt;0)*(Data!$DW$91:$DW$190="W")*(IF(Parameter!$B$4&gt;0,Data!$M$91:$M$190&lt;999,1)),OFFSET(Data!$CS$91:$CS$190,,MATCH(C798,Data!$CS$90:$DS$90,0)-1)),1)</f>
        <v>5</v>
      </c>
      <c r="H798" s="65">
        <f t="array" aca="1" ref="H798" ca="1">IF(AND(G798&lt;=F798-E798*1,G798&lt;&gt;0),SUM(IF((OFFSET(Data!$CS$91:$CS$190,,MATCH(C798,Data!$CS$90:$DS$90,0)-1)=Specials!G798)*(Data!$DW$91:$DW$190="W"),1)),0)</f>
        <v>0</v>
      </c>
      <c r="K798" s="65" t="str">
        <f t="array" aca="1" ref="K798" ca="1">IF(H798=1,INDEX(Data!$DT$91:$DT$190,MATCH(G798,(OFFSET(Data!$CS$91:$CS$190,,MATCH(C798,Data!$CS$90:$DS$90,0)-1))*(Data!$DW$91:$DW$190="W"),0)),H798&amp;" Players")</f>
        <v>0 Players</v>
      </c>
      <c r="L798" s="65" t="str">
        <f t="shared" ca="1" si="57"/>
        <v>Best women took 6 throws</v>
      </c>
      <c r="M798" s="65" t="s">
        <v>16</v>
      </c>
      <c r="N798" s="65" t="s">
        <v>255</v>
      </c>
      <c r="O798" s="65" t="str">
        <f t="shared" ca="1" si="54"/>
        <v># Triple-Bogeys</v>
      </c>
      <c r="P798" s="65" t="str">
        <f t="shared" ca="1" si="56"/>
        <v/>
      </c>
    </row>
    <row r="799" spans="1:16" s="65" customFormat="1" hidden="1" x14ac:dyDescent="0.25">
      <c r="A799" s="65" t="s">
        <v>380</v>
      </c>
      <c r="B799" s="294"/>
      <c r="C799" s="65">
        <f>INDEX(Parameter!$9:$9,,MATCH(14,Parameter!$8:$8,0))</f>
        <v>13</v>
      </c>
      <c r="D799" s="65">
        <f>INDEX(Parameter!$B$10:$AB$10,MATCH(C799,Parameter!$B$9:$AB$9,0))</f>
        <v>3</v>
      </c>
      <c r="E799" s="65">
        <f>COUNTIF(Data!$DY$90:$IB$90,Specials!C799)</f>
        <v>2</v>
      </c>
      <c r="F799" s="65">
        <f ca="1">OFFSET(Data!$CS$91,MATCH("W1",Data!$A$91:$A$190,0)-1,MATCH(C799,Data!$CS$90:$DS$90,0)-1)</f>
        <v>7</v>
      </c>
      <c r="G799" s="65">
        <f t="array" aca="1" ref="G799" ca="1">SMALL(IF((Data!$AM$91:$AM$190&lt;&gt;0)*(Data!$DW$91:$DW$190="W")*(IF(Parameter!$B$4&gt;0,Data!$M$91:$M$190&lt;999,1)),OFFSET(Data!$CS$91:$CS$190,,MATCH(C799,Data!$CS$90:$DS$90,0)-1)),1)</f>
        <v>6</v>
      </c>
      <c r="H799" s="65">
        <f t="array" aca="1" ref="H799" ca="1">IF(AND(G799&lt;=F799-E799*1,G799&lt;&gt;0),SUM(IF((OFFSET(Data!$CS$91:$CS$190,,MATCH(C799,Data!$CS$90:$DS$90,0)-1)=Specials!G799)*(Data!$DW$91:$DW$190="W"),1)),0)</f>
        <v>0</v>
      </c>
      <c r="K799" s="65" t="str">
        <f t="array" aca="1" ref="K799" ca="1">IF(H799=1,INDEX(Data!$DT$91:$DT$190,MATCH(G799,(OFFSET(Data!$CS$91:$CS$190,,MATCH(C799,Data!$CS$90:$DS$90,0)-1))*(Data!$DW$91:$DW$190="W"),0)),H799&amp;" Players")</f>
        <v>0 Players</v>
      </c>
      <c r="L799" s="65" t="str">
        <f t="shared" ca="1" si="57"/>
        <v>Best women took 7 throws</v>
      </c>
      <c r="M799" s="65" t="s">
        <v>16</v>
      </c>
      <c r="N799" s="65" t="s">
        <v>255</v>
      </c>
      <c r="O799" s="65" t="str">
        <f t="shared" ca="1" si="54"/>
        <v># Triple-Bogeys</v>
      </c>
      <c r="P799" s="65" t="str">
        <f t="shared" ca="1" si="56"/>
        <v/>
      </c>
    </row>
    <row r="800" spans="1:16" s="65" customFormat="1" hidden="1" x14ac:dyDescent="0.25">
      <c r="A800" s="65" t="s">
        <v>380</v>
      </c>
      <c r="B800" s="294"/>
      <c r="C800" s="65">
        <f>INDEX(Parameter!$9:$9,,MATCH(15,Parameter!$8:$8,0))</f>
        <v>14</v>
      </c>
      <c r="D800" s="65">
        <f>INDEX(Parameter!$B$10:$AB$10,MATCH(C800,Parameter!$B$9:$AB$9,0))</f>
        <v>3</v>
      </c>
      <c r="E800" s="65">
        <f>COUNTIF(Data!$DY$90:$IB$90,Specials!C800)</f>
        <v>2</v>
      </c>
      <c r="F800" s="65">
        <f ca="1">OFFSET(Data!$CS$91,MATCH("W1",Data!$A$91:$A$190,0)-1,MATCH(C800,Data!$CS$90:$DS$90,0)-1)</f>
        <v>7</v>
      </c>
      <c r="G800" s="65">
        <f t="array" aca="1" ref="G800" ca="1">SMALL(IF((Data!$AM$91:$AM$190&lt;&gt;0)*(Data!$DW$91:$DW$190="W")*(IF(Parameter!$B$4&gt;0,Data!$M$91:$M$190&lt;999,1)),OFFSET(Data!$CS$91:$CS$190,,MATCH(C800,Data!$CS$90:$DS$90,0)-1)),1)</f>
        <v>7</v>
      </c>
      <c r="H800" s="65">
        <f t="array" aca="1" ref="H800" ca="1">IF(AND(G800&lt;=F800-E800*1,G800&lt;&gt;0),SUM(IF((OFFSET(Data!$CS$91:$CS$190,,MATCH(C800,Data!$CS$90:$DS$90,0)-1)=Specials!G800)*(Data!$DW$91:$DW$190="W"),1)),0)</f>
        <v>0</v>
      </c>
      <c r="K800" s="65" t="str">
        <f t="array" aca="1" ref="K800" ca="1">IF(H800=1,INDEX(Data!$DT$91:$DT$190,MATCH(G800,(OFFSET(Data!$CS$91:$CS$190,,MATCH(C800,Data!$CS$90:$DS$90,0)-1))*(Data!$DW$91:$DW$190="W"),0)),H800&amp;" Players")</f>
        <v>0 Players</v>
      </c>
      <c r="L800" s="65" t="str">
        <f t="shared" ca="1" si="57"/>
        <v>Best women took 7 throws</v>
      </c>
      <c r="M800" s="65" t="s">
        <v>16</v>
      </c>
      <c r="N800" s="65" t="s">
        <v>255</v>
      </c>
      <c r="O800" s="65" t="str">
        <f t="shared" ca="1" si="54"/>
        <v># Triple-Bogeys</v>
      </c>
      <c r="P800" s="65" t="str">
        <f t="shared" ca="1" si="56"/>
        <v/>
      </c>
    </row>
    <row r="801" spans="1:16" s="65" customFormat="1" hidden="1" x14ac:dyDescent="0.25">
      <c r="A801" s="65" t="s">
        <v>380</v>
      </c>
      <c r="B801" s="294"/>
      <c r="C801" s="65">
        <f>INDEX(Parameter!$9:$9,,MATCH(16,Parameter!$8:$8,0))</f>
        <v>15</v>
      </c>
      <c r="D801" s="65">
        <f>INDEX(Parameter!$B$10:$AB$10,MATCH(C801,Parameter!$B$9:$AB$9,0))</f>
        <v>3</v>
      </c>
      <c r="E801" s="65">
        <f>COUNTIF(Data!$DY$90:$IB$90,Specials!C801)</f>
        <v>2</v>
      </c>
      <c r="F801" s="65">
        <f ca="1">OFFSET(Data!$CS$91,MATCH("W1",Data!$A$91:$A$190,0)-1,MATCH(C801,Data!$CS$90:$DS$90,0)-1)</f>
        <v>5</v>
      </c>
      <c r="G801" s="65">
        <f t="array" aca="1" ref="G801" ca="1">SMALL(IF((Data!$AM$91:$AM$190&lt;&gt;0)*(Data!$DW$91:$DW$190="W")*(IF(Parameter!$B$4&gt;0,Data!$M$91:$M$190&lt;999,1)),OFFSET(Data!$CS$91:$CS$190,,MATCH(C801,Data!$CS$90:$DS$90,0)-1)),1)</f>
        <v>5</v>
      </c>
      <c r="H801" s="65">
        <f t="array" aca="1" ref="H801" ca="1">IF(AND(G801&lt;=F801-E801*1,G801&lt;&gt;0),SUM(IF((OFFSET(Data!$CS$91:$CS$190,,MATCH(C801,Data!$CS$90:$DS$90,0)-1)=Specials!G801)*(Data!$DW$91:$DW$190="W"),1)),0)</f>
        <v>0</v>
      </c>
      <c r="K801" s="65" t="str">
        <f t="array" aca="1" ref="K801" ca="1">IF(H801=1,INDEX(Data!$DT$91:$DT$190,MATCH(G801,(OFFSET(Data!$CS$91:$CS$190,,MATCH(C801,Data!$CS$90:$DS$90,0)-1))*(Data!$DW$91:$DW$190="W"),0)),H801&amp;" Players")</f>
        <v>0 Players</v>
      </c>
      <c r="L801" s="65" t="str">
        <f t="shared" ca="1" si="57"/>
        <v>Best women took 5 throws</v>
      </c>
      <c r="M801" s="65" t="s">
        <v>16</v>
      </c>
      <c r="N801" s="65" t="s">
        <v>255</v>
      </c>
      <c r="O801" s="65" t="str">
        <f t="shared" ca="1" si="54"/>
        <v># Triple-Bogeys</v>
      </c>
      <c r="P801" s="65" t="str">
        <f t="shared" ca="1" si="56"/>
        <v/>
      </c>
    </row>
    <row r="802" spans="1:16" s="65" customFormat="1" hidden="1" x14ac:dyDescent="0.25">
      <c r="A802" s="65" t="s">
        <v>380</v>
      </c>
      <c r="B802" s="294"/>
      <c r="C802" s="65">
        <f>INDEX(Parameter!$9:$9,,MATCH(17,Parameter!$8:$8,0))</f>
        <v>16</v>
      </c>
      <c r="D802" s="65">
        <f>INDEX(Parameter!$B$10:$AB$10,MATCH(C802,Parameter!$B$9:$AB$9,0))</f>
        <v>3</v>
      </c>
      <c r="E802" s="65">
        <f>COUNTIF(Data!$DY$90:$IB$90,Specials!C802)</f>
        <v>2</v>
      </c>
      <c r="F802" s="65">
        <f ca="1">OFFSET(Data!$CS$91,MATCH("W1",Data!$A$91:$A$190,0)-1,MATCH(C802,Data!$CS$90:$DS$90,0)-1)</f>
        <v>6</v>
      </c>
      <c r="G802" s="65">
        <f t="array" aca="1" ref="G802" ca="1">SMALL(IF((Data!$AM$91:$AM$190&lt;&gt;0)*(Data!$DW$91:$DW$190="W")*(IF(Parameter!$B$4&gt;0,Data!$M$91:$M$190&lt;999,1)),OFFSET(Data!$CS$91:$CS$190,,MATCH(C802,Data!$CS$90:$DS$90,0)-1)),1)</f>
        <v>6</v>
      </c>
      <c r="H802" s="65">
        <f t="array" aca="1" ref="H802" ca="1">IF(AND(G802&lt;=F802-E802*1,G802&lt;&gt;0),SUM(IF((OFFSET(Data!$CS$91:$CS$190,,MATCH(C802,Data!$CS$90:$DS$90,0)-1)=Specials!G802)*(Data!$DW$91:$DW$190="W"),1)),0)</f>
        <v>0</v>
      </c>
      <c r="K802" s="65" t="str">
        <f t="array" aca="1" ref="K802" ca="1">IF(H802=1,INDEX(Data!$DT$91:$DT$190,MATCH(G802,(OFFSET(Data!$CS$91:$CS$190,,MATCH(C802,Data!$CS$90:$DS$90,0)-1))*(Data!$DW$91:$DW$190="W"),0)),H802&amp;" Players")</f>
        <v>0 Players</v>
      </c>
      <c r="L802" s="65" t="str">
        <f t="shared" ca="1" si="57"/>
        <v>Best women took 6 throws</v>
      </c>
      <c r="M802" s="65" t="s">
        <v>16</v>
      </c>
      <c r="N802" s="65" t="s">
        <v>255</v>
      </c>
      <c r="O802" s="65" t="str">
        <f t="shared" ca="1" si="54"/>
        <v># Triple-Bogeys</v>
      </c>
      <c r="P802" s="65" t="str">
        <f t="shared" ca="1" si="56"/>
        <v/>
      </c>
    </row>
    <row r="803" spans="1:16" s="65" customFormat="1" hidden="1" x14ac:dyDescent="0.25">
      <c r="A803" s="65" t="s">
        <v>380</v>
      </c>
      <c r="B803" s="294"/>
      <c r="C803" s="65">
        <f>INDEX(Parameter!$9:$9,,MATCH(18,Parameter!$8:$8,0))</f>
        <v>17</v>
      </c>
      <c r="D803" s="65">
        <f>INDEX(Parameter!$B$10:$AB$10,MATCH(C803,Parameter!$B$9:$AB$9,0))</f>
        <v>3</v>
      </c>
      <c r="E803" s="65">
        <f>COUNTIF(Data!$DY$90:$IB$90,Specials!C803)</f>
        <v>2</v>
      </c>
      <c r="F803" s="65">
        <f ca="1">OFFSET(Data!$CS$91,MATCH("W1",Data!$A$91:$A$190,0)-1,MATCH(C803,Data!$CS$90:$DS$90,0)-1)</f>
        <v>6</v>
      </c>
      <c r="G803" s="65">
        <f t="array" aca="1" ref="G803" ca="1">SMALL(IF((Data!$AM$91:$AM$190&lt;&gt;0)*(Data!$DW$91:$DW$190="W")*(IF(Parameter!$B$4&gt;0,Data!$M$91:$M$190&lt;999,1)),OFFSET(Data!$CS$91:$CS$190,,MATCH(C803,Data!$CS$90:$DS$90,0)-1)),1)</f>
        <v>4</v>
      </c>
      <c r="H803" s="65">
        <f t="array" aca="1" ref="H803" ca="1">IF(AND(G803&lt;=F803-E803*1,G803&lt;&gt;0),SUM(IF((OFFSET(Data!$CS$91:$CS$190,,MATCH(C803,Data!$CS$90:$DS$90,0)-1)=Specials!G803)*(Data!$DW$91:$DW$190="W"),1)),0)</f>
        <v>1</v>
      </c>
      <c r="K803" s="65" t="str">
        <f t="array" aca="1" ref="K803" ca="1">IF(H803=1,INDEX(Data!$DT$91:$DT$190,MATCH(G803,(OFFSET(Data!$CS$91:$CS$190,,MATCH(C803,Data!$CS$90:$DS$90,0)-1))*(Data!$DW$91:$DW$190="W"),0)),H803&amp;" Players")</f>
        <v>Katharina Gusenbauer</v>
      </c>
      <c r="L803" s="65" t="str">
        <f t="shared" ca="1" si="57"/>
        <v>Best women took 6 throws</v>
      </c>
      <c r="M803" s="65" t="s">
        <v>16</v>
      </c>
      <c r="N803" s="65" t="s">
        <v>255</v>
      </c>
      <c r="O803" s="65" t="e">
        <f t="shared" ca="1" si="54"/>
        <v>#VALUE!</v>
      </c>
      <c r="P803" s="65" t="str">
        <f t="shared" ca="1" si="56"/>
        <v>On hole 17 (par 3) Katharina Gusenbauer played 2 throws better than best women (2 rounds)</v>
      </c>
    </row>
    <row r="804" spans="1:16" s="65" customFormat="1" hidden="1" x14ac:dyDescent="0.25">
      <c r="A804" s="65" t="s">
        <v>380</v>
      </c>
      <c r="B804" s="294"/>
      <c r="C804" s="65">
        <f>INDEX(Parameter!$9:$9,,MATCH(19,Parameter!$8:$8,0))</f>
        <v>18</v>
      </c>
      <c r="D804" s="65">
        <f>INDEX(Parameter!$B$10:$AB$10,MATCH(C804,Parameter!$B$9:$AB$9,0))</f>
        <v>3</v>
      </c>
      <c r="E804" s="65">
        <f>COUNTIF(Data!$DY$90:$IB$90,Specials!C804)</f>
        <v>2</v>
      </c>
      <c r="F804" s="65">
        <f ca="1">OFFSET(Data!$CS$91,MATCH("W1",Data!$A$91:$A$190,0)-1,MATCH(C804,Data!$CS$90:$DS$90,0)-1)</f>
        <v>6</v>
      </c>
      <c r="G804" s="65">
        <f t="array" aca="1" ref="G804" ca="1">SMALL(IF((Data!$AM$91:$AM$190&lt;&gt;0)*(Data!$DW$91:$DW$190="W")*(IF(Parameter!$B$4&gt;0,Data!$M$91:$M$190&lt;999,1)),OFFSET(Data!$CS$91:$CS$190,,MATCH(C804,Data!$CS$90:$DS$90,0)-1)),1)</f>
        <v>6</v>
      </c>
      <c r="H804" s="65">
        <f t="array" aca="1" ref="H804" ca="1">IF(AND(G804&lt;=F804-E804*1,G804&lt;&gt;0),SUM(IF((OFFSET(Data!$CS$91:$CS$190,,MATCH(C804,Data!$CS$90:$DS$90,0)-1)=Specials!G804)*(Data!$DW$91:$DW$190="W"),1)),0)</f>
        <v>0</v>
      </c>
      <c r="K804" s="65" t="str">
        <f t="array" aca="1" ref="K804" ca="1">IF(H804=1,INDEX(Data!$DT$91:$DT$190,MATCH(G804,(OFFSET(Data!$CS$91:$CS$190,,MATCH(C804,Data!$CS$90:$DS$90,0)-1))*(Data!$DW$91:$DW$190="W"),0)),H804&amp;" Players")</f>
        <v>0 Players</v>
      </c>
      <c r="L804" s="65" t="str">
        <f t="shared" ca="1" si="57"/>
        <v>Best women took 6 throws</v>
      </c>
      <c r="M804" s="65" t="s">
        <v>16</v>
      </c>
      <c r="N804" s="65" t="s">
        <v>255</v>
      </c>
      <c r="O804" s="65" t="e">
        <f t="shared" ca="1" si="54"/>
        <v>#VALUE!</v>
      </c>
      <c r="P804" s="65" t="str">
        <f t="shared" ca="1" si="56"/>
        <v/>
      </c>
    </row>
    <row r="805" spans="1:16" s="65" customFormat="1" hidden="1" x14ac:dyDescent="0.25">
      <c r="A805" s="65" t="s">
        <v>380</v>
      </c>
      <c r="B805" s="294"/>
      <c r="C805" s="65">
        <f>INDEX(Parameter!$9:$9,,MATCH(20,Parameter!$8:$8,0))</f>
        <v>20</v>
      </c>
      <c r="D805" s="65" t="str">
        <f>INDEX(Parameter!$B$10:$AB$10,MATCH(C805,Parameter!$B$9:$AB$9,0))</f>
        <v>no</v>
      </c>
      <c r="E805" s="65">
        <f>COUNTIF(Data!$DY$90:$IB$90,Specials!C805)</f>
        <v>0</v>
      </c>
      <c r="F805" s="65">
        <f ca="1">OFFSET(Data!$CS$91,MATCH("W1",Data!$A$91:$A$190,0)-1,MATCH(C805,Data!$CS$90:$DS$90,0)-1)</f>
        <v>0</v>
      </c>
      <c r="G805" s="65">
        <f t="array" aca="1" ref="G805" ca="1">SMALL(IF((Data!$AM$91:$AM$190&lt;&gt;0)*(Data!$DW$91:$DW$190="W")*(IF(Parameter!$B$4&gt;0,Data!$M$91:$M$190&lt;999,1)),OFFSET(Data!$CS$91:$CS$190,,MATCH(C805,Data!$CS$90:$DS$90,0)-1)),1)</f>
        <v>0</v>
      </c>
      <c r="H805" s="65">
        <f t="array" aca="1" ref="H805" ca="1">IF(AND(G805&lt;=F805-E805*1,G805&lt;&gt;0),SUM(IF((OFFSET(Data!$CS$91:$CS$190,,MATCH(C805,Data!$CS$90:$DS$90,0)-1)=Specials!G805)*(Data!$DW$91:$DW$190="W"),1)),0)</f>
        <v>0</v>
      </c>
      <c r="K805" s="65" t="str">
        <f t="array" aca="1" ref="K805" ca="1">IF(H805=1,INDEX(Data!$DT$91:$DT$190,MATCH(G805,(OFFSET(Data!$CS$91:$CS$190,,MATCH(C805,Data!$CS$90:$DS$90,0)-1))*(Data!$DW$91:$DW$190="W"),0)),H805&amp;" Players")</f>
        <v>0 Players</v>
      </c>
      <c r="L805" s="65" t="str">
        <f t="shared" ca="1" si="57"/>
        <v>Best women took 0 throws</v>
      </c>
      <c r="M805" s="65" t="s">
        <v>16</v>
      </c>
      <c r="N805" s="65" t="s">
        <v>255</v>
      </c>
      <c r="O805" s="65" t="e">
        <f t="shared" ca="1" si="54"/>
        <v>#VALUE!</v>
      </c>
      <c r="P805" s="65" t="str">
        <f t="shared" ca="1" si="56"/>
        <v/>
      </c>
    </row>
    <row r="806" spans="1:16" s="65" customFormat="1" hidden="1" x14ac:dyDescent="0.25">
      <c r="A806" s="65" t="s">
        <v>380</v>
      </c>
      <c r="B806" s="294"/>
      <c r="C806" s="65">
        <f>INDEX(Parameter!$9:$9,,MATCH(21,Parameter!$8:$8,0))</f>
        <v>21</v>
      </c>
      <c r="D806" s="65" t="str">
        <f>INDEX(Parameter!$B$10:$AB$10,MATCH(C806,Parameter!$B$9:$AB$9,0))</f>
        <v>no</v>
      </c>
      <c r="E806" s="65">
        <f>COUNTIF(Data!$DY$90:$IB$90,Specials!C806)</f>
        <v>0</v>
      </c>
      <c r="F806" s="65">
        <f ca="1">OFFSET(Data!$CS$91,MATCH("W1",Data!$A$91:$A$190,0)-1,MATCH(C806,Data!$CS$90:$DS$90,0)-1)</f>
        <v>0</v>
      </c>
      <c r="G806" s="65">
        <f t="array" aca="1" ref="G806" ca="1">SMALL(IF((Data!$AM$91:$AM$190&lt;&gt;0)*(Data!$DW$91:$DW$190="W")*(IF(Parameter!$B$4&gt;0,Data!$M$91:$M$190&lt;999,1)),OFFSET(Data!$CS$91:$CS$190,,MATCH(C806,Data!$CS$90:$DS$90,0)-1)),1)</f>
        <v>0</v>
      </c>
      <c r="H806" s="65">
        <f t="array" aca="1" ref="H806" ca="1">IF(AND(G806&lt;=F806-E806*1,G806&lt;&gt;0),SUM(IF((OFFSET(Data!$CS$91:$CS$190,,MATCH(C806,Data!$CS$90:$DS$90,0)-1)=Specials!G806)*(Data!$DW$91:$DW$190="W"),1)),0)</f>
        <v>0</v>
      </c>
      <c r="K806" s="65" t="str">
        <f t="array" aca="1" ref="K806" ca="1">IF(H806=1,INDEX(Data!$DT$91:$DT$190,MATCH(G806,(OFFSET(Data!$CS$91:$CS$190,,MATCH(C806,Data!$CS$90:$DS$90,0)-1))*(Data!$DW$91:$DW$190="W"),0)),H806&amp;" Players")</f>
        <v>0 Players</v>
      </c>
      <c r="L806" s="65" t="str">
        <f t="shared" ca="1" si="57"/>
        <v>Best women took 0 throws</v>
      </c>
      <c r="M806" s="65" t="s">
        <v>16</v>
      </c>
      <c r="N806" s="65" t="s">
        <v>255</v>
      </c>
      <c r="O806" s="65" t="e">
        <f t="shared" ca="1" si="54"/>
        <v>#VALUE!</v>
      </c>
      <c r="P806" s="65" t="str">
        <f t="shared" ca="1" si="56"/>
        <v/>
      </c>
    </row>
    <row r="807" spans="1:16" s="65" customFormat="1" hidden="1" x14ac:dyDescent="0.25">
      <c r="A807" s="65" t="s">
        <v>380</v>
      </c>
      <c r="B807" s="294"/>
      <c r="C807" s="65">
        <f>INDEX(Parameter!$9:$9,,MATCH(22,Parameter!$8:$8,0))</f>
        <v>22</v>
      </c>
      <c r="D807" s="65" t="str">
        <f>INDEX(Parameter!$B$10:$AB$10,MATCH(C807,Parameter!$B$9:$AB$9,0))</f>
        <v>no</v>
      </c>
      <c r="E807" s="65">
        <f>COUNTIF(Data!$DY$90:$IB$90,Specials!C807)</f>
        <v>0</v>
      </c>
      <c r="F807" s="65">
        <f ca="1">OFFSET(Data!$CS$91,MATCH("W1",Data!$A$91:$A$190,0)-1,MATCH(C807,Data!$CS$90:$DS$90,0)-1)</f>
        <v>0</v>
      </c>
      <c r="G807" s="65">
        <f t="array" aca="1" ref="G807" ca="1">SMALL(IF((Data!$AM$91:$AM$190&lt;&gt;0)*(Data!$DW$91:$DW$190="W")*(IF(Parameter!$B$4&gt;0,Data!$M$91:$M$190&lt;999,1)),OFFSET(Data!$CS$91:$CS$190,,MATCH(C807,Data!$CS$90:$DS$90,0)-1)),1)</f>
        <v>0</v>
      </c>
      <c r="H807" s="65">
        <f t="array" aca="1" ref="H807" ca="1">IF(AND(G807&lt;=F807-E807*1,G807&lt;&gt;0),SUM(IF((OFFSET(Data!$CS$91:$CS$190,,MATCH(C807,Data!$CS$90:$DS$90,0)-1)=Specials!G807)*(Data!$DW$91:$DW$190="W"),1)),0)</f>
        <v>0</v>
      </c>
      <c r="K807" s="65" t="str">
        <f t="array" aca="1" ref="K807" ca="1">IF(H807=1,INDEX(Data!$DT$91:$DT$190,MATCH(G807,(OFFSET(Data!$CS$91:$CS$190,,MATCH(C807,Data!$CS$90:$DS$90,0)-1))*(Data!$DW$91:$DW$190="W"),0)),H807&amp;" Players")</f>
        <v>0 Players</v>
      </c>
      <c r="L807" s="65" t="str">
        <f t="shared" ca="1" si="57"/>
        <v>Best women took 0 throws</v>
      </c>
      <c r="M807" s="65" t="s">
        <v>16</v>
      </c>
      <c r="N807" s="65" t="s">
        <v>255</v>
      </c>
      <c r="O807" s="65" t="e">
        <f t="shared" ca="1" si="54"/>
        <v>#VALUE!</v>
      </c>
      <c r="P807" s="65" t="str">
        <f t="shared" ca="1" si="56"/>
        <v/>
      </c>
    </row>
    <row r="808" spans="1:16" s="65" customFormat="1" hidden="1" x14ac:dyDescent="0.25">
      <c r="A808" s="65" t="s">
        <v>380</v>
      </c>
      <c r="B808" s="294"/>
      <c r="C808" s="65">
        <f>INDEX(Parameter!$9:$9,,MATCH(23,Parameter!$8:$8,0))</f>
        <v>23</v>
      </c>
      <c r="D808" s="65" t="str">
        <f>INDEX(Parameter!$B$10:$AB$10,MATCH(C808,Parameter!$B$9:$AB$9,0))</f>
        <v>no</v>
      </c>
      <c r="E808" s="65">
        <f>COUNTIF(Data!$DY$90:$IB$90,Specials!C808)</f>
        <v>0</v>
      </c>
      <c r="F808" s="65">
        <f ca="1">OFFSET(Data!$CS$91,MATCH("W1",Data!$A$91:$A$190,0)-1,MATCH(C808,Data!$CS$90:$DS$90,0)-1)</f>
        <v>0</v>
      </c>
      <c r="G808" s="65">
        <f t="array" aca="1" ref="G808" ca="1">SMALL(IF((Data!$AM$91:$AM$190&lt;&gt;0)*(Data!$DW$91:$DW$190="W")*(IF(Parameter!$B$4&gt;0,Data!$M$91:$M$190&lt;999,1)),OFFSET(Data!$CS$91:$CS$190,,MATCH(C808,Data!$CS$90:$DS$90,0)-1)),1)</f>
        <v>0</v>
      </c>
      <c r="H808" s="65">
        <f t="array" aca="1" ref="H808" ca="1">IF(AND(G808&lt;=F808-E808*1,G808&lt;&gt;0),SUM(IF((OFFSET(Data!$CS$91:$CS$190,,MATCH(C808,Data!$CS$90:$DS$90,0)-1)=Specials!G808)*(Data!$DW$91:$DW$190="W"),1)),0)</f>
        <v>0</v>
      </c>
      <c r="K808" s="65" t="str">
        <f t="array" aca="1" ref="K808" ca="1">IF(H808=1,INDEX(Data!$DT$91:$DT$190,MATCH(G808,(OFFSET(Data!$CS$91:$CS$190,,MATCH(C808,Data!$CS$90:$DS$90,0)-1))*(Data!$DW$91:$DW$190="W"),0)),H808&amp;" Players")</f>
        <v>0 Players</v>
      </c>
      <c r="L808" s="65" t="str">
        <f t="shared" ca="1" si="57"/>
        <v>Best women took 0 throws</v>
      </c>
      <c r="M808" s="65" t="s">
        <v>16</v>
      </c>
      <c r="N808" s="65" t="s">
        <v>255</v>
      </c>
      <c r="O808" s="65" t="e">
        <f t="shared" ca="1" si="54"/>
        <v>#VALUE!</v>
      </c>
      <c r="P808" s="65" t="str">
        <f t="shared" ca="1" si="56"/>
        <v/>
      </c>
    </row>
    <row r="809" spans="1:16" s="65" customFormat="1" hidden="1" x14ac:dyDescent="0.25">
      <c r="A809" s="65" t="s">
        <v>380</v>
      </c>
      <c r="B809" s="294"/>
      <c r="C809" s="65">
        <f>INDEX(Parameter!$9:$9,,MATCH(24,Parameter!$8:$8,0))</f>
        <v>24</v>
      </c>
      <c r="D809" s="65" t="str">
        <f>INDEX(Parameter!$B$10:$AB$10,MATCH(C809,Parameter!$B$9:$AB$9,0))</f>
        <v>no</v>
      </c>
      <c r="E809" s="65">
        <f>COUNTIF(Data!$DY$90:$IB$90,Specials!C809)</f>
        <v>0</v>
      </c>
      <c r="F809" s="65">
        <f ca="1">OFFSET(Data!$CS$91,MATCH("W1",Data!$A$91:$A$190,0)-1,MATCH(C809,Data!$CS$90:$DS$90,0)-1)</f>
        <v>0</v>
      </c>
      <c r="G809" s="65">
        <f t="array" aca="1" ref="G809" ca="1">SMALL(IF((Data!$AM$91:$AM$190&lt;&gt;0)*(Data!$DW$91:$DW$190="W")*(IF(Parameter!$B$4&gt;0,Data!$M$91:$M$190&lt;999,1)),OFFSET(Data!$CS$91:$CS$190,,MATCH(C809,Data!$CS$90:$DS$90,0)-1)),1)</f>
        <v>0</v>
      </c>
      <c r="H809" s="65">
        <f t="array" aca="1" ref="H809" ca="1">IF(AND(G809&lt;=F809-E809*1,G809&lt;&gt;0),SUM(IF((OFFSET(Data!$CS$91:$CS$190,,MATCH(C809,Data!$CS$90:$DS$90,0)-1)=Specials!G809)*(Data!$DW$91:$DW$190="W"),1)),0)</f>
        <v>0</v>
      </c>
      <c r="K809" s="65" t="str">
        <f t="array" aca="1" ref="K809" ca="1">IF(H809=1,INDEX(Data!$DT$91:$DT$190,MATCH(G809,(OFFSET(Data!$CS$91:$CS$190,,MATCH(C809,Data!$CS$90:$DS$90,0)-1))*(Data!$DW$91:$DW$190="W"),0)),H809&amp;" Players")</f>
        <v>0 Players</v>
      </c>
      <c r="L809" s="65" t="str">
        <f t="shared" ca="1" si="57"/>
        <v>Best women took 0 throws</v>
      </c>
      <c r="M809" s="65" t="s">
        <v>16</v>
      </c>
      <c r="N809" s="65" t="s">
        <v>255</v>
      </c>
      <c r="O809" s="65" t="e">
        <f t="shared" ca="1" si="54"/>
        <v>#VALUE!</v>
      </c>
      <c r="P809" s="65" t="str">
        <f t="shared" ca="1" si="56"/>
        <v/>
      </c>
    </row>
    <row r="810" spans="1:16" s="65" customFormat="1" hidden="1" x14ac:dyDescent="0.25">
      <c r="A810" s="65" t="s">
        <v>380</v>
      </c>
      <c r="B810" s="294"/>
      <c r="C810" s="65">
        <f>INDEX(Parameter!$9:$9,,MATCH(25,Parameter!$8:$8,0))</f>
        <v>25</v>
      </c>
      <c r="D810" s="65" t="str">
        <f>INDEX(Parameter!$B$10:$AB$10,MATCH(C810,Parameter!$B$9:$AB$9,0))</f>
        <v>no</v>
      </c>
      <c r="E810" s="65">
        <f>COUNTIF(Data!$DY$90:$IB$90,Specials!C810)</f>
        <v>0</v>
      </c>
      <c r="F810" s="65">
        <f ca="1">OFFSET(Data!$CS$91,MATCH("W1",Data!$A$91:$A$190,0)-1,MATCH(C810,Data!$CS$90:$DS$90,0)-1)</f>
        <v>0</v>
      </c>
      <c r="G810" s="65">
        <f t="array" aca="1" ref="G810" ca="1">SMALL(IF((Data!$AM$91:$AM$190&lt;&gt;0)*(Data!$DW$91:$DW$190="W")*(IF(Parameter!$B$4&gt;0,Data!$M$91:$M$190&lt;999,1)),OFFSET(Data!$CS$91:$CS$190,,MATCH(C810,Data!$CS$90:$DS$90,0)-1)),1)</f>
        <v>0</v>
      </c>
      <c r="H810" s="65">
        <f t="array" aca="1" ref="H810" ca="1">IF(AND(G810&lt;=F810-E810*1,G810&lt;&gt;0),SUM(IF((OFFSET(Data!$CS$91:$CS$190,,MATCH(C810,Data!$CS$90:$DS$90,0)-1)=Specials!G810)*(Data!$DW$91:$DW$190="W"),1)),0)</f>
        <v>0</v>
      </c>
      <c r="K810" s="65" t="str">
        <f t="array" aca="1" ref="K810" ca="1">IF(H810=1,INDEX(Data!$DT$91:$DT$190,MATCH(G810,(OFFSET(Data!$CS$91:$CS$190,,MATCH(C810,Data!$CS$90:$DS$90,0)-1))*(Data!$DW$91:$DW$190="W"),0)),H810&amp;" Players")</f>
        <v>0 Players</v>
      </c>
      <c r="L810" s="65" t="str">
        <f t="shared" ca="1" si="57"/>
        <v>Best women took 0 throws</v>
      </c>
      <c r="M810" s="65" t="s">
        <v>16</v>
      </c>
      <c r="N810" s="65" t="s">
        <v>255</v>
      </c>
      <c r="O810" s="65" t="e">
        <f t="shared" ca="1" si="54"/>
        <v>#VALUE!</v>
      </c>
      <c r="P810" s="65" t="str">
        <f t="shared" ca="1" si="56"/>
        <v/>
      </c>
    </row>
    <row r="811" spans="1:16" s="65" customFormat="1" hidden="1" x14ac:dyDescent="0.25">
      <c r="A811" s="65" t="s">
        <v>380</v>
      </c>
      <c r="B811" s="294"/>
      <c r="C811" s="65">
        <f>INDEX(Parameter!$9:$9,,MATCH(26,Parameter!$8:$8,0))</f>
        <v>26</v>
      </c>
      <c r="D811" s="65" t="str">
        <f>INDEX(Parameter!$B$10:$AB$10,MATCH(C811,Parameter!$B$9:$AB$9,0))</f>
        <v>no</v>
      </c>
      <c r="E811" s="65">
        <f>COUNTIF(Data!$DY$90:$IB$90,Specials!C811)</f>
        <v>0</v>
      </c>
      <c r="F811" s="65">
        <f ca="1">OFFSET(Data!$CS$91,MATCH("W1",Data!$A$91:$A$190,0)-1,MATCH(C811,Data!$CS$90:$DS$90,0)-1)</f>
        <v>0</v>
      </c>
      <c r="G811" s="65">
        <f t="array" aca="1" ref="G811" ca="1">SMALL(IF((Data!$AM$91:$AM$190&lt;&gt;0)*(Data!$DW$91:$DW$190="W")*(IF(Parameter!$B$4&gt;0,Data!$M$91:$M$190&lt;999,1)),OFFSET(Data!$CS$91:$CS$190,,MATCH(C811,Data!$CS$90:$DS$90,0)-1)),1)</f>
        <v>0</v>
      </c>
      <c r="H811" s="65">
        <f t="array" aca="1" ref="H811" ca="1">IF(AND(G811&lt;=F811-E811*1,G811&lt;&gt;0),SUM(IF((OFFSET(Data!$CS$91:$CS$190,,MATCH(C811,Data!$CS$90:$DS$90,0)-1)=Specials!G811)*(Data!$DW$91:$DW$190="W"),1)),0)</f>
        <v>0</v>
      </c>
      <c r="K811" s="65" t="str">
        <f t="array" aca="1" ref="K811" ca="1">IF(H811=1,INDEX(Data!$DT$91:$DT$190,MATCH(G811,(OFFSET(Data!$CS$91:$CS$190,,MATCH(C811,Data!$CS$90:$DS$90,0)-1))*(Data!$DW$91:$DW$190="W"),0)),H811&amp;" Players")</f>
        <v>0 Players</v>
      </c>
      <c r="L811" s="65" t="str">
        <f t="shared" ca="1" si="57"/>
        <v>Best women took 0 throws</v>
      </c>
      <c r="M811" s="65" t="s">
        <v>16</v>
      </c>
      <c r="N811" s="65" t="s">
        <v>255</v>
      </c>
      <c r="O811" s="65" t="e">
        <f t="shared" ca="1" si="54"/>
        <v>#VALUE!</v>
      </c>
      <c r="P811" s="65" t="str">
        <f t="shared" ca="1" si="56"/>
        <v/>
      </c>
    </row>
    <row r="812" spans="1:16" s="65" customFormat="1" hidden="1" x14ac:dyDescent="0.25">
      <c r="A812" s="65" t="s">
        <v>380</v>
      </c>
      <c r="B812" s="294"/>
      <c r="C812" s="65">
        <f>INDEX(Parameter!$9:$9,,MATCH(27,Parameter!$8:$8,0))</f>
        <v>27</v>
      </c>
      <c r="D812" s="65" t="str">
        <f>INDEX(Parameter!$B$10:$AB$10,MATCH(C812,Parameter!$B$9:$AB$9,0))</f>
        <v>no</v>
      </c>
      <c r="E812" s="65">
        <f>COUNTIF(Data!$DY$90:$IB$90,Specials!C812)</f>
        <v>0</v>
      </c>
      <c r="F812" s="65">
        <f ca="1">OFFSET(Data!$CS$91,MATCH("W1",Data!$A$91:$A$190,0)-1,MATCH(C812,Data!$CS$90:$DS$90,0)-1)</f>
        <v>0</v>
      </c>
      <c r="G812" s="65">
        <f t="array" aca="1" ref="G812" ca="1">SMALL(IF((Data!$AM$91:$AM$190&lt;&gt;0)*(Data!$DW$91:$DW$190="W")*(IF(Parameter!$B$4&gt;0,Data!$M$91:$M$190&lt;999,1)),OFFSET(Data!$CS$91:$CS$190,,MATCH(C812,Data!$CS$90:$DS$90,0)-1)),1)</f>
        <v>0</v>
      </c>
      <c r="H812" s="65">
        <f t="array" aca="1" ref="H812" ca="1">IF(AND(G812&lt;=F812-E812*1,G812&lt;&gt;0),SUM(IF((OFFSET(Data!$CS$91:$CS$190,,MATCH(C812,Data!$CS$90:$DS$90,0)-1)=Specials!G812)*(Data!$DW$91:$DW$190="W"),1)),0)</f>
        <v>0</v>
      </c>
      <c r="K812" s="65" t="str">
        <f t="array" aca="1" ref="K812" ca="1">IF(H812=1,INDEX(Data!$DT$91:$DT$190,MATCH(G812,(OFFSET(Data!$CS$91:$CS$190,,MATCH(C812,Data!$CS$90:$DS$90,0)-1))*(Data!$DW$91:$DW$190="W"),0)),H812&amp;" Players")</f>
        <v>0 Players</v>
      </c>
      <c r="L812" s="65" t="str">
        <f t="shared" ca="1" si="57"/>
        <v>Best women took 0 throws</v>
      </c>
      <c r="M812" s="65" t="s">
        <v>16</v>
      </c>
      <c r="N812" s="65" t="s">
        <v>255</v>
      </c>
      <c r="O812" s="65" t="e">
        <f t="shared" ca="1" si="54"/>
        <v>#VALUE!</v>
      </c>
      <c r="P812" s="65" t="str">
        <f t="shared" ca="1" si="56"/>
        <v/>
      </c>
    </row>
    <row r="813" spans="1:16" s="78" customFormat="1" ht="15" hidden="1" customHeight="1" x14ac:dyDescent="0.25">
      <c r="A813" s="317" t="str">
        <f>"# Triple-Bogeys Women Rating &gt; "&amp;Parameter!$B$33</f>
        <v># Triple-Bogeys Women Rating &gt; 600</v>
      </c>
      <c r="B813" s="297">
        <f>MATCH(A813,Data!$DT:$DT,0)</f>
        <v>15</v>
      </c>
      <c r="C813" s="78">
        <f>INDEX(Parameter!$9:$9,,MATCH(1,Parameter!$8:$8,0))</f>
        <v>1</v>
      </c>
      <c r="D813" s="78">
        <f>INDEX(Parameter!$B$10:$AB$10,MATCH(C813,Parameter!$B$9:$AB$9,0))</f>
        <v>3</v>
      </c>
      <c r="H813" s="78">
        <f ca="1">INDEX(OFFSET(Data!$CS$1:$DS$1,B813-1,0),MATCH("Total/"&amp;C813,Data!$CS$1:$DS$1,0))</f>
        <v>0</v>
      </c>
      <c r="I813" s="78" t="str">
        <f t="shared" ref="I813:I839" ca="1" si="58">IF(H813=1,D813+3,"")</f>
        <v/>
      </c>
      <c r="J813" s="78" t="str">
        <f t="array" aca="1" ref="J813" ca="1">IF(H813=1,MATCH(1,(OFFSET(Data!$DY$1:$IB$1,B813-1,0))*(Data!$DY$90:$IB$90=C813),0),"")</f>
        <v/>
      </c>
      <c r="K813" s="78" t="str">
        <f t="array" aca="1" ref="K813" ca="1">IF(H813=1,MATCH(I813,OFFSET(Data!$DX$91:$DX$190,0,Specials!J813)*(Data!$AM$91:$AM$190&gt;Parameter!$B$33)*(Data!$DW$91:$DW$190="W"),0),"")</f>
        <v/>
      </c>
      <c r="L813" s="78" t="str">
        <f ca="1">IF(H813=1,INDEX(Data!$DT$91:$DT$190,$K813)&amp;" / "&amp;OFFSET(Data!$DX$89,0,Specials!J813),"")</f>
        <v/>
      </c>
      <c r="M813" s="78" t="s">
        <v>16</v>
      </c>
      <c r="N813" s="78" t="s">
        <v>255</v>
      </c>
      <c r="O813" s="78" t="e">
        <f t="shared" ca="1" si="54"/>
        <v>#VALUE!</v>
      </c>
      <c r="P813" s="78" t="str">
        <f ca="1">IF(H813=1,"Only 1 Triple-Bogey on hole "&amp;C813&amp;" (par "&amp;D813&amp;")","")</f>
        <v/>
      </c>
    </row>
    <row r="814" spans="1:16" s="78" customFormat="1" hidden="1" x14ac:dyDescent="0.25">
      <c r="A814" s="317" t="str">
        <f>"# Triple-Bogeys Women Rating &gt; "&amp;Parameter!$B$33</f>
        <v># Triple-Bogeys Women Rating &gt; 600</v>
      </c>
      <c r="B814" s="297">
        <f>MATCH(A814,Data!$DT:$DT,0)</f>
        <v>15</v>
      </c>
      <c r="C814" s="78">
        <f>INDEX(Parameter!$9:$9,,MATCH(2,Parameter!$8:$8,0))</f>
        <v>2</v>
      </c>
      <c r="D814" s="78">
        <f>INDEX(Parameter!$B$10:$AB$10,MATCH(C814,Parameter!$B$9:$AB$9,0))</f>
        <v>3</v>
      </c>
      <c r="H814" s="78">
        <f ca="1">INDEX(OFFSET(Data!$CS$1:$DS$1,B814-1,0),MATCH("Total/"&amp;C814,Data!$CS$1:$DS$1,0))</f>
        <v>0</v>
      </c>
      <c r="I814" s="78" t="str">
        <f t="shared" ca="1" si="58"/>
        <v/>
      </c>
      <c r="J814" s="78" t="str">
        <f t="array" aca="1" ref="J814" ca="1">IF(H814=1,MATCH(1,(OFFSET(Data!$DY$1:$IB$1,B814-1,0))*(Data!$DY$90:$IB$90=C814),0),"")</f>
        <v/>
      </c>
      <c r="K814" s="78" t="str">
        <f t="array" aca="1" ref="K814" ca="1">IF(H814=1,MATCH(I814,OFFSET(Data!$DX$91:$DX$190,0,Specials!J814)*(Data!$AM$91:$AM$190&gt;Parameter!$B$33)*(Data!$DW$91:$DW$190="W"),0),"")</f>
        <v/>
      </c>
      <c r="L814" s="78" t="str">
        <f ca="1">IF(H814=1,INDEX(Data!$DT$91:$DT$190,$K814)&amp;" / "&amp;OFFSET(Data!$DX$89,0,Specials!J814),"")</f>
        <v/>
      </c>
      <c r="M814" s="78" t="s">
        <v>16</v>
      </c>
      <c r="N814" s="78" t="s">
        <v>255</v>
      </c>
      <c r="O814" s="78" t="e">
        <f t="shared" ca="1" si="54"/>
        <v>#VALUE!</v>
      </c>
      <c r="P814" s="78" t="str">
        <f t="shared" ref="P814:P838" ca="1" si="59">IF(H814=1,"Only 1 Triple-Bogey on hole "&amp;C814&amp;" (par "&amp;D814&amp;")","")</f>
        <v/>
      </c>
    </row>
    <row r="815" spans="1:16" s="78" customFormat="1" hidden="1" x14ac:dyDescent="0.25">
      <c r="A815" s="317" t="str">
        <f>"# Triple-Bogeys Women Rating &gt; "&amp;Parameter!$B$33</f>
        <v># Triple-Bogeys Women Rating &gt; 600</v>
      </c>
      <c r="B815" s="297">
        <f>MATCH(A815,Data!$DT:$DT,0)</f>
        <v>15</v>
      </c>
      <c r="C815" s="78">
        <f>INDEX(Parameter!$9:$9,,MATCH(3,Parameter!$8:$8,0))</f>
        <v>3</v>
      </c>
      <c r="D815" s="78">
        <f>INDEX(Parameter!$B$10:$AB$10,MATCH(C815,Parameter!$B$9:$AB$9,0))</f>
        <v>3</v>
      </c>
      <c r="H815" s="78">
        <f ca="1">INDEX(OFFSET(Data!$CS$1:$DS$1,B815-1,0),MATCH("Total/"&amp;C815,Data!$CS$1:$DS$1,0))</f>
        <v>0</v>
      </c>
      <c r="I815" s="78" t="str">
        <f t="shared" ca="1" si="58"/>
        <v/>
      </c>
      <c r="J815" s="78" t="str">
        <f t="array" aca="1" ref="J815" ca="1">IF(H815=1,MATCH(1,(OFFSET(Data!$DY$1:$IB$1,B815-1,0))*(Data!$DY$90:$IB$90=C815),0),"")</f>
        <v/>
      </c>
      <c r="K815" s="78" t="str">
        <f t="array" aca="1" ref="K815" ca="1">IF(H815=1,MATCH(I815,OFFSET(Data!$DX$91:$DX$190,0,Specials!J815)*(Data!$AM$91:$AM$190&gt;Parameter!$B$33)*(Data!$DW$91:$DW$190="W"),0),"")</f>
        <v/>
      </c>
      <c r="L815" s="78" t="str">
        <f ca="1">IF(H815=1,INDEX(Data!$DT$91:$DT$190,$K815)&amp;" / "&amp;OFFSET(Data!$DX$89,0,Specials!J815),"")</f>
        <v/>
      </c>
      <c r="M815" s="78" t="s">
        <v>16</v>
      </c>
      <c r="N815" s="78" t="s">
        <v>255</v>
      </c>
      <c r="O815" s="78" t="e">
        <f t="shared" ca="1" si="54"/>
        <v>#VALUE!</v>
      </c>
      <c r="P815" s="78" t="str">
        <f t="shared" ca="1" si="59"/>
        <v/>
      </c>
    </row>
    <row r="816" spans="1:16" s="78" customFormat="1" hidden="1" x14ac:dyDescent="0.25">
      <c r="A816" s="317" t="str">
        <f>"# Triple-Bogeys Women Rating &gt; "&amp;Parameter!$B$33</f>
        <v># Triple-Bogeys Women Rating &gt; 600</v>
      </c>
      <c r="B816" s="297">
        <f>MATCH(A816,Data!$DT:$DT,0)</f>
        <v>15</v>
      </c>
      <c r="C816" s="78">
        <f>INDEX(Parameter!$9:$9,,MATCH(4,Parameter!$8:$8,0))</f>
        <v>4</v>
      </c>
      <c r="D816" s="78">
        <f>INDEX(Parameter!$B$10:$AB$10,MATCH(C816,Parameter!$B$9:$AB$9,0))</f>
        <v>3</v>
      </c>
      <c r="H816" s="78">
        <f ca="1">INDEX(OFFSET(Data!$CS$1:$DS$1,B816-1,0),MATCH("Total/"&amp;C816,Data!$CS$1:$DS$1,0))</f>
        <v>0</v>
      </c>
      <c r="I816" s="78" t="str">
        <f t="shared" ca="1" si="58"/>
        <v/>
      </c>
      <c r="J816" s="78" t="str">
        <f t="array" aca="1" ref="J816" ca="1">IF(H816=1,MATCH(1,(OFFSET(Data!$DY$1:$IB$1,B816-1,0))*(Data!$DY$90:$IB$90=C816),0),"")</f>
        <v/>
      </c>
      <c r="K816" s="78" t="str">
        <f t="array" aca="1" ref="K816" ca="1">IF(H816=1,MATCH(I816,OFFSET(Data!$DX$91:$DX$190,0,Specials!J816)*(Data!$AM$91:$AM$190&gt;Parameter!$B$33)*(Data!$DW$91:$DW$190="W"),0),"")</f>
        <v/>
      </c>
      <c r="L816" s="78" t="str">
        <f ca="1">IF(H816=1,INDEX(Data!$DT$91:$DT$190,$K816)&amp;" / "&amp;OFFSET(Data!$DX$89,0,Specials!J816),"")</f>
        <v/>
      </c>
      <c r="M816" s="78" t="s">
        <v>16</v>
      </c>
      <c r="N816" s="78" t="s">
        <v>255</v>
      </c>
      <c r="O816" s="78" t="e">
        <f t="shared" ca="1" si="54"/>
        <v>#VALUE!</v>
      </c>
      <c r="P816" s="78" t="str">
        <f t="shared" ca="1" si="59"/>
        <v/>
      </c>
    </row>
    <row r="817" spans="1:16" s="78" customFormat="1" hidden="1" x14ac:dyDescent="0.25">
      <c r="A817" s="317" t="str">
        <f>"# Triple-Bogeys Women Rating &gt; "&amp;Parameter!$B$33</f>
        <v># Triple-Bogeys Women Rating &gt; 600</v>
      </c>
      <c r="B817" s="297">
        <f>MATCH(A817,Data!$DT:$DT,0)</f>
        <v>15</v>
      </c>
      <c r="C817" s="78">
        <f>INDEX(Parameter!$9:$9,,MATCH(5,Parameter!$8:$8,0))</f>
        <v>5</v>
      </c>
      <c r="D817" s="78">
        <f>INDEX(Parameter!$B$10:$AB$10,MATCH(C817,Parameter!$B$9:$AB$9,0))</f>
        <v>4</v>
      </c>
      <c r="H817" s="78">
        <f ca="1">INDEX(OFFSET(Data!$CS$1:$DS$1,B817-1,0),MATCH("Total/"&amp;C817,Data!$CS$1:$DS$1,0))</f>
        <v>0</v>
      </c>
      <c r="I817" s="78" t="str">
        <f t="shared" ca="1" si="58"/>
        <v/>
      </c>
      <c r="J817" s="78" t="str">
        <f t="array" aca="1" ref="J817" ca="1">IF(H817=1,MATCH(1,(OFFSET(Data!$DY$1:$IB$1,B817-1,0))*(Data!$DY$90:$IB$90=C817),0),"")</f>
        <v/>
      </c>
      <c r="K817" s="78" t="str">
        <f t="array" aca="1" ref="K817" ca="1">IF(H817=1,MATCH(I817,OFFSET(Data!$DX$91:$DX$190,0,Specials!J817)*(Data!$AM$91:$AM$190&gt;Parameter!$B$33)*(Data!$DW$91:$DW$190="W"),0),"")</f>
        <v/>
      </c>
      <c r="L817" s="78" t="str">
        <f ca="1">IF(H817=1,INDEX(Data!$DT$91:$DT$190,$K817)&amp;" / "&amp;OFFSET(Data!$DX$89,0,Specials!J817),"")</f>
        <v/>
      </c>
      <c r="M817" s="78" t="s">
        <v>16</v>
      </c>
      <c r="N817" s="78" t="s">
        <v>255</v>
      </c>
      <c r="O817" s="78" t="e">
        <f t="shared" ca="1" si="54"/>
        <v>#VALUE!</v>
      </c>
      <c r="P817" s="78" t="str">
        <f t="shared" ca="1" si="59"/>
        <v/>
      </c>
    </row>
    <row r="818" spans="1:16" s="78" customFormat="1" hidden="1" x14ac:dyDescent="0.25">
      <c r="A818" s="317" t="str">
        <f>"# Triple-Bogeys Women Rating &gt; "&amp;Parameter!$B$33</f>
        <v># Triple-Bogeys Women Rating &gt; 600</v>
      </c>
      <c r="B818" s="297">
        <f>MATCH(A818,Data!$DT:$DT,0)</f>
        <v>15</v>
      </c>
      <c r="C818" s="78">
        <f>INDEX(Parameter!$9:$9,,MATCH(6,Parameter!$8:$8,0))</f>
        <v>6</v>
      </c>
      <c r="D818" s="78">
        <f>INDEX(Parameter!$B$10:$AB$10,MATCH(C818,Parameter!$B$9:$AB$9,0))</f>
        <v>3</v>
      </c>
      <c r="H818" s="78">
        <f ca="1">INDEX(OFFSET(Data!$CS$1:$DS$1,B818-1,0),MATCH("Total/"&amp;C818,Data!$CS$1:$DS$1,0))</f>
        <v>0</v>
      </c>
      <c r="I818" s="78" t="str">
        <f t="shared" ca="1" si="58"/>
        <v/>
      </c>
      <c r="J818" s="78" t="str">
        <f t="array" aca="1" ref="J818" ca="1">IF(H818=1,MATCH(1,(OFFSET(Data!$DY$1:$IB$1,B818-1,0))*(Data!$DY$90:$IB$90=C818),0),"")</f>
        <v/>
      </c>
      <c r="K818" s="78" t="str">
        <f t="array" aca="1" ref="K818" ca="1">IF(H818=1,MATCH(I818,OFFSET(Data!$DX$91:$DX$190,0,Specials!J818)*(Data!$AM$91:$AM$190&gt;Parameter!$B$33)*(Data!$DW$91:$DW$190="W"),0),"")</f>
        <v/>
      </c>
      <c r="L818" s="78" t="str">
        <f ca="1">IF(H818=1,INDEX(Data!$DT$91:$DT$190,$K818)&amp;" / "&amp;OFFSET(Data!$DX$89,0,Specials!J818),"")</f>
        <v/>
      </c>
      <c r="M818" s="78" t="s">
        <v>16</v>
      </c>
      <c r="N818" s="78" t="s">
        <v>255</v>
      </c>
      <c r="O818" s="78" t="e">
        <f t="shared" ca="1" si="54"/>
        <v>#VALUE!</v>
      </c>
      <c r="P818" s="78" t="str">
        <f t="shared" ca="1" si="59"/>
        <v/>
      </c>
    </row>
    <row r="819" spans="1:16" s="78" customFormat="1" hidden="1" x14ac:dyDescent="0.25">
      <c r="A819" s="317" t="str">
        <f>"# Triple-Bogeys Women Rating &gt; "&amp;Parameter!$B$33</f>
        <v># Triple-Bogeys Women Rating &gt; 600</v>
      </c>
      <c r="B819" s="297">
        <f>MATCH(A819,Data!$DT:$DT,0)</f>
        <v>15</v>
      </c>
      <c r="C819" s="78">
        <f>INDEX(Parameter!$9:$9,,MATCH(7,Parameter!$8:$8,0))</f>
        <v>7</v>
      </c>
      <c r="D819" s="78">
        <f>INDEX(Parameter!$B$10:$AB$10,MATCH(C819,Parameter!$B$9:$AB$9,0))</f>
        <v>3</v>
      </c>
      <c r="H819" s="78">
        <f ca="1">INDEX(OFFSET(Data!$CS$1:$DS$1,B819-1,0),MATCH("Total/"&amp;C819,Data!$CS$1:$DS$1,0))</f>
        <v>0</v>
      </c>
      <c r="I819" s="78" t="str">
        <f t="shared" ca="1" si="58"/>
        <v/>
      </c>
      <c r="J819" s="78" t="str">
        <f t="array" aca="1" ref="J819" ca="1">IF(H819=1,MATCH(1,(OFFSET(Data!$DY$1:$IB$1,B819-1,0))*(Data!$DY$90:$IB$90=C819),0),"")</f>
        <v/>
      </c>
      <c r="K819" s="78" t="str">
        <f t="array" aca="1" ref="K819" ca="1">IF(H819=1,MATCH(I819,OFFSET(Data!$DX$91:$DX$190,0,Specials!J819)*(Data!$AM$91:$AM$190&gt;Parameter!$B$33)*(Data!$DW$91:$DW$190="W"),0),"")</f>
        <v/>
      </c>
      <c r="L819" s="78" t="str">
        <f ca="1">IF(H819=1,INDEX(Data!$DT$91:$DT$190,$K819)&amp;" / "&amp;OFFSET(Data!$DX$89,0,Specials!J819),"")</f>
        <v/>
      </c>
      <c r="M819" s="78" t="s">
        <v>16</v>
      </c>
      <c r="N819" s="78" t="s">
        <v>255</v>
      </c>
      <c r="O819" s="78" t="e">
        <f t="shared" ca="1" si="54"/>
        <v>#VALUE!</v>
      </c>
      <c r="P819" s="78" t="str">
        <f t="shared" ca="1" si="59"/>
        <v/>
      </c>
    </row>
    <row r="820" spans="1:16" s="78" customFormat="1" hidden="1" x14ac:dyDescent="0.25">
      <c r="A820" s="317" t="str">
        <f>"# Triple-Bogeys Women Rating &gt; "&amp;Parameter!$B$33</f>
        <v># Triple-Bogeys Women Rating &gt; 600</v>
      </c>
      <c r="B820" s="297">
        <f>MATCH(A820,Data!$DT:$DT,0)</f>
        <v>15</v>
      </c>
      <c r="C820" s="78">
        <f>INDEX(Parameter!$9:$9,,MATCH(8,Parameter!$8:$8,0))</f>
        <v>8</v>
      </c>
      <c r="D820" s="78">
        <f>INDEX(Parameter!$B$10:$AB$10,MATCH(C820,Parameter!$B$9:$AB$9,0))</f>
        <v>3</v>
      </c>
      <c r="H820" s="78">
        <f ca="1">INDEX(OFFSET(Data!$CS$1:$DS$1,B820-1,0),MATCH("Total/"&amp;C820,Data!$CS$1:$DS$1,0))</f>
        <v>0</v>
      </c>
      <c r="I820" s="78" t="str">
        <f t="shared" ca="1" si="58"/>
        <v/>
      </c>
      <c r="J820" s="78" t="str">
        <f t="array" aca="1" ref="J820" ca="1">IF(H820=1,MATCH(1,(OFFSET(Data!$DY$1:$IB$1,B820-1,0))*(Data!$DY$90:$IB$90=C820),0),"")</f>
        <v/>
      </c>
      <c r="K820" s="78" t="str">
        <f t="array" aca="1" ref="K820" ca="1">IF(H820=1,MATCH(I820,OFFSET(Data!$DX$91:$DX$190,0,Specials!J820)*(Data!$AM$91:$AM$190&gt;Parameter!$B$33)*(Data!$DW$91:$DW$190="W"),0),"")</f>
        <v/>
      </c>
      <c r="L820" s="78" t="str">
        <f ca="1">IF(H820=1,INDEX(Data!$DT$91:$DT$190,$K820)&amp;" / "&amp;OFFSET(Data!$DX$89,0,Specials!J820),"")</f>
        <v/>
      </c>
      <c r="M820" s="78" t="s">
        <v>16</v>
      </c>
      <c r="N820" s="78" t="s">
        <v>255</v>
      </c>
      <c r="O820" s="78" t="e">
        <f t="shared" ca="1" si="54"/>
        <v>#VALUE!</v>
      </c>
      <c r="P820" s="78" t="str">
        <f t="shared" ca="1" si="59"/>
        <v/>
      </c>
    </row>
    <row r="821" spans="1:16" s="78" customFormat="1" hidden="1" x14ac:dyDescent="0.25">
      <c r="A821" s="317" t="str">
        <f>"# Triple-Bogeys Women Rating &gt; "&amp;Parameter!$B$33</f>
        <v># Triple-Bogeys Women Rating &gt; 600</v>
      </c>
      <c r="B821" s="297">
        <f>MATCH(A821,Data!$DT:$DT,0)</f>
        <v>15</v>
      </c>
      <c r="C821" s="78">
        <f>INDEX(Parameter!$9:$9,,MATCH(9,Parameter!$8:$8,0))</f>
        <v>9</v>
      </c>
      <c r="D821" s="78">
        <f>INDEX(Parameter!$B$10:$AB$10,MATCH(C821,Parameter!$B$9:$AB$9,0))</f>
        <v>4</v>
      </c>
      <c r="H821" s="78">
        <f ca="1">INDEX(OFFSET(Data!$CS$1:$DS$1,B821-1,0),MATCH("Total/"&amp;C821,Data!$CS$1:$DS$1,0))</f>
        <v>0</v>
      </c>
      <c r="I821" s="78" t="str">
        <f t="shared" ca="1" si="58"/>
        <v/>
      </c>
      <c r="J821" s="78" t="str">
        <f t="array" aca="1" ref="J821" ca="1">IF(H821=1,MATCH(1,(OFFSET(Data!$DY$1:$IB$1,B821-1,0))*(Data!$DY$90:$IB$90=C821),0),"")</f>
        <v/>
      </c>
      <c r="K821" s="78" t="str">
        <f t="array" aca="1" ref="K821" ca="1">IF(H821=1,MATCH(I821,OFFSET(Data!$DX$91:$DX$190,0,Specials!J821)*(Data!$AM$91:$AM$190&gt;Parameter!$B$33)*(Data!$DW$91:$DW$190="W"),0),"")</f>
        <v/>
      </c>
      <c r="L821" s="78" t="str">
        <f ca="1">IF(H821=1,INDEX(Data!$DT$91:$DT$190,$K821)&amp;" / "&amp;OFFSET(Data!$DX$89,0,Specials!J821),"")</f>
        <v/>
      </c>
      <c r="M821" s="78" t="s">
        <v>16</v>
      </c>
      <c r="N821" s="78" t="s">
        <v>255</v>
      </c>
      <c r="O821" s="78" t="e">
        <f t="shared" ca="1" si="54"/>
        <v>#VALUE!</v>
      </c>
      <c r="P821" s="78" t="str">
        <f t="shared" ca="1" si="59"/>
        <v/>
      </c>
    </row>
    <row r="822" spans="1:16" s="78" customFormat="1" hidden="1" x14ac:dyDescent="0.25">
      <c r="A822" s="317" t="str">
        <f>"# Triple-Bogeys Women Rating &gt; "&amp;Parameter!$B$33</f>
        <v># Triple-Bogeys Women Rating &gt; 600</v>
      </c>
      <c r="B822" s="297">
        <f>MATCH(A822,Data!$DT:$DT,0)</f>
        <v>15</v>
      </c>
      <c r="C822" s="78">
        <f>INDEX(Parameter!$9:$9,,MATCH(10,Parameter!$8:$8,0))</f>
        <v>10</v>
      </c>
      <c r="D822" s="78">
        <f>INDEX(Parameter!$B$10:$AB$10,MATCH(C822,Parameter!$B$9:$AB$9,0))</f>
        <v>4</v>
      </c>
      <c r="H822" s="78">
        <f ca="1">INDEX(OFFSET(Data!$CS$1:$DS$1,B822-1,0),MATCH("Total/"&amp;C822,Data!$CS$1:$DS$1,0))</f>
        <v>0</v>
      </c>
      <c r="I822" s="78" t="str">
        <f t="shared" ca="1" si="58"/>
        <v/>
      </c>
      <c r="J822" s="78" t="str">
        <f t="array" aca="1" ref="J822" ca="1">IF(H822=1,MATCH(1,(OFFSET(Data!$DY$1:$IB$1,B822-1,0))*(Data!$DY$90:$IB$90=C822),0),"")</f>
        <v/>
      </c>
      <c r="K822" s="78" t="str">
        <f t="array" aca="1" ref="K822" ca="1">IF(H822=1,MATCH(I822,OFFSET(Data!$DX$91:$DX$190,0,Specials!J822)*(Data!$AM$91:$AM$190&gt;Parameter!$B$33)*(Data!$DW$91:$DW$190="W"),0),"")</f>
        <v/>
      </c>
      <c r="L822" s="78" t="str">
        <f ca="1">IF(H822=1,INDEX(Data!$DT$91:$DT$190,$K822)&amp;" / "&amp;OFFSET(Data!$DX$89,0,Specials!J822),"")</f>
        <v/>
      </c>
      <c r="M822" s="78" t="s">
        <v>16</v>
      </c>
      <c r="N822" s="78" t="s">
        <v>255</v>
      </c>
      <c r="O822" s="78" t="e">
        <f t="shared" ca="1" si="54"/>
        <v>#VALUE!</v>
      </c>
      <c r="P822" s="78" t="str">
        <f t="shared" ca="1" si="59"/>
        <v/>
      </c>
    </row>
    <row r="823" spans="1:16" s="78" customFormat="1" hidden="1" x14ac:dyDescent="0.25">
      <c r="A823" s="317" t="str">
        <f>"# Triple-Bogeys Women Rating &gt; "&amp;Parameter!$B$33</f>
        <v># Triple-Bogeys Women Rating &gt; 600</v>
      </c>
      <c r="B823" s="297">
        <f>MATCH(A823,Data!$DT:$DT,0)</f>
        <v>15</v>
      </c>
      <c r="C823" s="78">
        <f>INDEX(Parameter!$9:$9,,MATCH(11,Parameter!$8:$8,0))</f>
        <v>11</v>
      </c>
      <c r="D823" s="78">
        <f>INDEX(Parameter!$B$10:$AB$10,MATCH(C823,Parameter!$B$9:$AB$9,0))</f>
        <v>4</v>
      </c>
      <c r="H823" s="78">
        <f ca="1">INDEX(OFFSET(Data!$CS$1:$DS$1,B823-1,0),MATCH("Total/"&amp;C823,Data!$CS$1:$DS$1,0))</f>
        <v>2</v>
      </c>
      <c r="I823" s="78" t="str">
        <f t="shared" ca="1" si="58"/>
        <v/>
      </c>
      <c r="J823" s="78" t="str">
        <f t="array" aca="1" ref="J823" ca="1">IF(H823=1,MATCH(1,(OFFSET(Data!$DY$1:$IB$1,B823-1,0))*(Data!$DY$90:$IB$90=C823),0),"")</f>
        <v/>
      </c>
      <c r="K823" s="78" t="str">
        <f t="array" aca="1" ref="K823" ca="1">IF(H823=1,MATCH(I823,OFFSET(Data!$DX$91:$DX$190,0,Specials!J823)*(Data!$AM$91:$AM$190&gt;Parameter!$B$33)*(Data!$DW$91:$DW$190="W"),0),"")</f>
        <v/>
      </c>
      <c r="L823" s="78" t="str">
        <f ca="1">IF(H823=1,INDEX(Data!$DT$91:$DT$190,$K823)&amp;" / "&amp;OFFSET(Data!$DX$89,0,Specials!J823),"")</f>
        <v/>
      </c>
      <c r="M823" s="78" t="s">
        <v>16</v>
      </c>
      <c r="N823" s="78" t="s">
        <v>255</v>
      </c>
      <c r="O823" s="78" t="e">
        <f t="shared" ca="1" si="54"/>
        <v>#VALUE!</v>
      </c>
      <c r="P823" s="78" t="str">
        <f t="shared" ca="1" si="59"/>
        <v/>
      </c>
    </row>
    <row r="824" spans="1:16" s="78" customFormat="1" hidden="1" x14ac:dyDescent="0.25">
      <c r="A824" s="317" t="str">
        <f>"# Triple-Bogeys Women Rating &gt; "&amp;Parameter!$B$33</f>
        <v># Triple-Bogeys Women Rating &gt; 600</v>
      </c>
      <c r="B824" s="297">
        <f>MATCH(A824,Data!$DT:$DT,0)</f>
        <v>15</v>
      </c>
      <c r="C824" s="78" t="str">
        <f>INDEX(Parameter!$9:$9,,MATCH(12,Parameter!$8:$8,0))</f>
        <v>11b</v>
      </c>
      <c r="D824" s="78">
        <f>INDEX(Parameter!$B$10:$AB$10,MATCH(C824,Parameter!$B$9:$AB$9,0))</f>
        <v>3</v>
      </c>
      <c r="H824" s="78">
        <f ca="1">INDEX(OFFSET(Data!$CS$1:$DS$1,B824-1,0),MATCH("Total/"&amp;C824,Data!$CS$1:$DS$1,0))</f>
        <v>0</v>
      </c>
      <c r="I824" s="78" t="str">
        <f t="shared" ca="1" si="58"/>
        <v/>
      </c>
      <c r="J824" s="78" t="str">
        <f t="array" aca="1" ref="J824" ca="1">IF(H824=1,MATCH(1,(OFFSET(Data!$DY$1:$IB$1,B824-1,0))*(Data!$DY$90:$IB$90=C824),0),"")</f>
        <v/>
      </c>
      <c r="K824" s="78" t="str">
        <f t="array" aca="1" ref="K824" ca="1">IF(H824=1,MATCH(I824,OFFSET(Data!$DX$91:$DX$190,0,Specials!J824)*(Data!$AM$91:$AM$190&gt;Parameter!$B$33)*(Data!$DW$91:$DW$190="W"),0),"")</f>
        <v/>
      </c>
      <c r="L824" s="78" t="str">
        <f ca="1">IF(H824=1,INDEX(Data!$DT$91:$DT$190,$K824)&amp;" / "&amp;OFFSET(Data!$DX$89,0,Specials!J824),"")</f>
        <v/>
      </c>
      <c r="M824" s="78" t="s">
        <v>16</v>
      </c>
      <c r="N824" s="78" t="s">
        <v>255</v>
      </c>
      <c r="O824" s="78" t="e">
        <f t="shared" ca="1" si="54"/>
        <v>#VALUE!</v>
      </c>
      <c r="P824" s="78" t="str">
        <f t="shared" ca="1" si="59"/>
        <v/>
      </c>
    </row>
    <row r="825" spans="1:16" s="78" customFormat="1" hidden="1" x14ac:dyDescent="0.25">
      <c r="A825" s="317" t="str">
        <f>"# Triple-Bogeys Women Rating &gt; "&amp;Parameter!$B$33</f>
        <v># Triple-Bogeys Women Rating &gt; 600</v>
      </c>
      <c r="B825" s="297">
        <f>MATCH(A825,Data!$DT:$DT,0)</f>
        <v>15</v>
      </c>
      <c r="C825" s="78">
        <f>INDEX(Parameter!$9:$9,,MATCH(13,Parameter!$8:$8,0))</f>
        <v>12</v>
      </c>
      <c r="D825" s="78">
        <f>INDEX(Parameter!$B$10:$AB$10,MATCH(C825,Parameter!$B$9:$AB$9,0))</f>
        <v>3</v>
      </c>
      <c r="H825" s="78">
        <f ca="1">INDEX(OFFSET(Data!$CS$1:$DS$1,B825-1,0),MATCH("Total/"&amp;C825,Data!$CS$1:$DS$1,0))</f>
        <v>1</v>
      </c>
      <c r="I825" s="78">
        <f t="shared" ca="1" si="58"/>
        <v>6</v>
      </c>
      <c r="J825" s="78">
        <f t="array" aca="1" ref="J825" ca="1">IF(H825=1,MATCH(1,(OFFSET(Data!$DY$1:$IB$1,B825-1,0))*(Data!$DY$90:$IB$90=C825),0),"")</f>
        <v>32</v>
      </c>
      <c r="K825" s="78">
        <f t="array" aca="1" ref="K825" ca="1">IF(H825=1,MATCH(I825,OFFSET(Data!$DX$91:$DX$190,0,Specials!J825)*(Data!$AM$91:$AM$190&gt;Parameter!$B$33)*(Data!$DW$91:$DW$190="W"),0),"")</f>
        <v>55</v>
      </c>
      <c r="L825" s="78" t="str">
        <f ca="1">IF(H825=1,INDEX(Data!$DT$91:$DT$190,$K825)&amp;" / "&amp;OFFSET(Data!$DX$89,0,Specials!J825),"")</f>
        <v>Irmgard Derschmidt / Round 2</v>
      </c>
      <c r="M825" s="78" t="s">
        <v>16</v>
      </c>
      <c r="N825" s="78" t="s">
        <v>255</v>
      </c>
      <c r="O825" s="78" t="e">
        <f t="shared" ca="1" si="54"/>
        <v>#VALUE!</v>
      </c>
      <c r="P825" s="78" t="str">
        <f t="shared" ca="1" si="59"/>
        <v>Only 1 Triple-Bogey on hole 12 (par 3)</v>
      </c>
    </row>
    <row r="826" spans="1:16" s="78" customFormat="1" hidden="1" x14ac:dyDescent="0.25">
      <c r="A826" s="317" t="str">
        <f>"# Triple-Bogeys Women Rating &gt; "&amp;Parameter!$B$33</f>
        <v># Triple-Bogeys Women Rating &gt; 600</v>
      </c>
      <c r="B826" s="297">
        <f>MATCH(A826,Data!$DT:$DT,0)</f>
        <v>15</v>
      </c>
      <c r="C826" s="78">
        <f>INDEX(Parameter!$9:$9,,MATCH(14,Parameter!$8:$8,0))</f>
        <v>13</v>
      </c>
      <c r="D826" s="78">
        <f>INDEX(Parameter!$B$10:$AB$10,MATCH(C826,Parameter!$B$9:$AB$9,0))</f>
        <v>3</v>
      </c>
      <c r="H826" s="78">
        <f ca="1">INDEX(OFFSET(Data!$CS$1:$DS$1,B826-1,0),MATCH("Total/"&amp;C826,Data!$CS$1:$DS$1,0))</f>
        <v>0</v>
      </c>
      <c r="I826" s="78" t="str">
        <f t="shared" ca="1" si="58"/>
        <v/>
      </c>
      <c r="J826" s="78" t="str">
        <f t="array" aca="1" ref="J826" ca="1">IF(H826=1,MATCH(1,(OFFSET(Data!$DY$1:$IB$1,B826-1,0))*(Data!$DY$90:$IB$90=C826),0),"")</f>
        <v/>
      </c>
      <c r="K826" s="78" t="str">
        <f t="array" aca="1" ref="K826" ca="1">IF(H826=1,MATCH(I826,OFFSET(Data!$DX$91:$DX$190,0,Specials!J826)*(Data!$AM$91:$AM$190&gt;Parameter!$B$33)*(Data!$DW$91:$DW$190="W"),0),"")</f>
        <v/>
      </c>
      <c r="L826" s="78" t="str">
        <f ca="1">IF(H826=1,INDEX(Data!$DT$91:$DT$190,$K826)&amp;" / "&amp;OFFSET(Data!$DX$89,0,Specials!J826),"")</f>
        <v/>
      </c>
      <c r="M826" s="78" t="s">
        <v>16</v>
      </c>
      <c r="N826" s="78" t="s">
        <v>255</v>
      </c>
      <c r="O826" s="78" t="e">
        <f t="shared" ca="1" si="54"/>
        <v>#VALUE!</v>
      </c>
      <c r="P826" s="78" t="str">
        <f t="shared" ca="1" si="59"/>
        <v/>
      </c>
    </row>
    <row r="827" spans="1:16" s="78" customFormat="1" hidden="1" x14ac:dyDescent="0.25">
      <c r="A827" s="317" t="str">
        <f>"# Triple-Bogeys Women Rating &gt; "&amp;Parameter!$B$33</f>
        <v># Triple-Bogeys Women Rating &gt; 600</v>
      </c>
      <c r="B827" s="297">
        <f>MATCH(A827,Data!$DT:$DT,0)</f>
        <v>15</v>
      </c>
      <c r="C827" s="78">
        <f>INDEX(Parameter!$9:$9,,MATCH(15,Parameter!$8:$8,0))</f>
        <v>14</v>
      </c>
      <c r="D827" s="78">
        <f>INDEX(Parameter!$B$10:$AB$10,MATCH(C827,Parameter!$B$9:$AB$9,0))</f>
        <v>3</v>
      </c>
      <c r="H827" s="78">
        <f ca="1">INDEX(OFFSET(Data!$CS$1:$DS$1,B827-1,0),MATCH("Total/"&amp;C827,Data!$CS$1:$DS$1,0))</f>
        <v>0</v>
      </c>
      <c r="I827" s="78" t="str">
        <f t="shared" ca="1" si="58"/>
        <v/>
      </c>
      <c r="J827" s="78" t="str">
        <f t="array" aca="1" ref="J827" ca="1">IF(H827=1,MATCH(1,(OFFSET(Data!$DY$1:$IB$1,B827-1,0))*(Data!$DY$90:$IB$90=C827),0),"")</f>
        <v/>
      </c>
      <c r="K827" s="78" t="str">
        <f t="array" aca="1" ref="K827" ca="1">IF(H827=1,MATCH(I827,OFFSET(Data!$DX$91:$DX$190,0,Specials!J827)*(Data!$AM$91:$AM$190&gt;Parameter!$B$33)*(Data!$DW$91:$DW$190="W"),0),"")</f>
        <v/>
      </c>
      <c r="L827" s="78" t="str">
        <f ca="1">IF(H827=1,INDEX(Data!$DT$91:$DT$190,$K827)&amp;" / "&amp;OFFSET(Data!$DX$89,0,Specials!J827),"")</f>
        <v/>
      </c>
      <c r="M827" s="78" t="s">
        <v>16</v>
      </c>
      <c r="N827" s="78" t="s">
        <v>255</v>
      </c>
      <c r="O827" s="78" t="e">
        <f t="shared" ca="1" si="54"/>
        <v>#VALUE!</v>
      </c>
      <c r="P827" s="78" t="str">
        <f t="shared" ca="1" si="59"/>
        <v/>
      </c>
    </row>
    <row r="828" spans="1:16" s="78" customFormat="1" hidden="1" x14ac:dyDescent="0.25">
      <c r="A828" s="317" t="str">
        <f>"# Triple-Bogeys Women Rating &gt; "&amp;Parameter!$B$33</f>
        <v># Triple-Bogeys Women Rating &gt; 600</v>
      </c>
      <c r="B828" s="297">
        <f>MATCH(A828,Data!$DT:$DT,0)</f>
        <v>15</v>
      </c>
      <c r="C828" s="78">
        <f>INDEX(Parameter!$9:$9,,MATCH(16,Parameter!$8:$8,0))</f>
        <v>15</v>
      </c>
      <c r="D828" s="78">
        <f>INDEX(Parameter!$B$10:$AB$10,MATCH(C828,Parameter!$B$9:$AB$9,0))</f>
        <v>3</v>
      </c>
      <c r="H828" s="78">
        <f ca="1">INDEX(OFFSET(Data!$CS$1:$DS$1,B828-1,0),MATCH("Total/"&amp;C828,Data!$CS$1:$DS$1,0))</f>
        <v>0</v>
      </c>
      <c r="I828" s="78" t="str">
        <f t="shared" ca="1" si="58"/>
        <v/>
      </c>
      <c r="J828" s="78" t="str">
        <f t="array" aca="1" ref="J828" ca="1">IF(H828=1,MATCH(1,(OFFSET(Data!$DY$1:$IB$1,B828-1,0))*(Data!$DY$90:$IB$90=C828),0),"")</f>
        <v/>
      </c>
      <c r="K828" s="78" t="str">
        <f t="array" aca="1" ref="K828" ca="1">IF(H828=1,MATCH(I828,OFFSET(Data!$DX$91:$DX$190,0,Specials!J828)*(Data!$AM$91:$AM$190&gt;Parameter!$B$33)*(Data!$DW$91:$DW$190="W"),0),"")</f>
        <v/>
      </c>
      <c r="L828" s="78" t="str">
        <f ca="1">IF(H828=1,INDEX(Data!$DT$91:$DT$190,$K828)&amp;" / "&amp;OFFSET(Data!$DX$89,0,Specials!J828),"")</f>
        <v/>
      </c>
      <c r="M828" s="78" t="s">
        <v>16</v>
      </c>
      <c r="N828" s="78" t="s">
        <v>255</v>
      </c>
      <c r="O828" s="78" t="e">
        <f t="shared" ca="1" si="54"/>
        <v>#VALUE!</v>
      </c>
      <c r="P828" s="78" t="str">
        <f t="shared" ca="1" si="59"/>
        <v/>
      </c>
    </row>
    <row r="829" spans="1:16" s="78" customFormat="1" hidden="1" x14ac:dyDescent="0.25">
      <c r="A829" s="317" t="str">
        <f>"# Triple-Bogeys Women Rating &gt; "&amp;Parameter!$B$33</f>
        <v># Triple-Bogeys Women Rating &gt; 600</v>
      </c>
      <c r="B829" s="297">
        <f>MATCH(A829,Data!$DT:$DT,0)</f>
        <v>15</v>
      </c>
      <c r="C829" s="78">
        <f>INDEX(Parameter!$9:$9,,MATCH(17,Parameter!$8:$8,0))</f>
        <v>16</v>
      </c>
      <c r="D829" s="78">
        <f>INDEX(Parameter!$B$10:$AB$10,MATCH(C829,Parameter!$B$9:$AB$9,0))</f>
        <v>3</v>
      </c>
      <c r="H829" s="78">
        <f ca="1">INDEX(OFFSET(Data!$CS$1:$DS$1,B829-1,0),MATCH("Total/"&amp;C829,Data!$CS$1:$DS$1,0))</f>
        <v>0</v>
      </c>
      <c r="I829" s="78" t="str">
        <f t="shared" ca="1" si="58"/>
        <v/>
      </c>
      <c r="J829" s="78" t="str">
        <f t="array" aca="1" ref="J829" ca="1">IF(H829=1,MATCH(1,(OFFSET(Data!$DY$1:$IB$1,B829-1,0))*(Data!$DY$90:$IB$90=C829),0),"")</f>
        <v/>
      </c>
      <c r="K829" s="78" t="str">
        <f t="array" aca="1" ref="K829" ca="1">IF(H829=1,MATCH(I829,OFFSET(Data!$DX$91:$DX$190,0,Specials!J829)*(Data!$AM$91:$AM$190&gt;Parameter!$B$33)*(Data!$DW$91:$DW$190="W"),0),"")</f>
        <v/>
      </c>
      <c r="L829" s="78" t="str">
        <f ca="1">IF(H829=1,INDEX(Data!$DT$91:$DT$190,$K829)&amp;" / "&amp;OFFSET(Data!$DX$89,0,Specials!J829),"")</f>
        <v/>
      </c>
      <c r="M829" s="78" t="s">
        <v>16</v>
      </c>
      <c r="N829" s="78" t="s">
        <v>255</v>
      </c>
      <c r="O829" s="78" t="e">
        <f t="shared" ca="1" si="54"/>
        <v>#VALUE!</v>
      </c>
      <c r="P829" s="78" t="str">
        <f t="shared" ca="1" si="59"/>
        <v/>
      </c>
    </row>
    <row r="830" spans="1:16" s="78" customFormat="1" hidden="1" x14ac:dyDescent="0.25">
      <c r="A830" s="317" t="str">
        <f>"# Triple-Bogeys Women Rating &gt; "&amp;Parameter!$B$33</f>
        <v># Triple-Bogeys Women Rating &gt; 600</v>
      </c>
      <c r="B830" s="297">
        <f>MATCH(A830,Data!$DT:$DT,0)</f>
        <v>15</v>
      </c>
      <c r="C830" s="78">
        <f>INDEX(Parameter!$9:$9,,MATCH(18,Parameter!$8:$8,0))</f>
        <v>17</v>
      </c>
      <c r="D830" s="78">
        <f>INDEX(Parameter!$B$10:$AB$10,MATCH(C830,Parameter!$B$9:$AB$9,0))</f>
        <v>3</v>
      </c>
      <c r="H830" s="78">
        <f ca="1">INDEX(OFFSET(Data!$CS$1:$DS$1,B830-1,0),MATCH("Total/"&amp;C830,Data!$CS$1:$DS$1,0))</f>
        <v>2</v>
      </c>
      <c r="I830" s="78" t="str">
        <f t="shared" ca="1" si="58"/>
        <v/>
      </c>
      <c r="J830" s="78" t="str">
        <f t="array" aca="1" ref="J830" ca="1">IF(H830=1,MATCH(1,(OFFSET(Data!$DY$1:$IB$1,B830-1,0))*(Data!$DY$90:$IB$90=C830),0),"")</f>
        <v/>
      </c>
      <c r="K830" s="78" t="str">
        <f t="array" aca="1" ref="K830" ca="1">IF(H830=1,MATCH(I830,OFFSET(Data!$DX$91:$DX$190,0,Specials!J830)*(Data!$AM$91:$AM$190&gt;Parameter!$B$33)*(Data!$DW$91:$DW$190="W"),0),"")</f>
        <v/>
      </c>
      <c r="L830" s="78" t="str">
        <f ca="1">IF(H830=1,INDEX(Data!$DT$91:$DT$190,$K830)&amp;" / "&amp;OFFSET(Data!$DX$89,0,Specials!J830),"")</f>
        <v/>
      </c>
      <c r="M830" s="78" t="s">
        <v>16</v>
      </c>
      <c r="N830" s="78" t="s">
        <v>255</v>
      </c>
      <c r="O830" s="78" t="e">
        <f t="shared" ca="1" si="54"/>
        <v>#VALUE!</v>
      </c>
      <c r="P830" s="78" t="str">
        <f t="shared" ca="1" si="59"/>
        <v/>
      </c>
    </row>
    <row r="831" spans="1:16" s="78" customFormat="1" hidden="1" x14ac:dyDescent="0.25">
      <c r="A831" s="317" t="str">
        <f>"# Triple-Bogeys Women Rating &gt; "&amp;Parameter!$B$33</f>
        <v># Triple-Bogeys Women Rating &gt; 600</v>
      </c>
      <c r="B831" s="297">
        <f>MATCH(A831,Data!$DT:$DT,0)</f>
        <v>15</v>
      </c>
      <c r="C831" s="78">
        <f>INDEX(Parameter!$9:$9,,MATCH(19,Parameter!$8:$8,0))</f>
        <v>18</v>
      </c>
      <c r="D831" s="78">
        <f>INDEX(Parameter!$B$10:$AB$10,MATCH(C831,Parameter!$B$9:$AB$9,0))</f>
        <v>3</v>
      </c>
      <c r="H831" s="78">
        <f ca="1">INDEX(OFFSET(Data!$CS$1:$DS$1,B831-1,0),MATCH("Total/"&amp;C831,Data!$CS$1:$DS$1,0))</f>
        <v>0</v>
      </c>
      <c r="I831" s="78" t="str">
        <f t="shared" ca="1" si="58"/>
        <v/>
      </c>
      <c r="J831" s="78" t="str">
        <f t="array" aca="1" ref="J831" ca="1">IF(H831=1,MATCH(1,(OFFSET(Data!$DY$1:$IB$1,B831-1,0))*(Data!$DY$90:$IB$90=C831),0),"")</f>
        <v/>
      </c>
      <c r="K831" s="78" t="str">
        <f t="array" aca="1" ref="K831" ca="1">IF(H831=1,MATCH(I831,OFFSET(Data!$DX$91:$DX$190,0,Specials!J831)*(Data!$AM$91:$AM$190&gt;Parameter!$B$33)*(Data!$DW$91:$DW$190="W"),0),"")</f>
        <v/>
      </c>
      <c r="L831" s="78" t="str">
        <f ca="1">IF(H831=1,INDEX(Data!$DT$91:$DT$190,$K831)&amp;" / "&amp;OFFSET(Data!$DX$89,0,Specials!J831),"")</f>
        <v/>
      </c>
      <c r="M831" s="78" t="s">
        <v>16</v>
      </c>
      <c r="N831" s="78" t="s">
        <v>255</v>
      </c>
      <c r="O831" s="78" t="e">
        <f t="shared" ca="1" si="54"/>
        <v>#VALUE!</v>
      </c>
      <c r="P831" s="78" t="str">
        <f t="shared" ca="1" si="59"/>
        <v/>
      </c>
    </row>
    <row r="832" spans="1:16" s="78" customFormat="1" hidden="1" x14ac:dyDescent="0.25">
      <c r="A832" s="317" t="str">
        <f>"# Triple-Bogeys Women Rating &gt; "&amp;Parameter!$B$33</f>
        <v># Triple-Bogeys Women Rating &gt; 600</v>
      </c>
      <c r="B832" s="297">
        <f>MATCH(A832,Data!$DT:$DT,0)</f>
        <v>15</v>
      </c>
      <c r="C832" s="78">
        <f>INDEX(Parameter!$9:$9,,MATCH(20,Parameter!$8:$8,0))</f>
        <v>20</v>
      </c>
      <c r="D832" s="78" t="str">
        <f>INDEX(Parameter!$B$10:$AB$10,MATCH(C832,Parameter!$B$9:$AB$9,0))</f>
        <v>no</v>
      </c>
      <c r="H832" s="78">
        <f ca="1">INDEX(OFFSET(Data!$CS$1:$DS$1,B832-1,0),MATCH("Total/"&amp;C832,Data!$CS$1:$DS$1,0))</f>
        <v>0</v>
      </c>
      <c r="I832" s="78" t="str">
        <f t="shared" ca="1" si="58"/>
        <v/>
      </c>
      <c r="J832" s="78" t="str">
        <f t="array" aca="1" ref="J832" ca="1">IF(H832=1,MATCH(1,(OFFSET(Data!$DY$1:$IB$1,B832-1,0))*(Data!$DY$90:$IB$90=C832),0),"")</f>
        <v/>
      </c>
      <c r="K832" s="78" t="str">
        <f t="array" aca="1" ref="K832" ca="1">IF(H832=1,MATCH(I832,OFFSET(Data!$DX$91:$DX$190,0,Specials!J832)*(Data!$AM$91:$AM$190&gt;Parameter!$B$33)*(Data!$DW$91:$DW$190="W"),0),"")</f>
        <v/>
      </c>
      <c r="L832" s="78" t="str">
        <f ca="1">IF(H832=1,INDEX(Data!$DT$91:$DT$190,$K832)&amp;" / "&amp;OFFSET(Data!$DX$89,0,Specials!J832),"")</f>
        <v/>
      </c>
      <c r="M832" s="78" t="s">
        <v>16</v>
      </c>
      <c r="N832" s="78" t="s">
        <v>255</v>
      </c>
      <c r="O832" s="78" t="e">
        <f t="shared" ca="1" si="54"/>
        <v>#VALUE!</v>
      </c>
      <c r="P832" s="78" t="str">
        <f t="shared" ca="1" si="59"/>
        <v/>
      </c>
    </row>
    <row r="833" spans="1:16" s="78" customFormat="1" hidden="1" x14ac:dyDescent="0.25">
      <c r="A833" s="317" t="str">
        <f>"# Triple-Bogeys Women Rating &gt; "&amp;Parameter!$B$33</f>
        <v># Triple-Bogeys Women Rating &gt; 600</v>
      </c>
      <c r="B833" s="297">
        <f>MATCH(A833,Data!$DT:$DT,0)</f>
        <v>15</v>
      </c>
      <c r="C833" s="78">
        <f>INDEX(Parameter!$9:$9,,MATCH(21,Parameter!$8:$8,0))</f>
        <v>21</v>
      </c>
      <c r="D833" s="78" t="str">
        <f>INDEX(Parameter!$B$10:$AB$10,MATCH(C833,Parameter!$B$9:$AB$9,0))</f>
        <v>no</v>
      </c>
      <c r="H833" s="78">
        <f ca="1">INDEX(OFFSET(Data!$CS$1:$DS$1,B833-1,0),MATCH("Total/"&amp;C833,Data!$CS$1:$DS$1,0))</f>
        <v>0</v>
      </c>
      <c r="I833" s="78" t="str">
        <f t="shared" ca="1" si="58"/>
        <v/>
      </c>
      <c r="J833" s="78" t="str">
        <f t="array" aca="1" ref="J833" ca="1">IF(H833=1,MATCH(1,(OFFSET(Data!$DY$1:$IB$1,B833-1,0))*(Data!$DY$90:$IB$90=C833),0),"")</f>
        <v/>
      </c>
      <c r="K833" s="78" t="str">
        <f t="array" aca="1" ref="K833" ca="1">IF(H833=1,MATCH(I833,OFFSET(Data!$DX$91:$DX$190,0,Specials!J833)*(Data!$AM$91:$AM$190&gt;Parameter!$B$33)*(Data!$DW$91:$DW$190="W"),0),"")</f>
        <v/>
      </c>
      <c r="L833" s="78" t="str">
        <f ca="1">IF(H833=1,INDEX(Data!$DT$91:$DT$190,$K833)&amp;" / "&amp;OFFSET(Data!$DX$89,0,Specials!J833),"")</f>
        <v/>
      </c>
      <c r="M833" s="78" t="s">
        <v>16</v>
      </c>
      <c r="N833" s="78" t="s">
        <v>255</v>
      </c>
      <c r="O833" s="78" t="e">
        <f t="shared" ca="1" si="54"/>
        <v>#VALUE!</v>
      </c>
      <c r="P833" s="78" t="str">
        <f t="shared" ca="1" si="59"/>
        <v/>
      </c>
    </row>
    <row r="834" spans="1:16" s="78" customFormat="1" hidden="1" x14ac:dyDescent="0.25">
      <c r="A834" s="317" t="str">
        <f>"# Triple-Bogeys Women Rating &gt; "&amp;Parameter!$B$33</f>
        <v># Triple-Bogeys Women Rating &gt; 600</v>
      </c>
      <c r="B834" s="297">
        <f>MATCH(A834,Data!$DT:$DT,0)</f>
        <v>15</v>
      </c>
      <c r="C834" s="78">
        <f>INDEX(Parameter!$9:$9,,MATCH(22,Parameter!$8:$8,0))</f>
        <v>22</v>
      </c>
      <c r="D834" s="78" t="str">
        <f>INDEX(Parameter!$B$10:$AB$10,MATCH(C834,Parameter!$B$9:$AB$9,0))</f>
        <v>no</v>
      </c>
      <c r="H834" s="78">
        <f ca="1">INDEX(OFFSET(Data!$CS$1:$DS$1,B834-1,0),MATCH("Total/"&amp;C834,Data!$CS$1:$DS$1,0))</f>
        <v>0</v>
      </c>
      <c r="I834" s="78" t="str">
        <f t="shared" ca="1" si="58"/>
        <v/>
      </c>
      <c r="J834" s="78" t="str">
        <f t="array" aca="1" ref="J834" ca="1">IF(H834=1,MATCH(1,(OFFSET(Data!$DY$1:$IB$1,B834-1,0))*(Data!$DY$90:$IB$90=C834),0),"")</f>
        <v/>
      </c>
      <c r="K834" s="78" t="str">
        <f t="array" aca="1" ref="K834" ca="1">IF(H834=1,MATCH(I834,OFFSET(Data!$DX$91:$DX$190,0,Specials!J834)*(Data!$AM$91:$AM$190&gt;Parameter!$B$33)*(Data!$DW$91:$DW$190="W"),0),"")</f>
        <v/>
      </c>
      <c r="L834" s="78" t="str">
        <f ca="1">IF(H834=1,INDEX(Data!$DT$91:$DT$190,$K834)&amp;" / "&amp;OFFSET(Data!$DX$89,0,Specials!J834),"")</f>
        <v/>
      </c>
      <c r="M834" s="78" t="s">
        <v>16</v>
      </c>
      <c r="N834" s="78" t="s">
        <v>255</v>
      </c>
      <c r="O834" s="78" t="e">
        <f t="shared" ca="1" si="54"/>
        <v>#VALUE!</v>
      </c>
      <c r="P834" s="78" t="str">
        <f t="shared" ca="1" si="59"/>
        <v/>
      </c>
    </row>
    <row r="835" spans="1:16" s="78" customFormat="1" hidden="1" x14ac:dyDescent="0.25">
      <c r="A835" s="317" t="str">
        <f>"# Triple-Bogeys Women Rating &gt; "&amp;Parameter!$B$33</f>
        <v># Triple-Bogeys Women Rating &gt; 600</v>
      </c>
      <c r="B835" s="297">
        <f>MATCH(A835,Data!$DT:$DT,0)</f>
        <v>15</v>
      </c>
      <c r="C835" s="78">
        <f>INDEX(Parameter!$9:$9,,MATCH(23,Parameter!$8:$8,0))</f>
        <v>23</v>
      </c>
      <c r="D835" s="78" t="str">
        <f>INDEX(Parameter!$B$10:$AB$10,MATCH(C835,Parameter!$B$9:$AB$9,0))</f>
        <v>no</v>
      </c>
      <c r="H835" s="78">
        <f ca="1">INDEX(OFFSET(Data!$CS$1:$DS$1,B835-1,0),MATCH("Total/"&amp;C835,Data!$CS$1:$DS$1,0))</f>
        <v>0</v>
      </c>
      <c r="I835" s="78" t="str">
        <f t="shared" ca="1" si="58"/>
        <v/>
      </c>
      <c r="J835" s="78" t="str">
        <f t="array" aca="1" ref="J835" ca="1">IF(H835=1,MATCH(1,(OFFSET(Data!$DY$1:$IB$1,B835-1,0))*(Data!$DY$90:$IB$90=C835),0),"")</f>
        <v/>
      </c>
      <c r="K835" s="78" t="str">
        <f t="array" aca="1" ref="K835" ca="1">IF(H835=1,MATCH(I835,OFFSET(Data!$DX$91:$DX$190,0,Specials!J835)*(Data!$AM$91:$AM$190&gt;Parameter!$B$33)*(Data!$DW$91:$DW$190="W"),0),"")</f>
        <v/>
      </c>
      <c r="L835" s="78" t="str">
        <f ca="1">IF(H835=1,INDEX(Data!$DT$91:$DT$190,$K835)&amp;" / "&amp;OFFSET(Data!$DX$89,0,Specials!J835),"")</f>
        <v/>
      </c>
      <c r="M835" s="78" t="s">
        <v>16</v>
      </c>
      <c r="N835" s="78" t="s">
        <v>255</v>
      </c>
      <c r="O835" s="78" t="e">
        <f t="shared" ca="1" si="54"/>
        <v>#VALUE!</v>
      </c>
      <c r="P835" s="78" t="str">
        <f t="shared" ca="1" si="59"/>
        <v/>
      </c>
    </row>
    <row r="836" spans="1:16" s="78" customFormat="1" hidden="1" x14ac:dyDescent="0.25">
      <c r="A836" s="317" t="str">
        <f>"# Triple-Bogeys Women Rating &gt; "&amp;Parameter!$B$33</f>
        <v># Triple-Bogeys Women Rating &gt; 600</v>
      </c>
      <c r="B836" s="297">
        <f>MATCH(A836,Data!$DT:$DT,0)</f>
        <v>15</v>
      </c>
      <c r="C836" s="78">
        <f>INDEX(Parameter!$9:$9,,MATCH(24,Parameter!$8:$8,0))</f>
        <v>24</v>
      </c>
      <c r="D836" s="78" t="str">
        <f>INDEX(Parameter!$B$10:$AB$10,MATCH(C836,Parameter!$B$9:$AB$9,0))</f>
        <v>no</v>
      </c>
      <c r="H836" s="78">
        <f ca="1">INDEX(OFFSET(Data!$CS$1:$DS$1,B836-1,0),MATCH("Total/"&amp;C836,Data!$CS$1:$DS$1,0))</f>
        <v>0</v>
      </c>
      <c r="I836" s="78" t="str">
        <f t="shared" ca="1" si="58"/>
        <v/>
      </c>
      <c r="J836" s="78" t="str">
        <f t="array" aca="1" ref="J836" ca="1">IF(H836=1,MATCH(1,(OFFSET(Data!$DY$1:$IB$1,B836-1,0))*(Data!$DY$90:$IB$90=C836),0),"")</f>
        <v/>
      </c>
      <c r="K836" s="78" t="str">
        <f t="array" aca="1" ref="K836" ca="1">IF(H836=1,MATCH(I836,OFFSET(Data!$DX$91:$DX$190,0,Specials!J836)*(Data!$AM$91:$AM$190&gt;Parameter!$B$33)*(Data!$DW$91:$DW$190="W"),0),"")</f>
        <v/>
      </c>
      <c r="L836" s="78" t="str">
        <f ca="1">IF(H836=1,INDEX(Data!$DT$91:$DT$190,$K836)&amp;" / "&amp;OFFSET(Data!$DX$89,0,Specials!J836),"")</f>
        <v/>
      </c>
      <c r="M836" s="78" t="s">
        <v>16</v>
      </c>
      <c r="N836" s="78" t="s">
        <v>255</v>
      </c>
      <c r="O836" s="78" t="e">
        <f t="shared" ref="O836:O899" ca="1" si="60">IF(AND($P836&lt;&gt;"",$N836="yes"),O835+1,O835)</f>
        <v>#VALUE!</v>
      </c>
      <c r="P836" s="78" t="str">
        <f t="shared" ca="1" si="59"/>
        <v/>
      </c>
    </row>
    <row r="837" spans="1:16" s="78" customFormat="1" hidden="1" x14ac:dyDescent="0.25">
      <c r="A837" s="317" t="str">
        <f>"# Triple-Bogeys Women Rating &gt; "&amp;Parameter!$B$33</f>
        <v># Triple-Bogeys Women Rating &gt; 600</v>
      </c>
      <c r="B837" s="297">
        <f>MATCH(A837,Data!$DT:$DT,0)</f>
        <v>15</v>
      </c>
      <c r="C837" s="78">
        <f>INDEX(Parameter!$9:$9,,MATCH(25,Parameter!$8:$8,0))</f>
        <v>25</v>
      </c>
      <c r="D837" s="78" t="str">
        <f>INDEX(Parameter!$B$10:$AB$10,MATCH(C837,Parameter!$B$9:$AB$9,0))</f>
        <v>no</v>
      </c>
      <c r="H837" s="78">
        <f ca="1">INDEX(OFFSET(Data!$CS$1:$DS$1,B837-1,0),MATCH("Total/"&amp;C837,Data!$CS$1:$DS$1,0))</f>
        <v>0</v>
      </c>
      <c r="I837" s="78" t="str">
        <f t="shared" ca="1" si="58"/>
        <v/>
      </c>
      <c r="J837" s="78" t="str">
        <f t="array" aca="1" ref="J837" ca="1">IF(H837=1,MATCH(1,(OFFSET(Data!$DY$1:$IB$1,B837-1,0))*(Data!$DY$90:$IB$90=C837),0),"")</f>
        <v/>
      </c>
      <c r="K837" s="78" t="str">
        <f t="array" aca="1" ref="K837" ca="1">IF(H837=1,MATCH(I837,OFFSET(Data!$DX$91:$DX$190,0,Specials!J837)*(Data!$AM$91:$AM$190&gt;Parameter!$B$33)*(Data!$DW$91:$DW$190="W"),0),"")</f>
        <v/>
      </c>
      <c r="L837" s="78" t="str">
        <f ca="1">IF(H837=1,INDEX(Data!$DT$91:$DT$190,$K837)&amp;" / "&amp;OFFSET(Data!$DX$89,0,Specials!J837),"")</f>
        <v/>
      </c>
      <c r="M837" s="78" t="s">
        <v>16</v>
      </c>
      <c r="N837" s="78" t="s">
        <v>255</v>
      </c>
      <c r="O837" s="78" t="e">
        <f t="shared" ca="1" si="60"/>
        <v>#VALUE!</v>
      </c>
      <c r="P837" s="78" t="str">
        <f t="shared" ca="1" si="59"/>
        <v/>
      </c>
    </row>
    <row r="838" spans="1:16" s="78" customFormat="1" hidden="1" x14ac:dyDescent="0.25">
      <c r="A838" s="317" t="str">
        <f>"# Triple-Bogeys Women Rating &gt; "&amp;Parameter!$B$33</f>
        <v># Triple-Bogeys Women Rating &gt; 600</v>
      </c>
      <c r="B838" s="297">
        <f>MATCH(A838,Data!$DT:$DT,0)</f>
        <v>15</v>
      </c>
      <c r="C838" s="78">
        <f>INDEX(Parameter!$9:$9,,MATCH(26,Parameter!$8:$8,0))</f>
        <v>26</v>
      </c>
      <c r="D838" s="78" t="str">
        <f>INDEX(Parameter!$B$10:$AB$10,MATCH(C838,Parameter!$B$9:$AB$9,0))</f>
        <v>no</v>
      </c>
      <c r="H838" s="78">
        <f ca="1">INDEX(OFFSET(Data!$CS$1:$DS$1,B838-1,0),MATCH("Total/"&amp;C838,Data!$CS$1:$DS$1,0))</f>
        <v>0</v>
      </c>
      <c r="I838" s="78" t="str">
        <f t="shared" ca="1" si="58"/>
        <v/>
      </c>
      <c r="J838" s="78" t="str">
        <f t="array" aca="1" ref="J838" ca="1">IF(H838=1,MATCH(1,(OFFSET(Data!$DY$1:$IB$1,B838-1,0))*(Data!$DY$90:$IB$90=C838),0),"")</f>
        <v/>
      </c>
      <c r="K838" s="78" t="str">
        <f t="array" aca="1" ref="K838" ca="1">IF(H838=1,MATCH(I838,OFFSET(Data!$DX$91:$DX$190,0,Specials!J838)*(Data!$AM$91:$AM$190&gt;Parameter!$B$33)*(Data!$DW$91:$DW$190="W"),0),"")</f>
        <v/>
      </c>
      <c r="L838" s="78" t="str">
        <f ca="1">IF(H838=1,INDEX(Data!$DT$91:$DT$190,$K838)&amp;" / "&amp;OFFSET(Data!$DX$89,0,Specials!J838),"")</f>
        <v/>
      </c>
      <c r="M838" s="78" t="s">
        <v>16</v>
      </c>
      <c r="N838" s="78" t="s">
        <v>255</v>
      </c>
      <c r="O838" s="78" t="e">
        <f t="shared" ca="1" si="60"/>
        <v>#VALUE!</v>
      </c>
      <c r="P838" s="78" t="str">
        <f t="shared" ca="1" si="59"/>
        <v/>
      </c>
    </row>
    <row r="839" spans="1:16" s="78" customFormat="1" hidden="1" x14ac:dyDescent="0.25">
      <c r="A839" s="317" t="str">
        <f>"# Triple-Bogeys Women Rating &gt; "&amp;Parameter!$B$33</f>
        <v># Triple-Bogeys Women Rating &gt; 600</v>
      </c>
      <c r="B839" s="297">
        <f>MATCH(A839,Data!$DT:$DT,0)</f>
        <v>15</v>
      </c>
      <c r="C839" s="78">
        <f>INDEX(Parameter!$9:$9,,MATCH(27,Parameter!$8:$8,0))</f>
        <v>27</v>
      </c>
      <c r="D839" s="78" t="str">
        <f>INDEX(Parameter!$B$10:$AB$10,MATCH(C839,Parameter!$B$9:$AB$9,0))</f>
        <v>no</v>
      </c>
      <c r="H839" s="78">
        <f ca="1">INDEX(OFFSET(Data!$CS$1:$DS$1,B839-1,0),MATCH("Total/"&amp;C839,Data!$CS$1:$DS$1,0))</f>
        <v>0</v>
      </c>
      <c r="I839" s="78" t="str">
        <f t="shared" ca="1" si="58"/>
        <v/>
      </c>
      <c r="J839" s="78" t="str">
        <f t="array" aca="1" ref="J839" ca="1">IF(H839=1,MATCH(1,(OFFSET(Data!$DY$1:$IB$1,B839-1,0))*(Data!$DY$90:$IB$90=C839),0),"")</f>
        <v/>
      </c>
      <c r="K839" s="78" t="str">
        <f t="array" aca="1" ref="K839" ca="1">IF(H839=1,MATCH(I839,OFFSET(Data!$DX$91:$DX$190,0,Specials!J839)*(Data!$AM$91:$AM$190&gt;Parameter!$B$33)*(Data!$DW$91:$DW$190="W"),0),"")</f>
        <v/>
      </c>
      <c r="L839" s="78" t="str">
        <f ca="1">IF(H839=1,INDEX(Data!$DT$91:$DT$190,$K839)&amp;" / "&amp;OFFSET(Data!$DX$89,0,Specials!J839),"")</f>
        <v/>
      </c>
      <c r="M839" s="78" t="s">
        <v>16</v>
      </c>
      <c r="N839" s="78" t="s">
        <v>255</v>
      </c>
      <c r="O839" s="78" t="e">
        <f t="shared" ca="1" si="60"/>
        <v>#VALUE!</v>
      </c>
      <c r="P839" s="78" t="str">
        <f ca="1">IF(H839=1,"Only 1 Triple-Bogey on hole "&amp;C839&amp;" (par "&amp;D839&amp;")","")</f>
        <v/>
      </c>
    </row>
    <row r="840" spans="1:16" s="65" customFormat="1" ht="15" hidden="1" customHeight="1" x14ac:dyDescent="0.25">
      <c r="A840" s="289" t="str">
        <f>"# Oh dear Women Rating &gt; "&amp;Parameter!$B$33</f>
        <v># Oh dear Women Rating &gt; 600</v>
      </c>
      <c r="B840" s="294">
        <f>MATCH(A840,Data!$DT:$DT,0)</f>
        <v>18</v>
      </c>
      <c r="C840" s="65">
        <f>INDEX(Parameter!$9:$9,,MATCH(1,Parameter!$8:$8,0))</f>
        <v>1</v>
      </c>
      <c r="D840" s="65">
        <f>INDEX(Parameter!$B$10:$AB$10,MATCH(C840,Parameter!$B$9:$AB$9,0))</f>
        <v>3</v>
      </c>
      <c r="H840" s="65">
        <f ca="1">INDEX(OFFSET(Data!$CS$1:$DS$1,B840-1,0),MATCH("Total/"&amp;C840,Data!$CS$1:$DS$1,0))</f>
        <v>0</v>
      </c>
      <c r="I840" s="65" t="str">
        <f ca="1">IF(H840=1,INDEX(Parameter!$B$10:$AB$10,MATCH(C840,Parameter!$B$9:$AB$9,0))+4,"")</f>
        <v/>
      </c>
      <c r="J840" s="65" t="str">
        <f t="array" aca="1" ref="J840" ca="1">IF(H840=1,MATCH(1,(OFFSET(Data!$DY$1:$IB$1,B840-1,0))*(Data!$DY$90:$IB$90=C840),0),"")</f>
        <v/>
      </c>
      <c r="K840" s="65" t="str">
        <f t="array" aca="1" ref="K840" ca="1">IF(H840=1,MATCH(I840,OFFSET(Data!$DX$91:$DX$190,0,Specials!J840)*(Data!$AM$91:$AM$190&gt;Parameter!$B$33)*(Data!$DW$91:$DW$190="W"),0),"")</f>
        <v/>
      </c>
      <c r="L840" s="65" t="str">
        <f ca="1">IF(H840=1,INDEX(Data!$DT$91:$DT$190,$K840)&amp;" / "&amp;OFFSET(Data!$DX$89,0,Specials!J840),"")</f>
        <v/>
      </c>
      <c r="M840" s="65" t="s">
        <v>16</v>
      </c>
      <c r="N840" s="65" t="s">
        <v>255</v>
      </c>
      <c r="O840" s="65" t="e">
        <f t="shared" ca="1" si="60"/>
        <v>#VALUE!</v>
      </c>
      <c r="P840" s="65" t="str">
        <f ca="1">IF(AND(H840=1,ISERROR(K840)=FALSE),"Only 1 Oh Dear on hole "&amp;C840&amp;" (par "&amp;D840&amp;")","")</f>
        <v/>
      </c>
    </row>
    <row r="841" spans="1:16" s="65" customFormat="1" hidden="1" x14ac:dyDescent="0.25">
      <c r="A841" s="289" t="str">
        <f>"# Oh dear Women Rating &gt; "&amp;Parameter!$B$33</f>
        <v># Oh dear Women Rating &gt; 600</v>
      </c>
      <c r="B841" s="294">
        <f>MATCH(A841,Data!$DT:$DT,0)</f>
        <v>18</v>
      </c>
      <c r="C841" s="65">
        <f>INDEX(Parameter!$9:$9,,MATCH(2,Parameter!$8:$8,0))</f>
        <v>2</v>
      </c>
      <c r="D841" s="65">
        <f>INDEX(Parameter!$B$10:$AB$10,MATCH(C841,Parameter!$B$9:$AB$9,0))</f>
        <v>3</v>
      </c>
      <c r="H841" s="65">
        <f ca="1">INDEX(OFFSET(Data!$CS$1:$DS$1,B841-1,0),MATCH("Total/"&amp;C841,Data!$CS$1:$DS$1,0))</f>
        <v>0</v>
      </c>
      <c r="I841" s="65" t="str">
        <f ca="1">IF(H841=1,INDEX(Parameter!$B$10:$AB$10,MATCH(C841,Parameter!$B$9:$AB$9,0))+4,"")</f>
        <v/>
      </c>
      <c r="J841" s="65" t="str">
        <f t="array" aca="1" ref="J841" ca="1">IF(H841=1,MATCH(1,(OFFSET(Data!$DY$1:$IB$1,B841-1,0))*(Data!$DY$90:$IB$90=C841),0),"")</f>
        <v/>
      </c>
      <c r="K841" s="65" t="str">
        <f t="array" aca="1" ref="K841" ca="1">IF(H841=1,MATCH(I841,OFFSET(Data!$DX$91:$DX$190,0,Specials!J841)*(Data!$AM$91:$AM$190&gt;Parameter!$B$33)*(Data!$DW$91:$DW$190="W"),0),"")</f>
        <v/>
      </c>
      <c r="L841" s="65" t="str">
        <f ca="1">IF(H841=1,INDEX(Data!$DT$91:$DT$190,$K841)&amp;" / "&amp;OFFSET(Data!$DX$89,0,Specials!J841),"")</f>
        <v/>
      </c>
      <c r="M841" s="65" t="s">
        <v>16</v>
      </c>
      <c r="N841" s="65" t="s">
        <v>255</v>
      </c>
      <c r="O841" s="65" t="e">
        <f t="shared" ca="1" si="60"/>
        <v>#VALUE!</v>
      </c>
      <c r="P841" s="65" t="str">
        <f t="shared" ref="P841:P904" ca="1" si="61">IF(AND(H841=1,ISERROR(K841)=FALSE),"Only 1 Oh Dear on hole "&amp;C841&amp;" (par "&amp;D841&amp;")","")</f>
        <v/>
      </c>
    </row>
    <row r="842" spans="1:16" s="65" customFormat="1" hidden="1" x14ac:dyDescent="0.25">
      <c r="A842" s="289" t="str">
        <f>"# Oh dear Women Rating &gt; "&amp;Parameter!$B$33</f>
        <v># Oh dear Women Rating &gt; 600</v>
      </c>
      <c r="B842" s="294">
        <f>MATCH(A842,Data!$DT:$DT,0)</f>
        <v>18</v>
      </c>
      <c r="C842" s="65">
        <f>INDEX(Parameter!$9:$9,,MATCH(3,Parameter!$8:$8,0))</f>
        <v>3</v>
      </c>
      <c r="D842" s="65">
        <f>INDEX(Parameter!$B$10:$AB$10,MATCH(C842,Parameter!$B$9:$AB$9,0))</f>
        <v>3</v>
      </c>
      <c r="H842" s="65">
        <f ca="1">INDEX(OFFSET(Data!$CS$1:$DS$1,B842-1,0),MATCH("Total/"&amp;C842,Data!$CS$1:$DS$1,0))</f>
        <v>0</v>
      </c>
      <c r="I842" s="65" t="str">
        <f ca="1">IF(H842=1,INDEX(Parameter!$B$10:$AB$10,MATCH(C842,Parameter!$B$9:$AB$9,0))+4,"")</f>
        <v/>
      </c>
      <c r="J842" s="65" t="str">
        <f t="array" aca="1" ref="J842" ca="1">IF(H842=1,MATCH(1,(OFFSET(Data!$DY$1:$IB$1,B842-1,0))*(Data!$DY$90:$IB$90=C842),0),"")</f>
        <v/>
      </c>
      <c r="K842" s="65" t="str">
        <f t="array" aca="1" ref="K842" ca="1">IF(H842=1,MATCH(I842,OFFSET(Data!$DX$91:$DX$190,0,Specials!J842)*(Data!$AM$91:$AM$190&gt;Parameter!$B$33)*(Data!$DW$91:$DW$190="W"),0),"")</f>
        <v/>
      </c>
      <c r="L842" s="65" t="str">
        <f ca="1">IF(H842=1,INDEX(Data!$DT$91:$DT$190,$K842)&amp;" / "&amp;OFFSET(Data!$DX$89,0,Specials!J842),"")</f>
        <v/>
      </c>
      <c r="M842" s="65" t="s">
        <v>16</v>
      </c>
      <c r="N842" s="65" t="s">
        <v>255</v>
      </c>
      <c r="O842" s="65" t="e">
        <f t="shared" ca="1" si="60"/>
        <v>#VALUE!</v>
      </c>
      <c r="P842" s="65" t="str">
        <f t="shared" ca="1" si="61"/>
        <v/>
      </c>
    </row>
    <row r="843" spans="1:16" s="65" customFormat="1" hidden="1" x14ac:dyDescent="0.25">
      <c r="A843" s="289" t="str">
        <f>"# Oh dear Women Rating &gt; "&amp;Parameter!$B$33</f>
        <v># Oh dear Women Rating &gt; 600</v>
      </c>
      <c r="B843" s="294">
        <f>MATCH(A843,Data!$DT:$DT,0)</f>
        <v>18</v>
      </c>
      <c r="C843" s="65">
        <f>INDEX(Parameter!$9:$9,,MATCH(4,Parameter!$8:$8,0))</f>
        <v>4</v>
      </c>
      <c r="D843" s="65">
        <f>INDEX(Parameter!$B$10:$AB$10,MATCH(C843,Parameter!$B$9:$AB$9,0))</f>
        <v>3</v>
      </c>
      <c r="H843" s="65">
        <f ca="1">INDEX(OFFSET(Data!$CS$1:$DS$1,B843-1,0),MATCH("Total/"&amp;C843,Data!$CS$1:$DS$1,0))</f>
        <v>0</v>
      </c>
      <c r="I843" s="65" t="str">
        <f ca="1">IF(H843=1,INDEX(Parameter!$B$10:$AB$10,MATCH(C843,Parameter!$B$9:$AB$9,0))+4,"")</f>
        <v/>
      </c>
      <c r="J843" s="65" t="str">
        <f t="array" aca="1" ref="J843" ca="1">IF(H843=1,MATCH(1,(OFFSET(Data!$DY$1:$IB$1,B843-1,0))*(Data!$DY$90:$IB$90=C843),0),"")</f>
        <v/>
      </c>
      <c r="K843" s="65" t="str">
        <f t="array" aca="1" ref="K843" ca="1">IF(H843=1,MATCH(I843,OFFSET(Data!$DX$91:$DX$190,0,Specials!J843)*(Data!$AM$91:$AM$190&gt;Parameter!$B$33)*(Data!$DW$91:$DW$190="W"),0),"")</f>
        <v/>
      </c>
      <c r="L843" s="65" t="str">
        <f ca="1">IF(H843=1,INDEX(Data!$DT$91:$DT$190,$K843)&amp;" / "&amp;OFFSET(Data!$DX$89,0,Specials!J843),"")</f>
        <v/>
      </c>
      <c r="M843" s="65" t="s">
        <v>16</v>
      </c>
      <c r="N843" s="65" t="s">
        <v>255</v>
      </c>
      <c r="O843" s="65" t="e">
        <f t="shared" ca="1" si="60"/>
        <v>#VALUE!</v>
      </c>
      <c r="P843" s="65" t="str">
        <f t="shared" ca="1" si="61"/>
        <v/>
      </c>
    </row>
    <row r="844" spans="1:16" s="65" customFormat="1" hidden="1" x14ac:dyDescent="0.25">
      <c r="A844" s="289" t="str">
        <f>"# Oh dear Women Rating &gt; "&amp;Parameter!$B$33</f>
        <v># Oh dear Women Rating &gt; 600</v>
      </c>
      <c r="B844" s="294">
        <f>MATCH(A844,Data!$DT:$DT,0)</f>
        <v>18</v>
      </c>
      <c r="C844" s="65">
        <f>INDEX(Parameter!$9:$9,,MATCH(5,Parameter!$8:$8,0))</f>
        <v>5</v>
      </c>
      <c r="D844" s="65">
        <f>INDEX(Parameter!$B$10:$AB$10,MATCH(C844,Parameter!$B$9:$AB$9,0))</f>
        <v>4</v>
      </c>
      <c r="H844" s="65">
        <f ca="1">INDEX(OFFSET(Data!$CS$1:$DS$1,B844-1,0),MATCH("Total/"&amp;C844,Data!$CS$1:$DS$1,0))</f>
        <v>0</v>
      </c>
      <c r="I844" s="65" t="str">
        <f ca="1">IF(H844=1,INDEX(Parameter!$B$10:$AB$10,MATCH(C844,Parameter!$B$9:$AB$9,0))+4,"")</f>
        <v/>
      </c>
      <c r="J844" s="65" t="str">
        <f t="array" aca="1" ref="J844" ca="1">IF(H844=1,MATCH(1,(OFFSET(Data!$DY$1:$IB$1,B844-1,0))*(Data!$DY$90:$IB$90=C844),0),"")</f>
        <v/>
      </c>
      <c r="K844" s="65" t="str">
        <f t="array" aca="1" ref="K844" ca="1">IF(H844=1,MATCH(I844,OFFSET(Data!$DX$91:$DX$190,0,Specials!J844)*(Data!$AM$91:$AM$190&gt;Parameter!$B$33)*(Data!$DW$91:$DW$190="W"),0),"")</f>
        <v/>
      </c>
      <c r="L844" s="65" t="str">
        <f ca="1">IF(H844=1,INDEX(Data!$DT$91:$DT$190,$K844)&amp;" / "&amp;OFFSET(Data!$DX$89,0,Specials!J844),"")</f>
        <v/>
      </c>
      <c r="M844" s="65" t="s">
        <v>16</v>
      </c>
      <c r="N844" s="65" t="s">
        <v>255</v>
      </c>
      <c r="O844" s="65" t="e">
        <f t="shared" ca="1" si="60"/>
        <v>#VALUE!</v>
      </c>
      <c r="P844" s="65" t="str">
        <f t="shared" ca="1" si="61"/>
        <v/>
      </c>
    </row>
    <row r="845" spans="1:16" s="65" customFormat="1" hidden="1" x14ac:dyDescent="0.25">
      <c r="A845" s="289" t="str">
        <f>"# Oh dear Women Rating &gt; "&amp;Parameter!$B$33</f>
        <v># Oh dear Women Rating &gt; 600</v>
      </c>
      <c r="B845" s="294">
        <f>MATCH(A845,Data!$DT:$DT,0)</f>
        <v>18</v>
      </c>
      <c r="C845" s="65">
        <f>INDEX(Parameter!$9:$9,,MATCH(6,Parameter!$8:$8,0))</f>
        <v>6</v>
      </c>
      <c r="D845" s="65">
        <f>INDEX(Parameter!$B$10:$AB$10,MATCH(C845,Parameter!$B$9:$AB$9,0))</f>
        <v>3</v>
      </c>
      <c r="H845" s="65">
        <f ca="1">INDEX(OFFSET(Data!$CS$1:$DS$1,B845-1,0),MATCH("Total/"&amp;C845,Data!$CS$1:$DS$1,0))</f>
        <v>0</v>
      </c>
      <c r="I845" s="65" t="str">
        <f ca="1">IF(H845=1,INDEX(Parameter!$B$10:$AB$10,MATCH(C845,Parameter!$B$9:$AB$9,0))+4,"")</f>
        <v/>
      </c>
      <c r="J845" s="65" t="str">
        <f t="array" aca="1" ref="J845" ca="1">IF(H845=1,MATCH(1,(OFFSET(Data!$DY$1:$IB$1,B845-1,0))*(Data!$DY$90:$IB$90=C845),0),"")</f>
        <v/>
      </c>
      <c r="K845" s="65" t="str">
        <f t="array" aca="1" ref="K845" ca="1">IF(H845=1,MATCH(I845,OFFSET(Data!$DX$91:$DX$190,0,Specials!J845)*(Data!$AM$91:$AM$190&gt;Parameter!$B$33)*(Data!$DW$91:$DW$190="W"),0),"")</f>
        <v/>
      </c>
      <c r="L845" s="65" t="str">
        <f ca="1">IF(H845=1,INDEX(Data!$DT$91:$DT$190,$K845)&amp;" / "&amp;OFFSET(Data!$DX$89,0,Specials!J845),"")</f>
        <v/>
      </c>
      <c r="M845" s="65" t="s">
        <v>16</v>
      </c>
      <c r="N845" s="65" t="s">
        <v>255</v>
      </c>
      <c r="O845" s="65" t="e">
        <f t="shared" ca="1" si="60"/>
        <v>#VALUE!</v>
      </c>
      <c r="P845" s="65" t="str">
        <f t="shared" ca="1" si="61"/>
        <v/>
      </c>
    </row>
    <row r="846" spans="1:16" s="65" customFormat="1" hidden="1" x14ac:dyDescent="0.25">
      <c r="A846" s="289" t="str">
        <f>"# Oh dear Women Rating &gt; "&amp;Parameter!$B$33</f>
        <v># Oh dear Women Rating &gt; 600</v>
      </c>
      <c r="B846" s="294">
        <f>MATCH(A846,Data!$DT:$DT,0)</f>
        <v>18</v>
      </c>
      <c r="C846" s="65">
        <f>INDEX(Parameter!$9:$9,,MATCH(7,Parameter!$8:$8,0))</f>
        <v>7</v>
      </c>
      <c r="D846" s="65">
        <f>INDEX(Parameter!$B$10:$AB$10,MATCH(C846,Parameter!$B$9:$AB$9,0))</f>
        <v>3</v>
      </c>
      <c r="H846" s="65">
        <f ca="1">INDEX(OFFSET(Data!$CS$1:$DS$1,B846-1,0),MATCH("Total/"&amp;C846,Data!$CS$1:$DS$1,0))</f>
        <v>0</v>
      </c>
      <c r="I846" s="65" t="str">
        <f ca="1">IF(H846=1,INDEX(Parameter!$B$10:$AB$10,MATCH(C846,Parameter!$B$9:$AB$9,0))+4,"")</f>
        <v/>
      </c>
      <c r="J846" s="65" t="str">
        <f t="array" aca="1" ref="J846" ca="1">IF(H846=1,MATCH(1,(OFFSET(Data!$DY$1:$IB$1,B846-1,0))*(Data!$DY$90:$IB$90=C846),0),"")</f>
        <v/>
      </c>
      <c r="K846" s="65" t="str">
        <f t="array" aca="1" ref="K846" ca="1">IF(H846=1,MATCH(I846,OFFSET(Data!$DX$91:$DX$190,0,Specials!J846)*(Data!$AM$91:$AM$190&gt;Parameter!$B$33)*(Data!$DW$91:$DW$190="W"),0),"")</f>
        <v/>
      </c>
      <c r="L846" s="65" t="str">
        <f ca="1">IF(H846=1,INDEX(Data!$DT$91:$DT$190,$K846)&amp;" / "&amp;OFFSET(Data!$DX$89,0,Specials!J846),"")</f>
        <v/>
      </c>
      <c r="M846" s="65" t="s">
        <v>16</v>
      </c>
      <c r="N846" s="65" t="s">
        <v>255</v>
      </c>
      <c r="O846" s="65" t="e">
        <f t="shared" ca="1" si="60"/>
        <v>#VALUE!</v>
      </c>
      <c r="P846" s="65" t="str">
        <f t="shared" ca="1" si="61"/>
        <v/>
      </c>
    </row>
    <row r="847" spans="1:16" s="65" customFormat="1" hidden="1" x14ac:dyDescent="0.25">
      <c r="A847" s="289" t="str">
        <f>"# Oh dear Women Rating &gt; "&amp;Parameter!$B$33</f>
        <v># Oh dear Women Rating &gt; 600</v>
      </c>
      <c r="B847" s="294">
        <f>MATCH(A847,Data!$DT:$DT,0)</f>
        <v>18</v>
      </c>
      <c r="C847" s="65">
        <f>INDEX(Parameter!$9:$9,,MATCH(8,Parameter!$8:$8,0))</f>
        <v>8</v>
      </c>
      <c r="D847" s="65">
        <f>INDEX(Parameter!$B$10:$AB$10,MATCH(C847,Parameter!$B$9:$AB$9,0))</f>
        <v>3</v>
      </c>
      <c r="H847" s="65">
        <f ca="1">INDEX(OFFSET(Data!$CS$1:$DS$1,B847-1,0),MATCH("Total/"&amp;C847,Data!$CS$1:$DS$1,0))</f>
        <v>0</v>
      </c>
      <c r="I847" s="65" t="str">
        <f ca="1">IF(H847=1,INDEX(Parameter!$B$10:$AB$10,MATCH(C847,Parameter!$B$9:$AB$9,0))+4,"")</f>
        <v/>
      </c>
      <c r="J847" s="65" t="str">
        <f t="array" aca="1" ref="J847" ca="1">IF(H847=1,MATCH(1,(OFFSET(Data!$DY$1:$IB$1,B847-1,0))*(Data!$DY$90:$IB$90=C847),0),"")</f>
        <v/>
      </c>
      <c r="K847" s="65" t="str">
        <f t="array" aca="1" ref="K847" ca="1">IF(H847=1,MATCH(I847,OFFSET(Data!$DX$91:$DX$190,0,Specials!J847)*(Data!$AM$91:$AM$190&gt;Parameter!$B$33)*(Data!$DW$91:$DW$190="W"),0),"")</f>
        <v/>
      </c>
      <c r="L847" s="65" t="str">
        <f ca="1">IF(H847=1,INDEX(Data!$DT$91:$DT$190,$K847)&amp;" / "&amp;OFFSET(Data!$DX$89,0,Specials!J847),"")</f>
        <v/>
      </c>
      <c r="M847" s="65" t="s">
        <v>16</v>
      </c>
      <c r="N847" s="65" t="s">
        <v>255</v>
      </c>
      <c r="O847" s="65" t="e">
        <f t="shared" ca="1" si="60"/>
        <v>#VALUE!</v>
      </c>
      <c r="P847" s="65" t="str">
        <f t="shared" ca="1" si="61"/>
        <v/>
      </c>
    </row>
    <row r="848" spans="1:16" s="65" customFormat="1" hidden="1" x14ac:dyDescent="0.25">
      <c r="A848" s="289" t="str">
        <f>"# Oh dear Women Rating &gt; "&amp;Parameter!$B$33</f>
        <v># Oh dear Women Rating &gt; 600</v>
      </c>
      <c r="B848" s="294">
        <f>MATCH(A848,Data!$DT:$DT,0)</f>
        <v>18</v>
      </c>
      <c r="C848" s="65">
        <f>INDEX(Parameter!$9:$9,,MATCH(9,Parameter!$8:$8,0))</f>
        <v>9</v>
      </c>
      <c r="D848" s="65">
        <f>INDEX(Parameter!$B$10:$AB$10,MATCH(C848,Parameter!$B$9:$AB$9,0))</f>
        <v>4</v>
      </c>
      <c r="H848" s="65">
        <f ca="1">INDEX(OFFSET(Data!$CS$1:$DS$1,B848-1,0),MATCH("Total/"&amp;C848,Data!$CS$1:$DS$1,0))</f>
        <v>0</v>
      </c>
      <c r="I848" s="65" t="str">
        <f ca="1">IF(H848=1,INDEX(Parameter!$B$10:$AB$10,MATCH(C848,Parameter!$B$9:$AB$9,0))+4,"")</f>
        <v/>
      </c>
      <c r="J848" s="65" t="str">
        <f t="array" aca="1" ref="J848" ca="1">IF(H848=1,MATCH(1,(OFFSET(Data!$DY$1:$IB$1,B848-1,0))*(Data!$DY$90:$IB$90=C848),0),"")</f>
        <v/>
      </c>
      <c r="K848" s="65" t="str">
        <f t="array" aca="1" ref="K848" ca="1">IF(H848=1,MATCH(I848,OFFSET(Data!$DX$91:$DX$190,0,Specials!J848)*(Data!$AM$91:$AM$190&gt;Parameter!$B$33)*(Data!$DW$91:$DW$190="W"),0),"")</f>
        <v/>
      </c>
      <c r="L848" s="65" t="str">
        <f ca="1">IF(H848=1,INDEX(Data!$DT$91:$DT$190,$K848)&amp;" / "&amp;OFFSET(Data!$DX$89,0,Specials!J848),"")</f>
        <v/>
      </c>
      <c r="M848" s="65" t="s">
        <v>16</v>
      </c>
      <c r="N848" s="65" t="s">
        <v>255</v>
      </c>
      <c r="O848" s="65" t="e">
        <f t="shared" ca="1" si="60"/>
        <v>#VALUE!</v>
      </c>
      <c r="P848" s="65" t="str">
        <f t="shared" ca="1" si="61"/>
        <v/>
      </c>
    </row>
    <row r="849" spans="1:16" s="65" customFormat="1" hidden="1" x14ac:dyDescent="0.25">
      <c r="A849" s="289" t="str">
        <f>"# Oh dear Women Rating &gt; "&amp;Parameter!$B$33</f>
        <v># Oh dear Women Rating &gt; 600</v>
      </c>
      <c r="B849" s="294">
        <f>MATCH(A849,Data!$DT:$DT,0)</f>
        <v>18</v>
      </c>
      <c r="C849" s="65">
        <f>INDEX(Parameter!$9:$9,,MATCH(10,Parameter!$8:$8,0))</f>
        <v>10</v>
      </c>
      <c r="D849" s="65">
        <f>INDEX(Parameter!$B$10:$AB$10,MATCH(C849,Parameter!$B$9:$AB$9,0))</f>
        <v>4</v>
      </c>
      <c r="H849" s="65">
        <f ca="1">INDEX(OFFSET(Data!$CS$1:$DS$1,B849-1,0),MATCH("Total/"&amp;C849,Data!$CS$1:$DS$1,0))</f>
        <v>0</v>
      </c>
      <c r="I849" s="65" t="str">
        <f ca="1">IF(H849=1,INDEX(Parameter!$B$10:$AB$10,MATCH(C849,Parameter!$B$9:$AB$9,0))+4,"")</f>
        <v/>
      </c>
      <c r="J849" s="65" t="str">
        <f t="array" aca="1" ref="J849" ca="1">IF(H849=1,MATCH(1,(OFFSET(Data!$DY$1:$IB$1,B849-1,0))*(Data!$DY$90:$IB$90=C849),0),"")</f>
        <v/>
      </c>
      <c r="K849" s="65" t="str">
        <f t="array" aca="1" ref="K849" ca="1">IF(H849=1,MATCH(I849,OFFSET(Data!$DX$91:$DX$190,0,Specials!J849)*(Data!$AM$91:$AM$190&gt;Parameter!$B$33)*(Data!$DW$91:$DW$190="W"),0),"")</f>
        <v/>
      </c>
      <c r="L849" s="65" t="str">
        <f ca="1">IF(H849=1,INDEX(Data!$DT$91:$DT$190,$K849)&amp;" / "&amp;OFFSET(Data!$DX$89,0,Specials!J849),"")</f>
        <v/>
      </c>
      <c r="M849" s="65" t="s">
        <v>16</v>
      </c>
      <c r="N849" s="65" t="s">
        <v>255</v>
      </c>
      <c r="O849" s="65" t="e">
        <f t="shared" ca="1" si="60"/>
        <v>#VALUE!</v>
      </c>
      <c r="P849" s="65" t="str">
        <f t="shared" ca="1" si="61"/>
        <v/>
      </c>
    </row>
    <row r="850" spans="1:16" s="65" customFormat="1" hidden="1" x14ac:dyDescent="0.25">
      <c r="A850" s="289" t="str">
        <f>"# Oh dear Women Rating &gt; "&amp;Parameter!$B$33</f>
        <v># Oh dear Women Rating &gt; 600</v>
      </c>
      <c r="B850" s="294">
        <f>MATCH(A850,Data!$DT:$DT,0)</f>
        <v>18</v>
      </c>
      <c r="C850" s="65">
        <f>INDEX(Parameter!$9:$9,,MATCH(11,Parameter!$8:$8,0))</f>
        <v>11</v>
      </c>
      <c r="D850" s="65">
        <f>INDEX(Parameter!$B$10:$AB$10,MATCH(C850,Parameter!$B$9:$AB$9,0))</f>
        <v>4</v>
      </c>
      <c r="H850" s="65">
        <f ca="1">INDEX(OFFSET(Data!$CS$1:$DS$1,B850-1,0),MATCH("Total/"&amp;C850,Data!$CS$1:$DS$1,0))</f>
        <v>0</v>
      </c>
      <c r="I850" s="65" t="str">
        <f ca="1">IF(H850=1,INDEX(Parameter!$B$10:$AB$10,MATCH(C850,Parameter!$B$9:$AB$9,0))+4,"")</f>
        <v/>
      </c>
      <c r="J850" s="65" t="str">
        <f t="array" aca="1" ref="J850" ca="1">IF(H850=1,MATCH(1,(OFFSET(Data!$DY$1:$IB$1,B850-1,0))*(Data!$DY$90:$IB$90=C850),0),"")</f>
        <v/>
      </c>
      <c r="K850" s="65" t="str">
        <f t="array" aca="1" ref="K850" ca="1">IF(H850=1,MATCH(I850,OFFSET(Data!$DX$91:$DX$190,0,Specials!J850)*(Data!$AM$91:$AM$190&gt;Parameter!$B$33)*(Data!$DW$91:$DW$190="W"),0),"")</f>
        <v/>
      </c>
      <c r="L850" s="65" t="str">
        <f ca="1">IF(H850=1,INDEX(Data!$DT$91:$DT$190,$K850)&amp;" / "&amp;OFFSET(Data!$DX$89,0,Specials!J850),"")</f>
        <v/>
      </c>
      <c r="M850" s="65" t="s">
        <v>16</v>
      </c>
      <c r="N850" s="65" t="s">
        <v>255</v>
      </c>
      <c r="O850" s="65" t="e">
        <f t="shared" ca="1" si="60"/>
        <v>#VALUE!</v>
      </c>
      <c r="P850" s="65" t="str">
        <f t="shared" ca="1" si="61"/>
        <v/>
      </c>
    </row>
    <row r="851" spans="1:16" s="65" customFormat="1" hidden="1" x14ac:dyDescent="0.25">
      <c r="A851" s="289" t="str">
        <f>"# Oh dear Women Rating &gt; "&amp;Parameter!$B$33</f>
        <v># Oh dear Women Rating &gt; 600</v>
      </c>
      <c r="B851" s="294">
        <f>MATCH(A851,Data!$DT:$DT,0)</f>
        <v>18</v>
      </c>
      <c r="C851" s="65" t="str">
        <f>INDEX(Parameter!$9:$9,,MATCH(12,Parameter!$8:$8,0))</f>
        <v>11b</v>
      </c>
      <c r="D851" s="65">
        <f>INDEX(Parameter!$B$10:$AB$10,MATCH(C851,Parameter!$B$9:$AB$9,0))</f>
        <v>3</v>
      </c>
      <c r="H851" s="65">
        <f ca="1">INDEX(OFFSET(Data!$CS$1:$DS$1,B851-1,0),MATCH("Total/"&amp;C851,Data!$CS$1:$DS$1,0))</f>
        <v>0</v>
      </c>
      <c r="I851" s="65" t="str">
        <f ca="1">IF(H851=1,INDEX(Parameter!$B$10:$AB$10,MATCH(C851,Parameter!$B$9:$AB$9,0))+4,"")</f>
        <v/>
      </c>
      <c r="J851" s="65" t="str">
        <f t="array" aca="1" ref="J851" ca="1">IF(H851=1,MATCH(1,(OFFSET(Data!$DY$1:$IB$1,B851-1,0))*(Data!$DY$90:$IB$90=C851),0),"")</f>
        <v/>
      </c>
      <c r="K851" s="65" t="str">
        <f t="array" aca="1" ref="K851" ca="1">IF(H851=1,MATCH(I851,OFFSET(Data!$DX$91:$DX$190,0,Specials!J851)*(Data!$AM$91:$AM$190&gt;Parameter!$B$33)*(Data!$DW$91:$DW$190="W"),0),"")</f>
        <v/>
      </c>
      <c r="L851" s="65" t="str">
        <f ca="1">IF(H851=1,INDEX(Data!$DT$91:$DT$190,$K851)&amp;" / "&amp;OFFSET(Data!$DX$89,0,Specials!J851),"")</f>
        <v/>
      </c>
      <c r="M851" s="65" t="s">
        <v>16</v>
      </c>
      <c r="N851" s="65" t="s">
        <v>255</v>
      </c>
      <c r="O851" s="65" t="e">
        <f t="shared" ca="1" si="60"/>
        <v>#VALUE!</v>
      </c>
      <c r="P851" s="65" t="str">
        <f t="shared" ca="1" si="61"/>
        <v/>
      </c>
    </row>
    <row r="852" spans="1:16" s="65" customFormat="1" hidden="1" x14ac:dyDescent="0.25">
      <c r="A852" s="289" t="str">
        <f>"# Oh dear Women Rating &gt; "&amp;Parameter!$B$33</f>
        <v># Oh dear Women Rating &gt; 600</v>
      </c>
      <c r="B852" s="294">
        <f>MATCH(A852,Data!$DT:$DT,0)</f>
        <v>18</v>
      </c>
      <c r="C852" s="65">
        <f>INDEX(Parameter!$9:$9,,MATCH(13,Parameter!$8:$8,0))</f>
        <v>12</v>
      </c>
      <c r="D852" s="65">
        <f>INDEX(Parameter!$B$10:$AB$10,MATCH(C852,Parameter!$B$9:$AB$9,0))</f>
        <v>3</v>
      </c>
      <c r="H852" s="65">
        <f ca="1">INDEX(OFFSET(Data!$CS$1:$DS$1,B852-1,0),MATCH("Total/"&amp;C852,Data!$CS$1:$DS$1,0))</f>
        <v>0</v>
      </c>
      <c r="I852" s="65" t="str">
        <f ca="1">IF(H852=1,INDEX(Parameter!$B$10:$AB$10,MATCH(C852,Parameter!$B$9:$AB$9,0))+4,"")</f>
        <v/>
      </c>
      <c r="J852" s="65" t="str">
        <f t="array" aca="1" ref="J852" ca="1">IF(H852=1,MATCH(1,(OFFSET(Data!$DY$1:$IB$1,B852-1,0))*(Data!$DY$90:$IB$90=C852),0),"")</f>
        <v/>
      </c>
      <c r="K852" s="65" t="str">
        <f t="array" aca="1" ref="K852" ca="1">IF(H852=1,MATCH(I852,OFFSET(Data!$DX$91:$DX$190,0,Specials!J852)*(Data!$AM$91:$AM$190&gt;Parameter!$B$33)*(Data!$DW$91:$DW$190="W"),0),"")</f>
        <v/>
      </c>
      <c r="L852" s="65" t="str">
        <f ca="1">IF(H852=1,INDEX(Data!$DT$91:$DT$190,$K852)&amp;" / "&amp;OFFSET(Data!$DX$89,0,Specials!J852),"")</f>
        <v/>
      </c>
      <c r="M852" s="65" t="s">
        <v>16</v>
      </c>
      <c r="N852" s="65" t="s">
        <v>255</v>
      </c>
      <c r="O852" s="65" t="e">
        <f t="shared" ca="1" si="60"/>
        <v>#VALUE!</v>
      </c>
      <c r="P852" s="65" t="str">
        <f t="shared" ca="1" si="61"/>
        <v/>
      </c>
    </row>
    <row r="853" spans="1:16" s="65" customFormat="1" hidden="1" x14ac:dyDescent="0.25">
      <c r="A853" s="289" t="str">
        <f>"# Oh dear Women Rating &gt; "&amp;Parameter!$B$33</f>
        <v># Oh dear Women Rating &gt; 600</v>
      </c>
      <c r="B853" s="294">
        <f>MATCH(A853,Data!$DT:$DT,0)</f>
        <v>18</v>
      </c>
      <c r="C853" s="65">
        <f>INDEX(Parameter!$9:$9,,MATCH(14,Parameter!$8:$8,0))</f>
        <v>13</v>
      </c>
      <c r="D853" s="65">
        <f>INDEX(Parameter!$B$10:$AB$10,MATCH(C853,Parameter!$B$9:$AB$9,0))</f>
        <v>3</v>
      </c>
      <c r="H853" s="65">
        <f ca="1">INDEX(OFFSET(Data!$CS$1:$DS$1,B853-1,0),MATCH("Total/"&amp;C853,Data!$CS$1:$DS$1,0))</f>
        <v>0</v>
      </c>
      <c r="I853" s="65" t="str">
        <f ca="1">IF(H853=1,INDEX(Parameter!$B$10:$AB$10,MATCH(C853,Parameter!$B$9:$AB$9,0))+4,"")</f>
        <v/>
      </c>
      <c r="J853" s="65" t="str">
        <f t="array" aca="1" ref="J853" ca="1">IF(H853=1,MATCH(1,(OFFSET(Data!$DY$1:$IB$1,B853-1,0))*(Data!$DY$90:$IB$90=C853),0),"")</f>
        <v/>
      </c>
      <c r="K853" s="65" t="str">
        <f t="array" aca="1" ref="K853" ca="1">IF(H853=1,MATCH(I853,OFFSET(Data!$DX$91:$DX$190,0,Specials!J853)*(Data!$AM$91:$AM$190&gt;Parameter!$B$33)*(Data!$DW$91:$DW$190="W"),0),"")</f>
        <v/>
      </c>
      <c r="L853" s="65" t="str">
        <f ca="1">IF(H853=1,INDEX(Data!$DT$91:$DT$190,$K853)&amp;" / "&amp;OFFSET(Data!$DX$89,0,Specials!J853),"")</f>
        <v/>
      </c>
      <c r="M853" s="65" t="s">
        <v>16</v>
      </c>
      <c r="N853" s="65" t="s">
        <v>255</v>
      </c>
      <c r="O853" s="65" t="e">
        <f t="shared" ca="1" si="60"/>
        <v>#VALUE!</v>
      </c>
      <c r="P853" s="65" t="str">
        <f t="shared" ca="1" si="61"/>
        <v/>
      </c>
    </row>
    <row r="854" spans="1:16" s="65" customFormat="1" hidden="1" x14ac:dyDescent="0.25">
      <c r="A854" s="289" t="str">
        <f>"# Oh dear Women Rating &gt; "&amp;Parameter!$B$33</f>
        <v># Oh dear Women Rating &gt; 600</v>
      </c>
      <c r="B854" s="294">
        <f>MATCH(A854,Data!$DT:$DT,0)</f>
        <v>18</v>
      </c>
      <c r="C854" s="65">
        <f>INDEX(Parameter!$9:$9,,MATCH(15,Parameter!$8:$8,0))</f>
        <v>14</v>
      </c>
      <c r="D854" s="65">
        <f>INDEX(Parameter!$B$10:$AB$10,MATCH(C854,Parameter!$B$9:$AB$9,0))</f>
        <v>3</v>
      </c>
      <c r="H854" s="65">
        <f ca="1">INDEX(OFFSET(Data!$CS$1:$DS$1,B854-1,0),MATCH("Total/"&amp;C854,Data!$CS$1:$DS$1,0))</f>
        <v>0</v>
      </c>
      <c r="I854" s="65" t="str">
        <f ca="1">IF(H854=1,INDEX(Parameter!$B$10:$AB$10,MATCH(C854,Parameter!$B$9:$AB$9,0))+4,"")</f>
        <v/>
      </c>
      <c r="J854" s="65" t="str">
        <f t="array" aca="1" ref="J854" ca="1">IF(H854=1,MATCH(1,(OFFSET(Data!$DY$1:$IB$1,B854-1,0))*(Data!$DY$90:$IB$90=C854),0),"")</f>
        <v/>
      </c>
      <c r="K854" s="65" t="str">
        <f t="array" aca="1" ref="K854" ca="1">IF(H854=1,MATCH(I854,OFFSET(Data!$DX$91:$DX$190,0,Specials!J854)*(Data!$AM$91:$AM$190&gt;Parameter!$B$33)*(Data!$DW$91:$DW$190="W"),0),"")</f>
        <v/>
      </c>
      <c r="L854" s="65" t="str">
        <f ca="1">IF(H854=1,INDEX(Data!$DT$91:$DT$190,$K854)&amp;" / "&amp;OFFSET(Data!$DX$89,0,Specials!J854),"")</f>
        <v/>
      </c>
      <c r="M854" s="65" t="s">
        <v>16</v>
      </c>
      <c r="N854" s="65" t="s">
        <v>255</v>
      </c>
      <c r="O854" s="65" t="e">
        <f t="shared" ca="1" si="60"/>
        <v>#VALUE!</v>
      </c>
      <c r="P854" s="65" t="str">
        <f t="shared" ca="1" si="61"/>
        <v/>
      </c>
    </row>
    <row r="855" spans="1:16" s="65" customFormat="1" hidden="1" x14ac:dyDescent="0.25">
      <c r="A855" s="289" t="str">
        <f>"# Oh dear Women Rating &gt; "&amp;Parameter!$B$33</f>
        <v># Oh dear Women Rating &gt; 600</v>
      </c>
      <c r="B855" s="294">
        <f>MATCH(A855,Data!$DT:$DT,0)</f>
        <v>18</v>
      </c>
      <c r="C855" s="65">
        <f>INDEX(Parameter!$9:$9,,MATCH(16,Parameter!$8:$8,0))</f>
        <v>15</v>
      </c>
      <c r="D855" s="65">
        <f>INDEX(Parameter!$B$10:$AB$10,MATCH(C855,Parameter!$B$9:$AB$9,0))</f>
        <v>3</v>
      </c>
      <c r="H855" s="65">
        <f ca="1">INDEX(OFFSET(Data!$CS$1:$DS$1,B855-1,0),MATCH("Total/"&amp;C855,Data!$CS$1:$DS$1,0))</f>
        <v>0</v>
      </c>
      <c r="I855" s="65" t="str">
        <f ca="1">IF(H855=1,INDEX(Parameter!$B$10:$AB$10,MATCH(C855,Parameter!$B$9:$AB$9,0))+4,"")</f>
        <v/>
      </c>
      <c r="J855" s="65" t="str">
        <f t="array" aca="1" ref="J855" ca="1">IF(H855=1,MATCH(1,(OFFSET(Data!$DY$1:$IB$1,B855-1,0))*(Data!$DY$90:$IB$90=C855),0),"")</f>
        <v/>
      </c>
      <c r="K855" s="65" t="str">
        <f t="array" aca="1" ref="K855" ca="1">IF(H855=1,MATCH(I855,OFFSET(Data!$DX$91:$DX$190,0,Specials!J855)*(Data!$AM$91:$AM$190&gt;Parameter!$B$33)*(Data!$DW$91:$DW$190="W"),0),"")</f>
        <v/>
      </c>
      <c r="L855" s="65" t="str">
        <f ca="1">IF(H855=1,INDEX(Data!$DT$91:$DT$190,$K855)&amp;" / "&amp;OFFSET(Data!$DX$89,0,Specials!J855),"")</f>
        <v/>
      </c>
      <c r="M855" s="65" t="s">
        <v>16</v>
      </c>
      <c r="N855" s="65" t="s">
        <v>255</v>
      </c>
      <c r="O855" s="65" t="e">
        <f t="shared" ca="1" si="60"/>
        <v>#VALUE!</v>
      </c>
      <c r="P855" s="65" t="str">
        <f t="shared" ca="1" si="61"/>
        <v/>
      </c>
    </row>
    <row r="856" spans="1:16" s="65" customFormat="1" hidden="1" x14ac:dyDescent="0.25">
      <c r="A856" s="289" t="str">
        <f>"# Oh dear Women Rating &gt; "&amp;Parameter!$B$33</f>
        <v># Oh dear Women Rating &gt; 600</v>
      </c>
      <c r="B856" s="294">
        <f>MATCH(A856,Data!$DT:$DT,0)</f>
        <v>18</v>
      </c>
      <c r="C856" s="65">
        <f>INDEX(Parameter!$9:$9,,MATCH(17,Parameter!$8:$8,0))</f>
        <v>16</v>
      </c>
      <c r="D856" s="65">
        <f>INDEX(Parameter!$B$10:$AB$10,MATCH(C856,Parameter!$B$9:$AB$9,0))</f>
        <v>3</v>
      </c>
      <c r="H856" s="65">
        <f ca="1">INDEX(OFFSET(Data!$CS$1:$DS$1,B856-1,0),MATCH("Total/"&amp;C856,Data!$CS$1:$DS$1,0))</f>
        <v>0</v>
      </c>
      <c r="I856" s="65" t="str">
        <f ca="1">IF(H856=1,INDEX(Parameter!$B$10:$AB$10,MATCH(C856,Parameter!$B$9:$AB$9,0))+4,"")</f>
        <v/>
      </c>
      <c r="J856" s="65" t="str">
        <f t="array" aca="1" ref="J856" ca="1">IF(H856=1,MATCH(1,(OFFSET(Data!$DY$1:$IB$1,B856-1,0))*(Data!$DY$90:$IB$90=C856),0),"")</f>
        <v/>
      </c>
      <c r="K856" s="65" t="str">
        <f t="array" aca="1" ref="K856" ca="1">IF(H856=1,MATCH(I856,OFFSET(Data!$DX$91:$DX$190,0,Specials!J856)*(Data!$AM$91:$AM$190&gt;Parameter!$B$33)*(Data!$DW$91:$DW$190="W"),0),"")</f>
        <v/>
      </c>
      <c r="L856" s="65" t="str">
        <f ca="1">IF(H856=1,INDEX(Data!$DT$91:$DT$190,$K856)&amp;" / "&amp;OFFSET(Data!$DX$89,0,Specials!J856),"")</f>
        <v/>
      </c>
      <c r="M856" s="65" t="s">
        <v>16</v>
      </c>
      <c r="N856" s="65" t="s">
        <v>255</v>
      </c>
      <c r="O856" s="65" t="e">
        <f t="shared" ca="1" si="60"/>
        <v>#VALUE!</v>
      </c>
      <c r="P856" s="65" t="str">
        <f t="shared" ca="1" si="61"/>
        <v/>
      </c>
    </row>
    <row r="857" spans="1:16" s="65" customFormat="1" hidden="1" x14ac:dyDescent="0.25">
      <c r="A857" s="289" t="str">
        <f>"# Oh dear Women Rating &gt; "&amp;Parameter!$B$33</f>
        <v># Oh dear Women Rating &gt; 600</v>
      </c>
      <c r="B857" s="294">
        <f>MATCH(A857,Data!$DT:$DT,0)</f>
        <v>18</v>
      </c>
      <c r="C857" s="65">
        <f>INDEX(Parameter!$9:$9,,MATCH(18,Parameter!$8:$8,0))</f>
        <v>17</v>
      </c>
      <c r="D857" s="65">
        <f>INDEX(Parameter!$B$10:$AB$10,MATCH(C857,Parameter!$B$9:$AB$9,0))</f>
        <v>3</v>
      </c>
      <c r="H857" s="65">
        <f ca="1">INDEX(OFFSET(Data!$CS$1:$DS$1,B857-1,0),MATCH("Total/"&amp;C857,Data!$CS$1:$DS$1,0))</f>
        <v>0</v>
      </c>
      <c r="I857" s="65" t="str">
        <f ca="1">IF(H857=1,INDEX(Parameter!$B$10:$AB$10,MATCH(C857,Parameter!$B$9:$AB$9,0))+4,"")</f>
        <v/>
      </c>
      <c r="J857" s="65" t="str">
        <f t="array" aca="1" ref="J857" ca="1">IF(H857=1,MATCH(1,(OFFSET(Data!$DY$1:$IB$1,B857-1,0))*(Data!$DY$90:$IB$90=C857),0),"")</f>
        <v/>
      </c>
      <c r="K857" s="65" t="str">
        <f t="array" aca="1" ref="K857" ca="1">IF(H857=1,MATCH(I857,OFFSET(Data!$DX$91:$DX$190,0,Specials!J857)*(Data!$AM$91:$AM$190&gt;Parameter!$B$33)*(Data!$DW$91:$DW$190="W"),0),"")</f>
        <v/>
      </c>
      <c r="L857" s="65" t="str">
        <f ca="1">IF(H857=1,INDEX(Data!$DT$91:$DT$190,$K857)&amp;" / "&amp;OFFSET(Data!$DX$89,0,Specials!J857),"")</f>
        <v/>
      </c>
      <c r="M857" s="65" t="s">
        <v>16</v>
      </c>
      <c r="N857" s="65" t="s">
        <v>255</v>
      </c>
      <c r="O857" s="65" t="e">
        <f t="shared" ca="1" si="60"/>
        <v>#VALUE!</v>
      </c>
      <c r="P857" s="65" t="str">
        <f t="shared" ca="1" si="61"/>
        <v/>
      </c>
    </row>
    <row r="858" spans="1:16" s="65" customFormat="1" hidden="1" x14ac:dyDescent="0.25">
      <c r="A858" s="289" t="str">
        <f>"# Oh dear Women Rating &gt; "&amp;Parameter!$B$33</f>
        <v># Oh dear Women Rating &gt; 600</v>
      </c>
      <c r="B858" s="294">
        <f>MATCH(A858,Data!$DT:$DT,0)</f>
        <v>18</v>
      </c>
      <c r="C858" s="65">
        <f>INDEX(Parameter!$9:$9,,MATCH(19,Parameter!$8:$8,0))</f>
        <v>18</v>
      </c>
      <c r="D858" s="65">
        <f>INDEX(Parameter!$B$10:$AB$10,MATCH(C858,Parameter!$B$9:$AB$9,0))</f>
        <v>3</v>
      </c>
      <c r="H858" s="65">
        <f ca="1">INDEX(OFFSET(Data!$CS$1:$DS$1,B858-1,0),MATCH("Total/"&amp;C858,Data!$CS$1:$DS$1,0))</f>
        <v>0</v>
      </c>
      <c r="I858" s="65" t="str">
        <f ca="1">IF(H858=1,INDEX(Parameter!$B$10:$AB$10,MATCH(C858,Parameter!$B$9:$AB$9,0))+4,"")</f>
        <v/>
      </c>
      <c r="J858" s="65" t="str">
        <f t="array" aca="1" ref="J858" ca="1">IF(H858=1,MATCH(1,(OFFSET(Data!$DY$1:$IB$1,B858-1,0))*(Data!$DY$90:$IB$90=C858),0),"")</f>
        <v/>
      </c>
      <c r="K858" s="65" t="str">
        <f t="array" aca="1" ref="K858" ca="1">IF(H858=1,MATCH(I858,OFFSET(Data!$DX$91:$DX$190,0,Specials!J858)*(Data!$AM$91:$AM$190&gt;Parameter!$B$33)*(Data!$DW$91:$DW$190="W"),0),"")</f>
        <v/>
      </c>
      <c r="L858" s="65" t="str">
        <f ca="1">IF(H858=1,INDEX(Data!$DT$91:$DT$190,$K858)&amp;" / "&amp;OFFSET(Data!$DX$89,0,Specials!J858),"")</f>
        <v/>
      </c>
      <c r="M858" s="65" t="s">
        <v>16</v>
      </c>
      <c r="N858" s="65" t="s">
        <v>255</v>
      </c>
      <c r="O858" s="65" t="e">
        <f t="shared" ca="1" si="60"/>
        <v>#VALUE!</v>
      </c>
      <c r="P858" s="65" t="str">
        <f t="shared" ca="1" si="61"/>
        <v/>
      </c>
    </row>
    <row r="859" spans="1:16" s="65" customFormat="1" hidden="1" x14ac:dyDescent="0.25">
      <c r="A859" s="289" t="str">
        <f>"# Oh dear Women Rating &gt; "&amp;Parameter!$B$33</f>
        <v># Oh dear Women Rating &gt; 600</v>
      </c>
      <c r="B859" s="294">
        <f>MATCH(A859,Data!$DT:$DT,0)</f>
        <v>18</v>
      </c>
      <c r="C859" s="65">
        <f>INDEX(Parameter!$9:$9,,MATCH(20,Parameter!$8:$8,0))</f>
        <v>20</v>
      </c>
      <c r="D859" s="65" t="str">
        <f>INDEX(Parameter!$B$10:$AB$10,MATCH(C859,Parameter!$B$9:$AB$9,0))</f>
        <v>no</v>
      </c>
      <c r="H859" s="65">
        <f ca="1">INDEX(OFFSET(Data!$CS$1:$DS$1,B859-1,0),MATCH("Total/"&amp;C859,Data!$CS$1:$DS$1,0))</f>
        <v>0</v>
      </c>
      <c r="I859" s="65" t="str">
        <f ca="1">IF(H859=1,INDEX(Parameter!$B$10:$AB$10,MATCH(C859,Parameter!$B$9:$AB$9,0))+4,"")</f>
        <v/>
      </c>
      <c r="J859" s="65" t="str">
        <f t="array" aca="1" ref="J859" ca="1">IF(H859=1,MATCH(1,(OFFSET(Data!$DY$1:$IB$1,B859-1,0))*(Data!$DY$90:$IB$90=C859),0),"")</f>
        <v/>
      </c>
      <c r="K859" s="65" t="str">
        <f t="array" aca="1" ref="K859" ca="1">IF(H859=1,MATCH(I859,OFFSET(Data!$DX$91:$DX$190,0,Specials!J859)*(Data!$AM$91:$AM$190&gt;Parameter!$B$33)*(Data!$DW$91:$DW$190="W"),0),"")</f>
        <v/>
      </c>
      <c r="L859" s="65" t="str">
        <f ca="1">IF(H859=1,INDEX(Data!$DT$91:$DT$190,$K859)&amp;" / "&amp;OFFSET(Data!$DX$89,0,Specials!J859),"")</f>
        <v/>
      </c>
      <c r="M859" s="65" t="s">
        <v>16</v>
      </c>
      <c r="N859" s="65" t="s">
        <v>255</v>
      </c>
      <c r="O859" s="65" t="e">
        <f t="shared" ca="1" si="60"/>
        <v>#VALUE!</v>
      </c>
      <c r="P859" s="65" t="str">
        <f t="shared" ca="1" si="61"/>
        <v/>
      </c>
    </row>
    <row r="860" spans="1:16" s="65" customFormat="1" hidden="1" x14ac:dyDescent="0.25">
      <c r="A860" s="289" t="str">
        <f>"# Oh dear Women Rating &gt; "&amp;Parameter!$B$33</f>
        <v># Oh dear Women Rating &gt; 600</v>
      </c>
      <c r="B860" s="294">
        <f>MATCH(A860,Data!$DT:$DT,0)</f>
        <v>18</v>
      </c>
      <c r="C860" s="65">
        <f>INDEX(Parameter!$9:$9,,MATCH(21,Parameter!$8:$8,0))</f>
        <v>21</v>
      </c>
      <c r="D860" s="65" t="str">
        <f>INDEX(Parameter!$B$10:$AB$10,MATCH(C860,Parameter!$B$9:$AB$9,0))</f>
        <v>no</v>
      </c>
      <c r="H860" s="65">
        <f ca="1">INDEX(OFFSET(Data!$CS$1:$DS$1,B860-1,0),MATCH("Total/"&amp;C860,Data!$CS$1:$DS$1,0))</f>
        <v>0</v>
      </c>
      <c r="I860" s="65" t="str">
        <f ca="1">IF(H860=1,INDEX(Parameter!$B$10:$AB$10,MATCH(C860,Parameter!$B$9:$AB$9,0))+4,"")</f>
        <v/>
      </c>
      <c r="J860" s="65" t="str">
        <f t="array" aca="1" ref="J860" ca="1">IF(H860=1,MATCH(1,(OFFSET(Data!$DY$1:$IB$1,B860-1,0))*(Data!$DY$90:$IB$90=C860),0),"")</f>
        <v/>
      </c>
      <c r="K860" s="65" t="str">
        <f t="array" aca="1" ref="K860" ca="1">IF(H860=1,MATCH(I860,OFFSET(Data!$DX$91:$DX$190,0,Specials!J860)*(Data!$AM$91:$AM$190&gt;Parameter!$B$33)*(Data!$DW$91:$DW$190="W"),0),"")</f>
        <v/>
      </c>
      <c r="L860" s="65" t="str">
        <f ca="1">IF(H860=1,INDEX(Data!$DT$91:$DT$190,$K860)&amp;" / "&amp;OFFSET(Data!$DX$89,0,Specials!J860),"")</f>
        <v/>
      </c>
      <c r="M860" s="65" t="s">
        <v>16</v>
      </c>
      <c r="N860" s="65" t="s">
        <v>255</v>
      </c>
      <c r="O860" s="65" t="e">
        <f t="shared" ca="1" si="60"/>
        <v>#VALUE!</v>
      </c>
      <c r="P860" s="65" t="str">
        <f t="shared" ca="1" si="61"/>
        <v/>
      </c>
    </row>
    <row r="861" spans="1:16" s="65" customFormat="1" hidden="1" x14ac:dyDescent="0.25">
      <c r="A861" s="289" t="str">
        <f>"# Oh dear Women Rating &gt; "&amp;Parameter!$B$33</f>
        <v># Oh dear Women Rating &gt; 600</v>
      </c>
      <c r="B861" s="294">
        <f>MATCH(A861,Data!$DT:$DT,0)</f>
        <v>18</v>
      </c>
      <c r="C861" s="65">
        <f>INDEX(Parameter!$9:$9,,MATCH(22,Parameter!$8:$8,0))</f>
        <v>22</v>
      </c>
      <c r="D861" s="65" t="str">
        <f>INDEX(Parameter!$B$10:$AB$10,MATCH(C861,Parameter!$B$9:$AB$9,0))</f>
        <v>no</v>
      </c>
      <c r="H861" s="65">
        <f ca="1">INDEX(OFFSET(Data!$CS$1:$DS$1,B861-1,0),MATCH("Total/"&amp;C861,Data!$CS$1:$DS$1,0))</f>
        <v>0</v>
      </c>
      <c r="I861" s="65" t="str">
        <f ca="1">IF(H861=1,INDEX(Parameter!$B$10:$AB$10,MATCH(C861,Parameter!$B$9:$AB$9,0))+4,"")</f>
        <v/>
      </c>
      <c r="J861" s="65" t="str">
        <f t="array" aca="1" ref="J861" ca="1">IF(H861=1,MATCH(1,(OFFSET(Data!$DY$1:$IB$1,B861-1,0))*(Data!$DY$90:$IB$90=C861),0),"")</f>
        <v/>
      </c>
      <c r="K861" s="65" t="str">
        <f t="array" aca="1" ref="K861" ca="1">IF(H861=1,MATCH(I861,OFFSET(Data!$DX$91:$DX$190,0,Specials!J861)*(Data!$AM$91:$AM$190&gt;Parameter!$B$33)*(Data!$DW$91:$DW$190="W"),0),"")</f>
        <v/>
      </c>
      <c r="L861" s="65" t="str">
        <f ca="1">IF(H861=1,INDEX(Data!$DT$91:$DT$190,$K861)&amp;" / "&amp;OFFSET(Data!$DX$89,0,Specials!J861),"")</f>
        <v/>
      </c>
      <c r="M861" s="65" t="s">
        <v>16</v>
      </c>
      <c r="N861" s="65" t="s">
        <v>255</v>
      </c>
      <c r="O861" s="65" t="e">
        <f t="shared" ca="1" si="60"/>
        <v>#VALUE!</v>
      </c>
      <c r="P861" s="65" t="str">
        <f t="shared" ca="1" si="61"/>
        <v/>
      </c>
    </row>
    <row r="862" spans="1:16" s="65" customFormat="1" hidden="1" x14ac:dyDescent="0.25">
      <c r="A862" s="289" t="str">
        <f>"# Oh dear Women Rating &gt; "&amp;Parameter!$B$33</f>
        <v># Oh dear Women Rating &gt; 600</v>
      </c>
      <c r="B862" s="294">
        <f>MATCH(A862,Data!$DT:$DT,0)</f>
        <v>18</v>
      </c>
      <c r="C862" s="65">
        <f>INDEX(Parameter!$9:$9,,MATCH(23,Parameter!$8:$8,0))</f>
        <v>23</v>
      </c>
      <c r="D862" s="65" t="str">
        <f>INDEX(Parameter!$B$10:$AB$10,MATCH(C862,Parameter!$B$9:$AB$9,0))</f>
        <v>no</v>
      </c>
      <c r="H862" s="65">
        <f ca="1">INDEX(OFFSET(Data!$CS$1:$DS$1,B862-1,0),MATCH("Total/"&amp;C862,Data!$CS$1:$DS$1,0))</f>
        <v>0</v>
      </c>
      <c r="I862" s="65" t="str">
        <f ca="1">IF(H862=1,INDEX(Parameter!$B$10:$AB$10,MATCH(C862,Parameter!$B$9:$AB$9,0))+4,"")</f>
        <v/>
      </c>
      <c r="J862" s="65" t="str">
        <f t="array" aca="1" ref="J862" ca="1">IF(H862=1,MATCH(1,(OFFSET(Data!$DY$1:$IB$1,B862-1,0))*(Data!$DY$90:$IB$90=C862),0),"")</f>
        <v/>
      </c>
      <c r="K862" s="65" t="str">
        <f t="array" aca="1" ref="K862" ca="1">IF(H862=1,MATCH(I862,OFFSET(Data!$DX$91:$DX$190,0,Specials!J862)*(Data!$AM$91:$AM$190&gt;Parameter!$B$33)*(Data!$DW$91:$DW$190="W"),0),"")</f>
        <v/>
      </c>
      <c r="L862" s="65" t="str">
        <f ca="1">IF(H862=1,INDEX(Data!$DT$91:$DT$190,$K862)&amp;" / "&amp;OFFSET(Data!$DX$89,0,Specials!J862),"")</f>
        <v/>
      </c>
      <c r="M862" s="65" t="s">
        <v>16</v>
      </c>
      <c r="N862" s="65" t="s">
        <v>255</v>
      </c>
      <c r="O862" s="65" t="e">
        <f t="shared" ca="1" si="60"/>
        <v>#VALUE!</v>
      </c>
      <c r="P862" s="65" t="str">
        <f t="shared" ca="1" si="61"/>
        <v/>
      </c>
    </row>
    <row r="863" spans="1:16" s="65" customFormat="1" hidden="1" x14ac:dyDescent="0.25">
      <c r="A863" s="289" t="str">
        <f>"# Oh dear Women Rating &gt; "&amp;Parameter!$B$33</f>
        <v># Oh dear Women Rating &gt; 600</v>
      </c>
      <c r="B863" s="294">
        <f>MATCH(A863,Data!$DT:$DT,0)</f>
        <v>18</v>
      </c>
      <c r="C863" s="65">
        <f>INDEX(Parameter!$9:$9,,MATCH(24,Parameter!$8:$8,0))</f>
        <v>24</v>
      </c>
      <c r="D863" s="65" t="str">
        <f>INDEX(Parameter!$B$10:$AB$10,MATCH(C863,Parameter!$B$9:$AB$9,0))</f>
        <v>no</v>
      </c>
      <c r="H863" s="65">
        <f ca="1">INDEX(OFFSET(Data!$CS$1:$DS$1,B863-1,0),MATCH("Total/"&amp;C863,Data!$CS$1:$DS$1,0))</f>
        <v>0</v>
      </c>
      <c r="I863" s="65" t="str">
        <f ca="1">IF(H863=1,INDEX(Parameter!$B$10:$AB$10,MATCH(C863,Parameter!$B$9:$AB$9,0))+4,"")</f>
        <v/>
      </c>
      <c r="J863" s="65" t="str">
        <f t="array" aca="1" ref="J863" ca="1">IF(H863=1,MATCH(1,(OFFSET(Data!$DY$1:$IB$1,B863-1,0))*(Data!$DY$90:$IB$90=C863),0),"")</f>
        <v/>
      </c>
      <c r="K863" s="65" t="str">
        <f t="array" aca="1" ref="K863" ca="1">IF(H863=1,MATCH(I863,OFFSET(Data!$DX$91:$DX$190,0,Specials!J863)*(Data!$AM$91:$AM$190&gt;Parameter!$B$33)*(Data!$DW$91:$DW$190="W"),0),"")</f>
        <v/>
      </c>
      <c r="L863" s="65" t="str">
        <f ca="1">IF(H863=1,INDEX(Data!$DT$91:$DT$190,$K863)&amp;" / "&amp;OFFSET(Data!$DX$89,0,Specials!J863),"")</f>
        <v/>
      </c>
      <c r="M863" s="65" t="s">
        <v>16</v>
      </c>
      <c r="N863" s="65" t="s">
        <v>255</v>
      </c>
      <c r="O863" s="65" t="e">
        <f t="shared" ca="1" si="60"/>
        <v>#VALUE!</v>
      </c>
      <c r="P863" s="65" t="str">
        <f t="shared" ca="1" si="61"/>
        <v/>
      </c>
    </row>
    <row r="864" spans="1:16" s="65" customFormat="1" hidden="1" x14ac:dyDescent="0.25">
      <c r="A864" s="289" t="str">
        <f>"# Oh dear Women Rating &gt; "&amp;Parameter!$B$33</f>
        <v># Oh dear Women Rating &gt; 600</v>
      </c>
      <c r="B864" s="294">
        <f>MATCH(A864,Data!$DT:$DT,0)</f>
        <v>18</v>
      </c>
      <c r="C864" s="65">
        <f>INDEX(Parameter!$9:$9,,MATCH(25,Parameter!$8:$8,0))</f>
        <v>25</v>
      </c>
      <c r="D864" s="65" t="str">
        <f>INDEX(Parameter!$B$10:$AB$10,MATCH(C864,Parameter!$B$9:$AB$9,0))</f>
        <v>no</v>
      </c>
      <c r="H864" s="65">
        <f ca="1">INDEX(OFFSET(Data!$CS$1:$DS$1,B864-1,0),MATCH("Total/"&amp;C864,Data!$CS$1:$DS$1,0))</f>
        <v>0</v>
      </c>
      <c r="I864" s="65" t="str">
        <f ca="1">IF(H864=1,INDEX(Parameter!$B$10:$AB$10,MATCH(C864,Parameter!$B$9:$AB$9,0))+4,"")</f>
        <v/>
      </c>
      <c r="J864" s="65" t="str">
        <f t="array" aca="1" ref="J864" ca="1">IF(H864=1,MATCH(1,(OFFSET(Data!$DY$1:$IB$1,B864-1,0))*(Data!$DY$90:$IB$90=C864),0),"")</f>
        <v/>
      </c>
      <c r="K864" s="65" t="str">
        <f t="array" aca="1" ref="K864" ca="1">IF(H864=1,MATCH(I864,OFFSET(Data!$DX$91:$DX$190,0,Specials!J864)*(Data!$AM$91:$AM$190&gt;Parameter!$B$33)*(Data!$DW$91:$DW$190="W"),0),"")</f>
        <v/>
      </c>
      <c r="L864" s="65" t="str">
        <f ca="1">IF(H864=1,INDEX(Data!$DT$91:$DT$190,$K864)&amp;" / "&amp;OFFSET(Data!$DX$89,0,Specials!J864),"")</f>
        <v/>
      </c>
      <c r="M864" s="65" t="s">
        <v>16</v>
      </c>
      <c r="N864" s="65" t="s">
        <v>255</v>
      </c>
      <c r="O864" s="65" t="e">
        <f t="shared" ca="1" si="60"/>
        <v>#VALUE!</v>
      </c>
      <c r="P864" s="65" t="str">
        <f t="shared" ca="1" si="61"/>
        <v/>
      </c>
    </row>
    <row r="865" spans="1:16" s="65" customFormat="1" hidden="1" x14ac:dyDescent="0.25">
      <c r="A865" s="289" t="str">
        <f>"# Oh dear Women Rating &gt; "&amp;Parameter!$B$33</f>
        <v># Oh dear Women Rating &gt; 600</v>
      </c>
      <c r="B865" s="294">
        <f>MATCH(A865,Data!$DT:$DT,0)</f>
        <v>18</v>
      </c>
      <c r="C865" s="65">
        <f>INDEX(Parameter!$9:$9,,MATCH(26,Parameter!$8:$8,0))</f>
        <v>26</v>
      </c>
      <c r="D865" s="65" t="str">
        <f>INDEX(Parameter!$B$10:$AB$10,MATCH(C865,Parameter!$B$9:$AB$9,0))</f>
        <v>no</v>
      </c>
      <c r="H865" s="65">
        <f ca="1">INDEX(OFFSET(Data!$CS$1:$DS$1,B865-1,0),MATCH("Total/"&amp;C865,Data!$CS$1:$DS$1,0))</f>
        <v>0</v>
      </c>
      <c r="I865" s="65" t="str">
        <f ca="1">IF(H865=1,INDEX(Parameter!$B$10:$AB$10,MATCH(C865,Parameter!$B$9:$AB$9,0))+4,"")</f>
        <v/>
      </c>
      <c r="J865" s="65" t="str">
        <f t="array" aca="1" ref="J865" ca="1">IF(H865=1,MATCH(1,(OFFSET(Data!$DY$1:$IB$1,B865-1,0))*(Data!$DY$90:$IB$90=C865),0),"")</f>
        <v/>
      </c>
      <c r="K865" s="65" t="str">
        <f t="array" aca="1" ref="K865" ca="1">IF(H865=1,MATCH(I865,OFFSET(Data!$DX$91:$DX$190,0,Specials!J865)*(Data!$AM$91:$AM$190&gt;Parameter!$B$33)*(Data!$DW$91:$DW$190="W"),0),"")</f>
        <v/>
      </c>
      <c r="L865" s="65" t="str">
        <f ca="1">IF(H865=1,INDEX(Data!$DT$91:$DT$190,$K865)&amp;" / "&amp;OFFSET(Data!$DX$89,0,Specials!J865),"")</f>
        <v/>
      </c>
      <c r="M865" s="65" t="s">
        <v>16</v>
      </c>
      <c r="N865" s="65" t="s">
        <v>255</v>
      </c>
      <c r="O865" s="65" t="e">
        <f t="shared" ca="1" si="60"/>
        <v>#VALUE!</v>
      </c>
      <c r="P865" s="65" t="str">
        <f t="shared" ca="1" si="61"/>
        <v/>
      </c>
    </row>
    <row r="866" spans="1:16" s="65" customFormat="1" hidden="1" x14ac:dyDescent="0.25">
      <c r="A866" s="289" t="str">
        <f>"# Oh dear Women Rating &gt; "&amp;Parameter!$B$33</f>
        <v># Oh dear Women Rating &gt; 600</v>
      </c>
      <c r="B866" s="294">
        <f>MATCH(A866,Data!$DT:$DT,0)</f>
        <v>18</v>
      </c>
      <c r="C866" s="65">
        <f>INDEX(Parameter!$9:$9,,MATCH(27,Parameter!$8:$8,0))</f>
        <v>27</v>
      </c>
      <c r="D866" s="65" t="str">
        <f>INDEX(Parameter!$B$10:$AB$10,MATCH(C866,Parameter!$B$9:$AB$9,0))</f>
        <v>no</v>
      </c>
      <c r="H866" s="65">
        <f ca="1">INDEX(OFFSET(Data!$CS$1:$DS$1,B866-1,0),MATCH("Total/"&amp;C866,Data!$CS$1:$DS$1,0))</f>
        <v>0</v>
      </c>
      <c r="I866" s="65" t="str">
        <f ca="1">IF(H866=1,INDEX(Parameter!$B$10:$AB$10,MATCH(C866,Parameter!$B$9:$AB$9,0))+4,"")</f>
        <v/>
      </c>
      <c r="J866" s="65" t="str">
        <f t="array" aca="1" ref="J866" ca="1">IF(H866=1,MATCH(1,(OFFSET(Data!$DY$1:$IB$1,B866-1,0))*(Data!$DY$90:$IB$90=C866),0),"")</f>
        <v/>
      </c>
      <c r="K866" s="65" t="str">
        <f t="array" aca="1" ref="K866" ca="1">IF(H866=1,MATCH(I866,OFFSET(Data!$DX$91:$DX$190,0,Specials!J866)*(Data!$AM$91:$AM$190&gt;Parameter!$B$33)*(Data!$DW$91:$DW$190="W"),0),"")</f>
        <v/>
      </c>
      <c r="L866" s="65" t="str">
        <f ca="1">IF(H866=1,INDEX(Data!$DT$91:$DT$190,$K866)&amp;" / "&amp;OFFSET(Data!$DX$89,0,Specials!J866),"")</f>
        <v/>
      </c>
      <c r="M866" s="65" t="s">
        <v>16</v>
      </c>
      <c r="N866" s="65" t="s">
        <v>255</v>
      </c>
      <c r="O866" s="65" t="e">
        <f t="shared" ca="1" si="60"/>
        <v>#VALUE!</v>
      </c>
      <c r="P866" s="65" t="str">
        <f t="shared" ca="1" si="61"/>
        <v/>
      </c>
    </row>
    <row r="867" spans="1:16" s="65" customFormat="1" ht="15" hidden="1" customHeight="1" x14ac:dyDescent="0.25">
      <c r="A867" s="289" t="str">
        <f>"# Oh dear Women Rating &gt; "&amp;Parameter!$B$33</f>
        <v># Oh dear Women Rating &gt; 600</v>
      </c>
      <c r="B867" s="294">
        <f>MATCH(A867,Data!$DT:$DT,0)</f>
        <v>18</v>
      </c>
      <c r="C867" s="65">
        <f>INDEX(Parameter!$9:$9,,MATCH(1,Parameter!$8:$8,0))</f>
        <v>1</v>
      </c>
      <c r="D867" s="65">
        <f>INDEX(Parameter!$B$10:$AB$10,MATCH(C867,Parameter!$B$9:$AB$9,0))</f>
        <v>3</v>
      </c>
      <c r="H867" s="65">
        <f ca="1">INDEX(OFFSET(Data!$CS$1:$DS$1,B867-1,0),MATCH("Total/"&amp;C867,Data!$CS$1:$DS$1,0))</f>
        <v>0</v>
      </c>
      <c r="I867" s="65" t="str">
        <f ca="1">IF(H867=1,INDEX(Parameter!$B$10:$AB$10,MATCH(C867,Parameter!$B$9:$AB$9,0))+5,"")</f>
        <v/>
      </c>
      <c r="J867" s="65" t="str">
        <f t="array" aca="1" ref="J867" ca="1">IF(H867=1,MATCH(1,(OFFSET(Data!$DY$1:$IB$1,B867-1,0))*(Data!$DY$90:$IB$90=C867),0),"")</f>
        <v/>
      </c>
      <c r="K867" s="65" t="str">
        <f t="array" aca="1" ref="K867" ca="1">IF(H867=1,MATCH(I867,OFFSET(Data!$DX$91:$DX$190,0,Specials!J867)*(Data!$AM$91:$AM$190&gt;Parameter!$B$33)*(Data!$DW$91:$DW$190="W"),0),"")</f>
        <v/>
      </c>
      <c r="L867" s="65" t="str">
        <f ca="1">IF(H867=1,INDEX(Data!$DT$91:$DT$190,$K867)&amp;" / "&amp;OFFSET(Data!$DX$89,0,Specials!J867),"")</f>
        <v/>
      </c>
      <c r="M867" s="65" t="s">
        <v>16</v>
      </c>
      <c r="N867" s="65" t="s">
        <v>255</v>
      </c>
      <c r="O867" s="65" t="e">
        <f t="shared" ca="1" si="60"/>
        <v>#VALUE!</v>
      </c>
      <c r="P867" s="65" t="str">
        <f t="shared" ca="1" si="61"/>
        <v/>
      </c>
    </row>
    <row r="868" spans="1:16" s="65" customFormat="1" hidden="1" x14ac:dyDescent="0.25">
      <c r="A868" s="289" t="str">
        <f>"# Oh dear Women Rating &gt; "&amp;Parameter!$B$33</f>
        <v># Oh dear Women Rating &gt; 600</v>
      </c>
      <c r="B868" s="294">
        <f>MATCH(A868,Data!$DT:$DT,0)</f>
        <v>18</v>
      </c>
      <c r="C868" s="65">
        <f>INDEX(Parameter!$9:$9,,MATCH(2,Parameter!$8:$8,0))</f>
        <v>2</v>
      </c>
      <c r="D868" s="65">
        <f>INDEX(Parameter!$B$10:$AB$10,MATCH(C868,Parameter!$B$9:$AB$9,0))</f>
        <v>3</v>
      </c>
      <c r="H868" s="65">
        <f ca="1">INDEX(OFFSET(Data!$CS$1:$DS$1,B868-1,0),MATCH("Total/"&amp;C868,Data!$CS$1:$DS$1,0))</f>
        <v>0</v>
      </c>
      <c r="I868" s="65" t="str">
        <f ca="1">IF(H868=1,INDEX(Parameter!$B$10:$AB$10,MATCH(C868,Parameter!$B$9:$AB$9,0))+5,"")</f>
        <v/>
      </c>
      <c r="J868" s="65" t="str">
        <f t="array" aca="1" ref="J868" ca="1">IF(H868=1,MATCH(1,(OFFSET(Data!$DY$1:$IB$1,B868-1,0))*(Data!$DY$90:$IB$90=C868),0),"")</f>
        <v/>
      </c>
      <c r="K868" s="65" t="str">
        <f t="array" aca="1" ref="K868" ca="1">IF(H868=1,MATCH(I868,OFFSET(Data!$DX$91:$DX$190,0,Specials!J868)*(Data!$AM$91:$AM$190&gt;Parameter!$B$33)*(Data!$DW$91:$DW$190="W"),0),"")</f>
        <v/>
      </c>
      <c r="L868" s="65" t="str">
        <f ca="1">IF(H868=1,INDEX(Data!$DT$91:$DT$190,$K868)&amp;" / "&amp;OFFSET(Data!$DX$89,0,Specials!J868),"")</f>
        <v/>
      </c>
      <c r="M868" s="65" t="s">
        <v>16</v>
      </c>
      <c r="N868" s="65" t="s">
        <v>255</v>
      </c>
      <c r="O868" s="65" t="e">
        <f t="shared" ca="1" si="60"/>
        <v>#VALUE!</v>
      </c>
      <c r="P868" s="65" t="str">
        <f t="shared" ca="1" si="61"/>
        <v/>
      </c>
    </row>
    <row r="869" spans="1:16" s="65" customFormat="1" hidden="1" x14ac:dyDescent="0.25">
      <c r="A869" s="289" t="str">
        <f>"# Oh dear Women Rating &gt; "&amp;Parameter!$B$33</f>
        <v># Oh dear Women Rating &gt; 600</v>
      </c>
      <c r="B869" s="294">
        <f>MATCH(A869,Data!$DT:$DT,0)</f>
        <v>18</v>
      </c>
      <c r="C869" s="65">
        <f>INDEX(Parameter!$9:$9,,MATCH(3,Parameter!$8:$8,0))</f>
        <v>3</v>
      </c>
      <c r="D869" s="65">
        <f>INDEX(Parameter!$B$10:$AB$10,MATCH(C869,Parameter!$B$9:$AB$9,0))</f>
        <v>3</v>
      </c>
      <c r="H869" s="65">
        <f ca="1">INDEX(OFFSET(Data!$CS$1:$DS$1,B869-1,0),MATCH("Total/"&amp;C869,Data!$CS$1:$DS$1,0))</f>
        <v>0</v>
      </c>
      <c r="I869" s="65" t="str">
        <f ca="1">IF(H869=1,INDEX(Parameter!$B$10:$AB$10,MATCH(C869,Parameter!$B$9:$AB$9,0))+5,"")</f>
        <v/>
      </c>
      <c r="J869" s="65" t="str">
        <f t="array" aca="1" ref="J869" ca="1">IF(H869=1,MATCH(1,(OFFSET(Data!$DY$1:$IB$1,B869-1,0))*(Data!$DY$90:$IB$90=C869),0),"")</f>
        <v/>
      </c>
      <c r="K869" s="65" t="str">
        <f t="array" aca="1" ref="K869" ca="1">IF(H869=1,MATCH(I869,OFFSET(Data!$DX$91:$DX$190,0,Specials!J869)*(Data!$AM$91:$AM$190&gt;Parameter!$B$33)*(Data!$DW$91:$DW$190="W"),0),"")</f>
        <v/>
      </c>
      <c r="L869" s="65" t="str">
        <f ca="1">IF(H869=1,INDEX(Data!$DT$91:$DT$190,$K869)&amp;" / "&amp;OFFSET(Data!$DX$89,0,Specials!J869),"")</f>
        <v/>
      </c>
      <c r="M869" s="65" t="s">
        <v>16</v>
      </c>
      <c r="N869" s="65" t="s">
        <v>255</v>
      </c>
      <c r="O869" s="65" t="e">
        <f t="shared" ca="1" si="60"/>
        <v>#VALUE!</v>
      </c>
      <c r="P869" s="65" t="str">
        <f t="shared" ca="1" si="61"/>
        <v/>
      </c>
    </row>
    <row r="870" spans="1:16" s="65" customFormat="1" hidden="1" x14ac:dyDescent="0.25">
      <c r="A870" s="289" t="str">
        <f>"# Oh dear Women Rating &gt; "&amp;Parameter!$B$33</f>
        <v># Oh dear Women Rating &gt; 600</v>
      </c>
      <c r="B870" s="294">
        <f>MATCH(A870,Data!$DT:$DT,0)</f>
        <v>18</v>
      </c>
      <c r="C870" s="65">
        <f>INDEX(Parameter!$9:$9,,MATCH(4,Parameter!$8:$8,0))</f>
        <v>4</v>
      </c>
      <c r="D870" s="65">
        <f>INDEX(Parameter!$B$10:$AB$10,MATCH(C870,Parameter!$B$9:$AB$9,0))</f>
        <v>3</v>
      </c>
      <c r="H870" s="65">
        <f ca="1">INDEX(OFFSET(Data!$CS$1:$DS$1,B870-1,0),MATCH("Total/"&amp;C870,Data!$CS$1:$DS$1,0))</f>
        <v>0</v>
      </c>
      <c r="I870" s="65" t="str">
        <f ca="1">IF(H870=1,INDEX(Parameter!$B$10:$AB$10,MATCH(C870,Parameter!$B$9:$AB$9,0))+5,"")</f>
        <v/>
      </c>
      <c r="J870" s="65" t="str">
        <f t="array" aca="1" ref="J870" ca="1">IF(H870=1,MATCH(1,(OFFSET(Data!$DY$1:$IB$1,B870-1,0))*(Data!$DY$90:$IB$90=C870),0),"")</f>
        <v/>
      </c>
      <c r="K870" s="65" t="str">
        <f t="array" aca="1" ref="K870" ca="1">IF(H870=1,MATCH(I870,OFFSET(Data!$DX$91:$DX$190,0,Specials!J870)*(Data!$AM$91:$AM$190&gt;Parameter!$B$33)*(Data!$DW$91:$DW$190="W"),0),"")</f>
        <v/>
      </c>
      <c r="L870" s="65" t="str">
        <f ca="1">IF(H870=1,INDEX(Data!$DT$91:$DT$190,$K870)&amp;" / "&amp;OFFSET(Data!$DX$89,0,Specials!J870),"")</f>
        <v/>
      </c>
      <c r="M870" s="65" t="s">
        <v>16</v>
      </c>
      <c r="N870" s="65" t="s">
        <v>255</v>
      </c>
      <c r="O870" s="65" t="e">
        <f t="shared" ca="1" si="60"/>
        <v>#VALUE!</v>
      </c>
      <c r="P870" s="65" t="str">
        <f t="shared" ca="1" si="61"/>
        <v/>
      </c>
    </row>
    <row r="871" spans="1:16" s="65" customFormat="1" hidden="1" x14ac:dyDescent="0.25">
      <c r="A871" s="289" t="str">
        <f>"# Oh dear Women Rating &gt; "&amp;Parameter!$B$33</f>
        <v># Oh dear Women Rating &gt; 600</v>
      </c>
      <c r="B871" s="294">
        <f>MATCH(A871,Data!$DT:$DT,0)</f>
        <v>18</v>
      </c>
      <c r="C871" s="65">
        <f>INDEX(Parameter!$9:$9,,MATCH(5,Parameter!$8:$8,0))</f>
        <v>5</v>
      </c>
      <c r="D871" s="65">
        <f>INDEX(Parameter!$B$10:$AB$10,MATCH(C871,Parameter!$B$9:$AB$9,0))</f>
        <v>4</v>
      </c>
      <c r="H871" s="65">
        <f ca="1">INDEX(OFFSET(Data!$CS$1:$DS$1,B871-1,0),MATCH("Total/"&amp;C871,Data!$CS$1:$DS$1,0))</f>
        <v>0</v>
      </c>
      <c r="I871" s="65" t="str">
        <f ca="1">IF(H871=1,INDEX(Parameter!$B$10:$AB$10,MATCH(C871,Parameter!$B$9:$AB$9,0))+5,"")</f>
        <v/>
      </c>
      <c r="J871" s="65" t="str">
        <f t="array" aca="1" ref="J871" ca="1">IF(H871=1,MATCH(1,(OFFSET(Data!$DY$1:$IB$1,B871-1,0))*(Data!$DY$90:$IB$90=C871),0),"")</f>
        <v/>
      </c>
      <c r="K871" s="65" t="str">
        <f t="array" aca="1" ref="K871" ca="1">IF(H871=1,MATCH(I871,OFFSET(Data!$DX$91:$DX$190,0,Specials!J871)*(Data!$AM$91:$AM$190&gt;Parameter!$B$33)*(Data!$DW$91:$DW$190="W"),0),"")</f>
        <v/>
      </c>
      <c r="L871" s="65" t="str">
        <f ca="1">IF(H871=1,INDEX(Data!$DT$91:$DT$190,$K871)&amp;" / "&amp;OFFSET(Data!$DX$89,0,Specials!J871),"")</f>
        <v/>
      </c>
      <c r="M871" s="65" t="s">
        <v>16</v>
      </c>
      <c r="N871" s="65" t="s">
        <v>255</v>
      </c>
      <c r="O871" s="65" t="e">
        <f t="shared" ca="1" si="60"/>
        <v>#VALUE!</v>
      </c>
      <c r="P871" s="65" t="str">
        <f t="shared" ca="1" si="61"/>
        <v/>
      </c>
    </row>
    <row r="872" spans="1:16" s="65" customFormat="1" hidden="1" x14ac:dyDescent="0.25">
      <c r="A872" s="289" t="str">
        <f>"# Oh dear Women Rating &gt; "&amp;Parameter!$B$33</f>
        <v># Oh dear Women Rating &gt; 600</v>
      </c>
      <c r="B872" s="294">
        <f>MATCH(A872,Data!$DT:$DT,0)</f>
        <v>18</v>
      </c>
      <c r="C872" s="65">
        <f>INDEX(Parameter!$9:$9,,MATCH(6,Parameter!$8:$8,0))</f>
        <v>6</v>
      </c>
      <c r="D872" s="65">
        <f>INDEX(Parameter!$B$10:$AB$10,MATCH(C872,Parameter!$B$9:$AB$9,0))</f>
        <v>3</v>
      </c>
      <c r="H872" s="65">
        <f ca="1">INDEX(OFFSET(Data!$CS$1:$DS$1,B872-1,0),MATCH("Total/"&amp;C872,Data!$CS$1:$DS$1,0))</f>
        <v>0</v>
      </c>
      <c r="I872" s="65" t="str">
        <f ca="1">IF(H872=1,INDEX(Parameter!$B$10:$AB$10,MATCH(C872,Parameter!$B$9:$AB$9,0))+5,"")</f>
        <v/>
      </c>
      <c r="J872" s="65" t="str">
        <f t="array" aca="1" ref="J872" ca="1">IF(H872=1,MATCH(1,(OFFSET(Data!$DY$1:$IB$1,B872-1,0))*(Data!$DY$90:$IB$90=C872),0),"")</f>
        <v/>
      </c>
      <c r="K872" s="65" t="str">
        <f t="array" aca="1" ref="K872" ca="1">IF(H872=1,MATCH(I872,OFFSET(Data!$DX$91:$DX$190,0,Specials!J872)*(Data!$AM$91:$AM$190&gt;Parameter!$B$33)*(Data!$DW$91:$DW$190="W"),0),"")</f>
        <v/>
      </c>
      <c r="L872" s="65" t="str">
        <f ca="1">IF(H872=1,INDEX(Data!$DT$91:$DT$190,$K872)&amp;" / "&amp;OFFSET(Data!$DX$89,0,Specials!J872),"")</f>
        <v/>
      </c>
      <c r="M872" s="65" t="s">
        <v>16</v>
      </c>
      <c r="N872" s="65" t="s">
        <v>255</v>
      </c>
      <c r="O872" s="65" t="e">
        <f t="shared" ca="1" si="60"/>
        <v>#VALUE!</v>
      </c>
      <c r="P872" s="65" t="str">
        <f t="shared" ca="1" si="61"/>
        <v/>
      </c>
    </row>
    <row r="873" spans="1:16" s="65" customFormat="1" hidden="1" x14ac:dyDescent="0.25">
      <c r="A873" s="289" t="str">
        <f>"# Oh dear Women Rating &gt; "&amp;Parameter!$B$33</f>
        <v># Oh dear Women Rating &gt; 600</v>
      </c>
      <c r="B873" s="294">
        <f>MATCH(A873,Data!$DT:$DT,0)</f>
        <v>18</v>
      </c>
      <c r="C873" s="65">
        <f>INDEX(Parameter!$9:$9,,MATCH(7,Parameter!$8:$8,0))</f>
        <v>7</v>
      </c>
      <c r="D873" s="65">
        <f>INDEX(Parameter!$B$10:$AB$10,MATCH(C873,Parameter!$B$9:$AB$9,0))</f>
        <v>3</v>
      </c>
      <c r="H873" s="65">
        <f ca="1">INDEX(OFFSET(Data!$CS$1:$DS$1,B873-1,0),MATCH("Total/"&amp;C873,Data!$CS$1:$DS$1,0))</f>
        <v>0</v>
      </c>
      <c r="I873" s="65" t="str">
        <f ca="1">IF(H873=1,INDEX(Parameter!$B$10:$AB$10,MATCH(C873,Parameter!$B$9:$AB$9,0))+5,"")</f>
        <v/>
      </c>
      <c r="J873" s="65" t="str">
        <f t="array" aca="1" ref="J873" ca="1">IF(H873=1,MATCH(1,(OFFSET(Data!$DY$1:$IB$1,B873-1,0))*(Data!$DY$90:$IB$90=C873),0),"")</f>
        <v/>
      </c>
      <c r="K873" s="65" t="str">
        <f t="array" aca="1" ref="K873" ca="1">IF(H873=1,MATCH(I873,OFFSET(Data!$DX$91:$DX$190,0,Specials!J873)*(Data!$AM$91:$AM$190&gt;Parameter!$B$33)*(Data!$DW$91:$DW$190="W"),0),"")</f>
        <v/>
      </c>
      <c r="L873" s="65" t="str">
        <f ca="1">IF(H873=1,INDEX(Data!$DT$91:$DT$190,$K873)&amp;" / "&amp;OFFSET(Data!$DX$89,0,Specials!J873),"")</f>
        <v/>
      </c>
      <c r="M873" s="65" t="s">
        <v>16</v>
      </c>
      <c r="N873" s="65" t="s">
        <v>255</v>
      </c>
      <c r="O873" s="65" t="e">
        <f t="shared" ca="1" si="60"/>
        <v>#VALUE!</v>
      </c>
      <c r="P873" s="65" t="str">
        <f t="shared" ca="1" si="61"/>
        <v/>
      </c>
    </row>
    <row r="874" spans="1:16" s="65" customFormat="1" hidden="1" x14ac:dyDescent="0.25">
      <c r="A874" s="289" t="str">
        <f>"# Oh dear Women Rating &gt; "&amp;Parameter!$B$33</f>
        <v># Oh dear Women Rating &gt; 600</v>
      </c>
      <c r="B874" s="294">
        <f>MATCH(A874,Data!$DT:$DT,0)</f>
        <v>18</v>
      </c>
      <c r="C874" s="65">
        <f>INDEX(Parameter!$9:$9,,MATCH(8,Parameter!$8:$8,0))</f>
        <v>8</v>
      </c>
      <c r="D874" s="65">
        <f>INDEX(Parameter!$B$10:$AB$10,MATCH(C874,Parameter!$B$9:$AB$9,0))</f>
        <v>3</v>
      </c>
      <c r="H874" s="65">
        <f ca="1">INDEX(OFFSET(Data!$CS$1:$DS$1,B874-1,0),MATCH("Total/"&amp;C874,Data!$CS$1:$DS$1,0))</f>
        <v>0</v>
      </c>
      <c r="I874" s="65" t="str">
        <f ca="1">IF(H874=1,INDEX(Parameter!$B$10:$AB$10,MATCH(C874,Parameter!$B$9:$AB$9,0))+5,"")</f>
        <v/>
      </c>
      <c r="J874" s="65" t="str">
        <f t="array" aca="1" ref="J874" ca="1">IF(H874=1,MATCH(1,(OFFSET(Data!$DY$1:$IB$1,B874-1,0))*(Data!$DY$90:$IB$90=C874),0),"")</f>
        <v/>
      </c>
      <c r="K874" s="65" t="str">
        <f t="array" aca="1" ref="K874" ca="1">IF(H874=1,MATCH(I874,OFFSET(Data!$DX$91:$DX$190,0,Specials!J874)*(Data!$AM$91:$AM$190&gt;Parameter!$B$33)*(Data!$DW$91:$DW$190="W"),0),"")</f>
        <v/>
      </c>
      <c r="L874" s="65" t="str">
        <f ca="1">IF(H874=1,INDEX(Data!$DT$91:$DT$190,$K874)&amp;" / "&amp;OFFSET(Data!$DX$89,0,Specials!J874),"")</f>
        <v/>
      </c>
      <c r="M874" s="65" t="s">
        <v>16</v>
      </c>
      <c r="N874" s="65" t="s">
        <v>255</v>
      </c>
      <c r="O874" s="65" t="e">
        <f t="shared" ca="1" si="60"/>
        <v>#VALUE!</v>
      </c>
      <c r="P874" s="65" t="str">
        <f t="shared" ca="1" si="61"/>
        <v/>
      </c>
    </row>
    <row r="875" spans="1:16" s="65" customFormat="1" hidden="1" x14ac:dyDescent="0.25">
      <c r="A875" s="289" t="str">
        <f>"# Oh dear Women Rating &gt; "&amp;Parameter!$B$33</f>
        <v># Oh dear Women Rating &gt; 600</v>
      </c>
      <c r="B875" s="294">
        <f>MATCH(A875,Data!$DT:$DT,0)</f>
        <v>18</v>
      </c>
      <c r="C875" s="65">
        <f>INDEX(Parameter!$9:$9,,MATCH(9,Parameter!$8:$8,0))</f>
        <v>9</v>
      </c>
      <c r="D875" s="65">
        <f>INDEX(Parameter!$B$10:$AB$10,MATCH(C875,Parameter!$B$9:$AB$9,0))</f>
        <v>4</v>
      </c>
      <c r="H875" s="65">
        <f ca="1">INDEX(OFFSET(Data!$CS$1:$DS$1,B875-1,0),MATCH("Total/"&amp;C875,Data!$CS$1:$DS$1,0))</f>
        <v>0</v>
      </c>
      <c r="I875" s="65" t="str">
        <f ca="1">IF(H875=1,INDEX(Parameter!$B$10:$AB$10,MATCH(C875,Parameter!$B$9:$AB$9,0))+5,"")</f>
        <v/>
      </c>
      <c r="J875" s="65" t="str">
        <f t="array" aca="1" ref="J875" ca="1">IF(H875=1,MATCH(1,(OFFSET(Data!$DY$1:$IB$1,B875-1,0))*(Data!$DY$90:$IB$90=C875),0),"")</f>
        <v/>
      </c>
      <c r="K875" s="65" t="str">
        <f t="array" aca="1" ref="K875" ca="1">IF(H875=1,MATCH(I875,OFFSET(Data!$DX$91:$DX$190,0,Specials!J875)*(Data!$AM$91:$AM$190&gt;Parameter!$B$33)*(Data!$DW$91:$DW$190="W"),0),"")</f>
        <v/>
      </c>
      <c r="L875" s="65" t="str">
        <f ca="1">IF(H875=1,INDEX(Data!$DT$91:$DT$190,$K875)&amp;" / "&amp;OFFSET(Data!$DX$89,0,Specials!J875),"")</f>
        <v/>
      </c>
      <c r="M875" s="65" t="s">
        <v>16</v>
      </c>
      <c r="N875" s="65" t="s">
        <v>255</v>
      </c>
      <c r="O875" s="65" t="e">
        <f t="shared" ca="1" si="60"/>
        <v>#VALUE!</v>
      </c>
      <c r="P875" s="65" t="str">
        <f t="shared" ca="1" si="61"/>
        <v/>
      </c>
    </row>
    <row r="876" spans="1:16" s="65" customFormat="1" hidden="1" x14ac:dyDescent="0.25">
      <c r="A876" s="289" t="str">
        <f>"# Oh dear Women Rating &gt; "&amp;Parameter!$B$33</f>
        <v># Oh dear Women Rating &gt; 600</v>
      </c>
      <c r="B876" s="294">
        <f>MATCH(A876,Data!$DT:$DT,0)</f>
        <v>18</v>
      </c>
      <c r="C876" s="65">
        <f>INDEX(Parameter!$9:$9,,MATCH(10,Parameter!$8:$8,0))</f>
        <v>10</v>
      </c>
      <c r="D876" s="65">
        <f>INDEX(Parameter!$B$10:$AB$10,MATCH(C876,Parameter!$B$9:$AB$9,0))</f>
        <v>4</v>
      </c>
      <c r="H876" s="65">
        <f ca="1">INDEX(OFFSET(Data!$CS$1:$DS$1,B876-1,0),MATCH("Total/"&amp;C876,Data!$CS$1:$DS$1,0))</f>
        <v>0</v>
      </c>
      <c r="I876" s="65" t="str">
        <f ca="1">IF(H876=1,INDEX(Parameter!$B$10:$AB$10,MATCH(C876,Parameter!$B$9:$AB$9,0))+5,"")</f>
        <v/>
      </c>
      <c r="J876" s="65" t="str">
        <f t="array" aca="1" ref="J876" ca="1">IF(H876=1,MATCH(1,(OFFSET(Data!$DY$1:$IB$1,B876-1,0))*(Data!$DY$90:$IB$90=C876),0),"")</f>
        <v/>
      </c>
      <c r="K876" s="65" t="str">
        <f t="array" aca="1" ref="K876" ca="1">IF(H876=1,MATCH(I876,OFFSET(Data!$DX$91:$DX$190,0,Specials!J876)*(Data!$AM$91:$AM$190&gt;Parameter!$B$33)*(Data!$DW$91:$DW$190="W"),0),"")</f>
        <v/>
      </c>
      <c r="L876" s="65" t="str">
        <f ca="1">IF(H876=1,INDEX(Data!$DT$91:$DT$190,$K876)&amp;" / "&amp;OFFSET(Data!$DX$89,0,Specials!J876),"")</f>
        <v/>
      </c>
      <c r="M876" s="65" t="s">
        <v>16</v>
      </c>
      <c r="N876" s="65" t="s">
        <v>255</v>
      </c>
      <c r="O876" s="65" t="e">
        <f t="shared" ca="1" si="60"/>
        <v>#VALUE!</v>
      </c>
      <c r="P876" s="65" t="str">
        <f t="shared" ca="1" si="61"/>
        <v/>
      </c>
    </row>
    <row r="877" spans="1:16" s="65" customFormat="1" hidden="1" x14ac:dyDescent="0.25">
      <c r="A877" s="289" t="str">
        <f>"# Oh dear Women Rating &gt; "&amp;Parameter!$B$33</f>
        <v># Oh dear Women Rating &gt; 600</v>
      </c>
      <c r="B877" s="294">
        <f>MATCH(A877,Data!$DT:$DT,0)</f>
        <v>18</v>
      </c>
      <c r="C877" s="65">
        <f>INDEX(Parameter!$9:$9,,MATCH(11,Parameter!$8:$8,0))</f>
        <v>11</v>
      </c>
      <c r="D877" s="65">
        <f>INDEX(Parameter!$B$10:$AB$10,MATCH(C877,Parameter!$B$9:$AB$9,0))</f>
        <v>4</v>
      </c>
      <c r="H877" s="65">
        <f ca="1">INDEX(OFFSET(Data!$CS$1:$DS$1,B877-1,0),MATCH("Total/"&amp;C877,Data!$CS$1:$DS$1,0))</f>
        <v>0</v>
      </c>
      <c r="I877" s="65" t="str">
        <f ca="1">IF(H877=1,INDEX(Parameter!$B$10:$AB$10,MATCH(C877,Parameter!$B$9:$AB$9,0))+5,"")</f>
        <v/>
      </c>
      <c r="J877" s="65" t="str">
        <f t="array" aca="1" ref="J877" ca="1">IF(H877=1,MATCH(1,(OFFSET(Data!$DY$1:$IB$1,B877-1,0))*(Data!$DY$90:$IB$90=C877),0),"")</f>
        <v/>
      </c>
      <c r="K877" s="65" t="str">
        <f t="array" aca="1" ref="K877" ca="1">IF(H877=1,MATCH(I877,OFFSET(Data!$DX$91:$DX$190,0,Specials!J877)*(Data!$AM$91:$AM$190&gt;Parameter!$B$33)*(Data!$DW$91:$DW$190="W"),0),"")</f>
        <v/>
      </c>
      <c r="L877" s="65" t="str">
        <f ca="1">IF(H877=1,INDEX(Data!$DT$91:$DT$190,$K877)&amp;" / "&amp;OFFSET(Data!$DX$89,0,Specials!J877),"")</f>
        <v/>
      </c>
      <c r="M877" s="65" t="s">
        <v>16</v>
      </c>
      <c r="N877" s="65" t="s">
        <v>255</v>
      </c>
      <c r="O877" s="65" t="e">
        <f t="shared" ca="1" si="60"/>
        <v>#VALUE!</v>
      </c>
      <c r="P877" s="65" t="str">
        <f t="shared" ca="1" si="61"/>
        <v/>
      </c>
    </row>
    <row r="878" spans="1:16" s="65" customFormat="1" hidden="1" x14ac:dyDescent="0.25">
      <c r="A878" s="289" t="str">
        <f>"# Oh dear Women Rating &gt; "&amp;Parameter!$B$33</f>
        <v># Oh dear Women Rating &gt; 600</v>
      </c>
      <c r="B878" s="294">
        <f>MATCH(A878,Data!$DT:$DT,0)</f>
        <v>18</v>
      </c>
      <c r="C878" s="65" t="str">
        <f>INDEX(Parameter!$9:$9,,MATCH(12,Parameter!$8:$8,0))</f>
        <v>11b</v>
      </c>
      <c r="D878" s="65">
        <f>INDEX(Parameter!$B$10:$AB$10,MATCH(C878,Parameter!$B$9:$AB$9,0))</f>
        <v>3</v>
      </c>
      <c r="H878" s="65">
        <f ca="1">INDEX(OFFSET(Data!$CS$1:$DS$1,B878-1,0),MATCH("Total/"&amp;C878,Data!$CS$1:$DS$1,0))</f>
        <v>0</v>
      </c>
      <c r="I878" s="65" t="str">
        <f ca="1">IF(H878=1,INDEX(Parameter!$B$10:$AB$10,MATCH(C878,Parameter!$B$9:$AB$9,0))+5,"")</f>
        <v/>
      </c>
      <c r="J878" s="65" t="str">
        <f t="array" aca="1" ref="J878" ca="1">IF(H878=1,MATCH(1,(OFFSET(Data!$DY$1:$IB$1,B878-1,0))*(Data!$DY$90:$IB$90=C878),0),"")</f>
        <v/>
      </c>
      <c r="K878" s="65" t="str">
        <f t="array" aca="1" ref="K878" ca="1">IF(H878=1,MATCH(I878,OFFSET(Data!$DX$91:$DX$190,0,Specials!J878)*(Data!$AM$91:$AM$190&gt;Parameter!$B$33)*(Data!$DW$91:$DW$190="W"),0),"")</f>
        <v/>
      </c>
      <c r="L878" s="65" t="str">
        <f ca="1">IF(H878=1,INDEX(Data!$DT$91:$DT$190,$K878)&amp;" / "&amp;OFFSET(Data!$DX$89,0,Specials!J878),"")</f>
        <v/>
      </c>
      <c r="M878" s="65" t="s">
        <v>16</v>
      </c>
      <c r="N878" s="65" t="s">
        <v>255</v>
      </c>
      <c r="O878" s="65" t="e">
        <f t="shared" ca="1" si="60"/>
        <v>#VALUE!</v>
      </c>
      <c r="P878" s="65" t="str">
        <f t="shared" ca="1" si="61"/>
        <v/>
      </c>
    </row>
    <row r="879" spans="1:16" s="65" customFormat="1" hidden="1" x14ac:dyDescent="0.25">
      <c r="A879" s="289" t="str">
        <f>"# Oh dear Women Rating &gt; "&amp;Parameter!$B$33</f>
        <v># Oh dear Women Rating &gt; 600</v>
      </c>
      <c r="B879" s="294">
        <f>MATCH(A879,Data!$DT:$DT,0)</f>
        <v>18</v>
      </c>
      <c r="C879" s="65">
        <f>INDEX(Parameter!$9:$9,,MATCH(13,Parameter!$8:$8,0))</f>
        <v>12</v>
      </c>
      <c r="D879" s="65">
        <f>INDEX(Parameter!$B$10:$AB$10,MATCH(C879,Parameter!$B$9:$AB$9,0))</f>
        <v>3</v>
      </c>
      <c r="H879" s="65">
        <f ca="1">INDEX(OFFSET(Data!$CS$1:$DS$1,B879-1,0),MATCH("Total/"&amp;C879,Data!$CS$1:$DS$1,0))</f>
        <v>0</v>
      </c>
      <c r="I879" s="65" t="str">
        <f ca="1">IF(H879=1,INDEX(Parameter!$B$10:$AB$10,MATCH(C879,Parameter!$B$9:$AB$9,0))+5,"")</f>
        <v/>
      </c>
      <c r="J879" s="65" t="str">
        <f t="array" aca="1" ref="J879" ca="1">IF(H879=1,MATCH(1,(OFFSET(Data!$DY$1:$IB$1,B879-1,0))*(Data!$DY$90:$IB$90=C879),0),"")</f>
        <v/>
      </c>
      <c r="K879" s="65" t="str">
        <f t="array" aca="1" ref="K879" ca="1">IF(H879=1,MATCH(I879,OFFSET(Data!$DX$91:$DX$190,0,Specials!J879)*(Data!$AM$91:$AM$190&gt;Parameter!$B$33)*(Data!$DW$91:$DW$190="W"),0),"")</f>
        <v/>
      </c>
      <c r="L879" s="65" t="str">
        <f ca="1">IF(H879=1,INDEX(Data!$DT$91:$DT$190,$K879)&amp;" / "&amp;OFFSET(Data!$DX$89,0,Specials!J879),"")</f>
        <v/>
      </c>
      <c r="M879" s="65" t="s">
        <v>16</v>
      </c>
      <c r="N879" s="65" t="s">
        <v>255</v>
      </c>
      <c r="O879" s="65" t="e">
        <f t="shared" ca="1" si="60"/>
        <v>#VALUE!</v>
      </c>
      <c r="P879" s="65" t="str">
        <f t="shared" ca="1" si="61"/>
        <v/>
      </c>
    </row>
    <row r="880" spans="1:16" s="65" customFormat="1" hidden="1" x14ac:dyDescent="0.25">
      <c r="A880" s="289" t="str">
        <f>"# Oh dear Women Rating &gt; "&amp;Parameter!$B$33</f>
        <v># Oh dear Women Rating &gt; 600</v>
      </c>
      <c r="B880" s="294">
        <f>MATCH(A880,Data!$DT:$DT,0)</f>
        <v>18</v>
      </c>
      <c r="C880" s="65">
        <f>INDEX(Parameter!$9:$9,,MATCH(14,Parameter!$8:$8,0))</f>
        <v>13</v>
      </c>
      <c r="D880" s="65">
        <f>INDEX(Parameter!$B$10:$AB$10,MATCH(C880,Parameter!$B$9:$AB$9,0))</f>
        <v>3</v>
      </c>
      <c r="H880" s="65">
        <f ca="1">INDEX(OFFSET(Data!$CS$1:$DS$1,B880-1,0),MATCH("Total/"&amp;C880,Data!$CS$1:$DS$1,0))</f>
        <v>0</v>
      </c>
      <c r="I880" s="65" t="str">
        <f ca="1">IF(H880=1,INDEX(Parameter!$B$10:$AB$10,MATCH(C880,Parameter!$B$9:$AB$9,0))+5,"")</f>
        <v/>
      </c>
      <c r="J880" s="65" t="str">
        <f t="array" aca="1" ref="J880" ca="1">IF(H880=1,MATCH(1,(OFFSET(Data!$DY$1:$IB$1,B880-1,0))*(Data!$DY$90:$IB$90=C880),0),"")</f>
        <v/>
      </c>
      <c r="K880" s="65" t="str">
        <f t="array" aca="1" ref="K880" ca="1">IF(H880=1,MATCH(I880,OFFSET(Data!$DX$91:$DX$190,0,Specials!J880)*(Data!$AM$91:$AM$190&gt;Parameter!$B$33)*(Data!$DW$91:$DW$190="W"),0),"")</f>
        <v/>
      </c>
      <c r="L880" s="65" t="str">
        <f ca="1">IF(H880=1,INDEX(Data!$DT$91:$DT$190,$K880)&amp;" / "&amp;OFFSET(Data!$DX$89,0,Specials!J880),"")</f>
        <v/>
      </c>
      <c r="M880" s="65" t="s">
        <v>16</v>
      </c>
      <c r="N880" s="65" t="s">
        <v>255</v>
      </c>
      <c r="O880" s="65" t="e">
        <f t="shared" ca="1" si="60"/>
        <v>#VALUE!</v>
      </c>
      <c r="P880" s="65" t="str">
        <f t="shared" ca="1" si="61"/>
        <v/>
      </c>
    </row>
    <row r="881" spans="1:16" s="65" customFormat="1" hidden="1" x14ac:dyDescent="0.25">
      <c r="A881" s="289" t="str">
        <f>"# Oh dear Women Rating &gt; "&amp;Parameter!$B$33</f>
        <v># Oh dear Women Rating &gt; 600</v>
      </c>
      <c r="B881" s="294">
        <f>MATCH(A881,Data!$DT:$DT,0)</f>
        <v>18</v>
      </c>
      <c r="C881" s="65">
        <f>INDEX(Parameter!$9:$9,,MATCH(15,Parameter!$8:$8,0))</f>
        <v>14</v>
      </c>
      <c r="D881" s="65">
        <f>INDEX(Parameter!$B$10:$AB$10,MATCH(C881,Parameter!$B$9:$AB$9,0))</f>
        <v>3</v>
      </c>
      <c r="H881" s="65">
        <f ca="1">INDEX(OFFSET(Data!$CS$1:$DS$1,B881-1,0),MATCH("Total/"&amp;C881,Data!$CS$1:$DS$1,0))</f>
        <v>0</v>
      </c>
      <c r="I881" s="65" t="str">
        <f ca="1">IF(H881=1,INDEX(Parameter!$B$10:$AB$10,MATCH(C881,Parameter!$B$9:$AB$9,0))+5,"")</f>
        <v/>
      </c>
      <c r="J881" s="65" t="str">
        <f t="array" aca="1" ref="J881" ca="1">IF(H881=1,MATCH(1,(OFFSET(Data!$DY$1:$IB$1,B881-1,0))*(Data!$DY$90:$IB$90=C881),0),"")</f>
        <v/>
      </c>
      <c r="K881" s="65" t="str">
        <f t="array" aca="1" ref="K881" ca="1">IF(H881=1,MATCH(I881,OFFSET(Data!$DX$91:$DX$190,0,Specials!J881)*(Data!$AM$91:$AM$190&gt;Parameter!$B$33)*(Data!$DW$91:$DW$190="W"),0),"")</f>
        <v/>
      </c>
      <c r="L881" s="65" t="str">
        <f ca="1">IF(H881=1,INDEX(Data!$DT$91:$DT$190,$K881)&amp;" / "&amp;OFFSET(Data!$DX$89,0,Specials!J881),"")</f>
        <v/>
      </c>
      <c r="M881" s="65" t="s">
        <v>16</v>
      </c>
      <c r="N881" s="65" t="s">
        <v>255</v>
      </c>
      <c r="O881" s="65" t="e">
        <f t="shared" ca="1" si="60"/>
        <v>#VALUE!</v>
      </c>
      <c r="P881" s="65" t="str">
        <f t="shared" ca="1" si="61"/>
        <v/>
      </c>
    </row>
    <row r="882" spans="1:16" s="65" customFormat="1" hidden="1" x14ac:dyDescent="0.25">
      <c r="A882" s="289" t="str">
        <f>"# Oh dear Women Rating &gt; "&amp;Parameter!$B$33</f>
        <v># Oh dear Women Rating &gt; 600</v>
      </c>
      <c r="B882" s="294">
        <f>MATCH(A882,Data!$DT:$DT,0)</f>
        <v>18</v>
      </c>
      <c r="C882" s="65">
        <f>INDEX(Parameter!$9:$9,,MATCH(16,Parameter!$8:$8,0))</f>
        <v>15</v>
      </c>
      <c r="D882" s="65">
        <f>INDEX(Parameter!$B$10:$AB$10,MATCH(C882,Parameter!$B$9:$AB$9,0))</f>
        <v>3</v>
      </c>
      <c r="H882" s="65">
        <f ca="1">INDEX(OFFSET(Data!$CS$1:$DS$1,B882-1,0),MATCH("Total/"&amp;C882,Data!$CS$1:$DS$1,0))</f>
        <v>0</v>
      </c>
      <c r="I882" s="65" t="str">
        <f ca="1">IF(H882=1,INDEX(Parameter!$B$10:$AB$10,MATCH(C882,Parameter!$B$9:$AB$9,0))+5,"")</f>
        <v/>
      </c>
      <c r="J882" s="65" t="str">
        <f t="array" aca="1" ref="J882" ca="1">IF(H882=1,MATCH(1,(OFFSET(Data!$DY$1:$IB$1,B882-1,0))*(Data!$DY$90:$IB$90=C882),0),"")</f>
        <v/>
      </c>
      <c r="K882" s="65" t="str">
        <f t="array" aca="1" ref="K882" ca="1">IF(H882=1,MATCH(I882,OFFSET(Data!$DX$91:$DX$190,0,Specials!J882)*(Data!$AM$91:$AM$190&gt;Parameter!$B$33)*(Data!$DW$91:$DW$190="W"),0),"")</f>
        <v/>
      </c>
      <c r="L882" s="65" t="str">
        <f ca="1">IF(H882=1,INDEX(Data!$DT$91:$DT$190,$K882)&amp;" / "&amp;OFFSET(Data!$DX$89,0,Specials!J882),"")</f>
        <v/>
      </c>
      <c r="M882" s="65" t="s">
        <v>16</v>
      </c>
      <c r="N882" s="65" t="s">
        <v>255</v>
      </c>
      <c r="O882" s="65" t="e">
        <f t="shared" ca="1" si="60"/>
        <v>#VALUE!</v>
      </c>
      <c r="P882" s="65" t="str">
        <f t="shared" ca="1" si="61"/>
        <v/>
      </c>
    </row>
    <row r="883" spans="1:16" s="65" customFormat="1" hidden="1" x14ac:dyDescent="0.25">
      <c r="A883" s="289" t="str">
        <f>"# Oh dear Women Rating &gt; "&amp;Parameter!$B$33</f>
        <v># Oh dear Women Rating &gt; 600</v>
      </c>
      <c r="B883" s="294">
        <f>MATCH(A883,Data!$DT:$DT,0)</f>
        <v>18</v>
      </c>
      <c r="C883" s="65">
        <f>INDEX(Parameter!$9:$9,,MATCH(17,Parameter!$8:$8,0))</f>
        <v>16</v>
      </c>
      <c r="D883" s="65">
        <f>INDEX(Parameter!$B$10:$AB$10,MATCH(C883,Parameter!$B$9:$AB$9,0))</f>
        <v>3</v>
      </c>
      <c r="H883" s="65">
        <f ca="1">INDEX(OFFSET(Data!$CS$1:$DS$1,B883-1,0),MATCH("Total/"&amp;C883,Data!$CS$1:$DS$1,0))</f>
        <v>0</v>
      </c>
      <c r="I883" s="65" t="str">
        <f ca="1">IF(H883=1,INDEX(Parameter!$B$10:$AB$10,MATCH(C883,Parameter!$B$9:$AB$9,0))+5,"")</f>
        <v/>
      </c>
      <c r="J883" s="65" t="str">
        <f t="array" aca="1" ref="J883" ca="1">IF(H883=1,MATCH(1,(OFFSET(Data!$DY$1:$IB$1,B883-1,0))*(Data!$DY$90:$IB$90=C883),0),"")</f>
        <v/>
      </c>
      <c r="K883" s="65" t="str">
        <f t="array" aca="1" ref="K883" ca="1">IF(H883=1,MATCH(I883,OFFSET(Data!$DX$91:$DX$190,0,Specials!J883)*(Data!$AM$91:$AM$190&gt;Parameter!$B$33)*(Data!$DW$91:$DW$190="W"),0),"")</f>
        <v/>
      </c>
      <c r="L883" s="65" t="str">
        <f ca="1">IF(H883=1,INDEX(Data!$DT$91:$DT$190,$K883)&amp;" / "&amp;OFFSET(Data!$DX$89,0,Specials!J883),"")</f>
        <v/>
      </c>
      <c r="M883" s="65" t="s">
        <v>16</v>
      </c>
      <c r="N883" s="65" t="s">
        <v>255</v>
      </c>
      <c r="O883" s="65" t="e">
        <f t="shared" ca="1" si="60"/>
        <v>#VALUE!</v>
      </c>
      <c r="P883" s="65" t="str">
        <f t="shared" ca="1" si="61"/>
        <v/>
      </c>
    </row>
    <row r="884" spans="1:16" s="65" customFormat="1" hidden="1" x14ac:dyDescent="0.25">
      <c r="A884" s="289" t="str">
        <f>"# Oh dear Women Rating &gt; "&amp;Parameter!$B$33</f>
        <v># Oh dear Women Rating &gt; 600</v>
      </c>
      <c r="B884" s="294">
        <f>MATCH(A884,Data!$DT:$DT,0)</f>
        <v>18</v>
      </c>
      <c r="C884" s="65">
        <f>INDEX(Parameter!$9:$9,,MATCH(18,Parameter!$8:$8,0))</f>
        <v>17</v>
      </c>
      <c r="D884" s="65">
        <f>INDEX(Parameter!$B$10:$AB$10,MATCH(C884,Parameter!$B$9:$AB$9,0))</f>
        <v>3</v>
      </c>
      <c r="H884" s="65">
        <f ca="1">INDEX(OFFSET(Data!$CS$1:$DS$1,B884-1,0),MATCH("Total/"&amp;C884,Data!$CS$1:$DS$1,0))</f>
        <v>0</v>
      </c>
      <c r="I884" s="65" t="str">
        <f ca="1">IF(H884=1,INDEX(Parameter!$B$10:$AB$10,MATCH(C884,Parameter!$B$9:$AB$9,0))+5,"")</f>
        <v/>
      </c>
      <c r="J884" s="65" t="str">
        <f t="array" aca="1" ref="J884" ca="1">IF(H884=1,MATCH(1,(OFFSET(Data!$DY$1:$IB$1,B884-1,0))*(Data!$DY$90:$IB$90=C884),0),"")</f>
        <v/>
      </c>
      <c r="K884" s="65" t="str">
        <f t="array" aca="1" ref="K884" ca="1">IF(H884=1,MATCH(I884,OFFSET(Data!$DX$91:$DX$190,0,Specials!J884)*(Data!$AM$91:$AM$190&gt;Parameter!$B$33)*(Data!$DW$91:$DW$190="W"),0),"")</f>
        <v/>
      </c>
      <c r="L884" s="65" t="str">
        <f ca="1">IF(H884=1,INDEX(Data!$DT$91:$DT$190,$K884)&amp;" / "&amp;OFFSET(Data!$DX$89,0,Specials!J884),"")</f>
        <v/>
      </c>
      <c r="M884" s="65" t="s">
        <v>16</v>
      </c>
      <c r="N884" s="65" t="s">
        <v>255</v>
      </c>
      <c r="O884" s="65" t="e">
        <f t="shared" ca="1" si="60"/>
        <v>#VALUE!</v>
      </c>
      <c r="P884" s="65" t="str">
        <f t="shared" ca="1" si="61"/>
        <v/>
      </c>
    </row>
    <row r="885" spans="1:16" s="65" customFormat="1" hidden="1" x14ac:dyDescent="0.25">
      <c r="A885" s="289" t="str">
        <f>"# Oh dear Women Rating &gt; "&amp;Parameter!$B$33</f>
        <v># Oh dear Women Rating &gt; 600</v>
      </c>
      <c r="B885" s="294">
        <f>MATCH(A885,Data!$DT:$DT,0)</f>
        <v>18</v>
      </c>
      <c r="C885" s="65">
        <f>INDEX(Parameter!$9:$9,,MATCH(19,Parameter!$8:$8,0))</f>
        <v>18</v>
      </c>
      <c r="D885" s="65">
        <f>INDEX(Parameter!$B$10:$AB$10,MATCH(C885,Parameter!$B$9:$AB$9,0))</f>
        <v>3</v>
      </c>
      <c r="H885" s="65">
        <f ca="1">INDEX(OFFSET(Data!$CS$1:$DS$1,B885-1,0),MATCH("Total/"&amp;C885,Data!$CS$1:$DS$1,0))</f>
        <v>0</v>
      </c>
      <c r="I885" s="65" t="str">
        <f ca="1">IF(H885=1,INDEX(Parameter!$B$10:$AB$10,MATCH(C885,Parameter!$B$9:$AB$9,0))+5,"")</f>
        <v/>
      </c>
      <c r="J885" s="65" t="str">
        <f t="array" aca="1" ref="J885" ca="1">IF(H885=1,MATCH(1,(OFFSET(Data!$DY$1:$IB$1,B885-1,0))*(Data!$DY$90:$IB$90=C885),0),"")</f>
        <v/>
      </c>
      <c r="K885" s="65" t="str">
        <f t="array" aca="1" ref="K885" ca="1">IF(H885=1,MATCH(I885,OFFSET(Data!$DX$91:$DX$190,0,Specials!J885)*(Data!$AM$91:$AM$190&gt;Parameter!$B$33)*(Data!$DW$91:$DW$190="W"),0),"")</f>
        <v/>
      </c>
      <c r="L885" s="65" t="str">
        <f ca="1">IF(H885=1,INDEX(Data!$DT$91:$DT$190,$K885)&amp;" / "&amp;OFFSET(Data!$DX$89,0,Specials!J885),"")</f>
        <v/>
      </c>
      <c r="M885" s="65" t="s">
        <v>16</v>
      </c>
      <c r="N885" s="65" t="s">
        <v>255</v>
      </c>
      <c r="O885" s="65" t="e">
        <f t="shared" ca="1" si="60"/>
        <v>#VALUE!</v>
      </c>
      <c r="P885" s="65" t="str">
        <f t="shared" ca="1" si="61"/>
        <v/>
      </c>
    </row>
    <row r="886" spans="1:16" s="65" customFormat="1" hidden="1" x14ac:dyDescent="0.25">
      <c r="A886" s="289" t="str">
        <f>"# Oh dear Women Rating &gt; "&amp;Parameter!$B$33</f>
        <v># Oh dear Women Rating &gt; 600</v>
      </c>
      <c r="B886" s="294">
        <f>MATCH(A886,Data!$DT:$DT,0)</f>
        <v>18</v>
      </c>
      <c r="C886" s="65">
        <f>INDEX(Parameter!$9:$9,,MATCH(20,Parameter!$8:$8,0))</f>
        <v>20</v>
      </c>
      <c r="D886" s="65" t="str">
        <f>INDEX(Parameter!$B$10:$AB$10,MATCH(C886,Parameter!$B$9:$AB$9,0))</f>
        <v>no</v>
      </c>
      <c r="H886" s="65">
        <f ca="1">INDEX(OFFSET(Data!$CS$1:$DS$1,B886-1,0),MATCH("Total/"&amp;C886,Data!$CS$1:$DS$1,0))</f>
        <v>0</v>
      </c>
      <c r="I886" s="65" t="str">
        <f ca="1">IF(H886=1,INDEX(Parameter!$B$10:$AB$10,MATCH(C886,Parameter!$B$9:$AB$9,0))+5,"")</f>
        <v/>
      </c>
      <c r="J886" s="65" t="str">
        <f t="array" aca="1" ref="J886" ca="1">IF(H886=1,MATCH(1,(OFFSET(Data!$DY$1:$IB$1,B886-1,0))*(Data!$DY$90:$IB$90=C886),0),"")</f>
        <v/>
      </c>
      <c r="K886" s="65" t="str">
        <f t="array" aca="1" ref="K886" ca="1">IF(H886=1,MATCH(I886,OFFSET(Data!$DX$91:$DX$190,0,Specials!J886)*(Data!$AM$91:$AM$190&gt;Parameter!$B$33)*(Data!$DW$91:$DW$190="W"),0),"")</f>
        <v/>
      </c>
      <c r="L886" s="65" t="str">
        <f ca="1">IF(H886=1,INDEX(Data!$DT$91:$DT$190,$K886)&amp;" / "&amp;OFFSET(Data!$DX$89,0,Specials!J886),"")</f>
        <v/>
      </c>
      <c r="M886" s="65" t="s">
        <v>16</v>
      </c>
      <c r="N886" s="65" t="s">
        <v>255</v>
      </c>
      <c r="O886" s="65" t="e">
        <f t="shared" ca="1" si="60"/>
        <v>#VALUE!</v>
      </c>
      <c r="P886" s="65" t="str">
        <f t="shared" ca="1" si="61"/>
        <v/>
      </c>
    </row>
    <row r="887" spans="1:16" s="65" customFormat="1" hidden="1" x14ac:dyDescent="0.25">
      <c r="A887" s="289" t="str">
        <f>"# Oh dear Women Rating &gt; "&amp;Parameter!$B$33</f>
        <v># Oh dear Women Rating &gt; 600</v>
      </c>
      <c r="B887" s="294">
        <f>MATCH(A887,Data!$DT:$DT,0)</f>
        <v>18</v>
      </c>
      <c r="C887" s="65">
        <f>INDEX(Parameter!$9:$9,,MATCH(21,Parameter!$8:$8,0))</f>
        <v>21</v>
      </c>
      <c r="D887" s="65" t="str">
        <f>INDEX(Parameter!$B$10:$AB$10,MATCH(C887,Parameter!$B$9:$AB$9,0))</f>
        <v>no</v>
      </c>
      <c r="H887" s="65">
        <f ca="1">INDEX(OFFSET(Data!$CS$1:$DS$1,B887-1,0),MATCH("Total/"&amp;C887,Data!$CS$1:$DS$1,0))</f>
        <v>0</v>
      </c>
      <c r="I887" s="65" t="str">
        <f ca="1">IF(H887=1,INDEX(Parameter!$B$10:$AB$10,MATCH(C887,Parameter!$B$9:$AB$9,0))+5,"")</f>
        <v/>
      </c>
      <c r="J887" s="65" t="str">
        <f t="array" aca="1" ref="J887" ca="1">IF(H887=1,MATCH(1,(OFFSET(Data!$DY$1:$IB$1,B887-1,0))*(Data!$DY$90:$IB$90=C887),0),"")</f>
        <v/>
      </c>
      <c r="K887" s="65" t="str">
        <f t="array" aca="1" ref="K887" ca="1">IF(H887=1,MATCH(I887,OFFSET(Data!$DX$91:$DX$190,0,Specials!J887)*(Data!$AM$91:$AM$190&gt;Parameter!$B$33)*(Data!$DW$91:$DW$190="W"),0),"")</f>
        <v/>
      </c>
      <c r="L887" s="65" t="str">
        <f ca="1">IF(H887=1,INDEX(Data!$DT$91:$DT$190,$K887)&amp;" / "&amp;OFFSET(Data!$DX$89,0,Specials!J887),"")</f>
        <v/>
      </c>
      <c r="M887" s="65" t="s">
        <v>16</v>
      </c>
      <c r="N887" s="65" t="s">
        <v>255</v>
      </c>
      <c r="O887" s="65" t="e">
        <f t="shared" ca="1" si="60"/>
        <v>#VALUE!</v>
      </c>
      <c r="P887" s="65" t="str">
        <f t="shared" ca="1" si="61"/>
        <v/>
      </c>
    </row>
    <row r="888" spans="1:16" s="65" customFormat="1" hidden="1" x14ac:dyDescent="0.25">
      <c r="A888" s="289" t="str">
        <f>"# Oh dear Women Rating &gt; "&amp;Parameter!$B$33</f>
        <v># Oh dear Women Rating &gt; 600</v>
      </c>
      <c r="B888" s="294">
        <f>MATCH(A888,Data!$DT:$DT,0)</f>
        <v>18</v>
      </c>
      <c r="C888" s="65">
        <f>INDEX(Parameter!$9:$9,,MATCH(22,Parameter!$8:$8,0))</f>
        <v>22</v>
      </c>
      <c r="D888" s="65" t="str">
        <f>INDEX(Parameter!$B$10:$AB$10,MATCH(C888,Parameter!$B$9:$AB$9,0))</f>
        <v>no</v>
      </c>
      <c r="H888" s="65">
        <f ca="1">INDEX(OFFSET(Data!$CS$1:$DS$1,B888-1,0),MATCH("Total/"&amp;C888,Data!$CS$1:$DS$1,0))</f>
        <v>0</v>
      </c>
      <c r="I888" s="65" t="str">
        <f ca="1">IF(H888=1,INDEX(Parameter!$B$10:$AB$10,MATCH(C888,Parameter!$B$9:$AB$9,0))+5,"")</f>
        <v/>
      </c>
      <c r="J888" s="65" t="str">
        <f t="array" aca="1" ref="J888" ca="1">IF(H888=1,MATCH(1,(OFFSET(Data!$DY$1:$IB$1,B888-1,0))*(Data!$DY$90:$IB$90=C888),0),"")</f>
        <v/>
      </c>
      <c r="K888" s="65" t="str">
        <f t="array" aca="1" ref="K888" ca="1">IF(H888=1,MATCH(I888,OFFSET(Data!$DX$91:$DX$190,0,Specials!J888)*(Data!$AM$91:$AM$190&gt;Parameter!$B$33)*(Data!$DW$91:$DW$190="W"),0),"")</f>
        <v/>
      </c>
      <c r="L888" s="65" t="str">
        <f ca="1">IF(H888=1,INDEX(Data!$DT$91:$DT$190,$K888)&amp;" / "&amp;OFFSET(Data!$DX$89,0,Specials!J888),"")</f>
        <v/>
      </c>
      <c r="M888" s="65" t="s">
        <v>16</v>
      </c>
      <c r="N888" s="65" t="s">
        <v>255</v>
      </c>
      <c r="O888" s="65" t="e">
        <f t="shared" ca="1" si="60"/>
        <v>#VALUE!</v>
      </c>
      <c r="P888" s="65" t="str">
        <f t="shared" ca="1" si="61"/>
        <v/>
      </c>
    </row>
    <row r="889" spans="1:16" s="65" customFormat="1" hidden="1" x14ac:dyDescent="0.25">
      <c r="A889" s="289" t="str">
        <f>"# Oh dear Women Rating &gt; "&amp;Parameter!$B$33</f>
        <v># Oh dear Women Rating &gt; 600</v>
      </c>
      <c r="B889" s="294">
        <f>MATCH(A889,Data!$DT:$DT,0)</f>
        <v>18</v>
      </c>
      <c r="C889" s="65">
        <f>INDEX(Parameter!$9:$9,,MATCH(23,Parameter!$8:$8,0))</f>
        <v>23</v>
      </c>
      <c r="D889" s="65" t="str">
        <f>INDEX(Parameter!$B$10:$AB$10,MATCH(C889,Parameter!$B$9:$AB$9,0))</f>
        <v>no</v>
      </c>
      <c r="H889" s="65">
        <f ca="1">INDEX(OFFSET(Data!$CS$1:$DS$1,B889-1,0),MATCH("Total/"&amp;C889,Data!$CS$1:$DS$1,0))</f>
        <v>0</v>
      </c>
      <c r="I889" s="65" t="str">
        <f ca="1">IF(H889=1,INDEX(Parameter!$B$10:$AB$10,MATCH(C889,Parameter!$B$9:$AB$9,0))+5,"")</f>
        <v/>
      </c>
      <c r="J889" s="65" t="str">
        <f t="array" aca="1" ref="J889" ca="1">IF(H889=1,MATCH(1,(OFFSET(Data!$DY$1:$IB$1,B889-1,0))*(Data!$DY$90:$IB$90=C889),0),"")</f>
        <v/>
      </c>
      <c r="K889" s="65" t="str">
        <f t="array" aca="1" ref="K889" ca="1">IF(H889=1,MATCH(I889,OFFSET(Data!$DX$91:$DX$190,0,Specials!J889)*(Data!$AM$91:$AM$190&gt;Parameter!$B$33)*(Data!$DW$91:$DW$190="W"),0),"")</f>
        <v/>
      </c>
      <c r="L889" s="65" t="str">
        <f ca="1">IF(H889=1,INDEX(Data!$DT$91:$DT$190,$K889)&amp;" / "&amp;OFFSET(Data!$DX$89,0,Specials!J889),"")</f>
        <v/>
      </c>
      <c r="M889" s="65" t="s">
        <v>16</v>
      </c>
      <c r="N889" s="65" t="s">
        <v>255</v>
      </c>
      <c r="O889" s="65" t="e">
        <f t="shared" ca="1" si="60"/>
        <v>#VALUE!</v>
      </c>
      <c r="P889" s="65" t="str">
        <f t="shared" ca="1" si="61"/>
        <v/>
      </c>
    </row>
    <row r="890" spans="1:16" s="65" customFormat="1" hidden="1" x14ac:dyDescent="0.25">
      <c r="A890" s="289" t="str">
        <f>"# Oh dear Women Rating &gt; "&amp;Parameter!$B$33</f>
        <v># Oh dear Women Rating &gt; 600</v>
      </c>
      <c r="B890" s="294">
        <f>MATCH(A890,Data!$DT:$DT,0)</f>
        <v>18</v>
      </c>
      <c r="C890" s="65">
        <f>INDEX(Parameter!$9:$9,,MATCH(24,Parameter!$8:$8,0))</f>
        <v>24</v>
      </c>
      <c r="D890" s="65" t="str">
        <f>INDEX(Parameter!$B$10:$AB$10,MATCH(C890,Parameter!$B$9:$AB$9,0))</f>
        <v>no</v>
      </c>
      <c r="H890" s="65">
        <f ca="1">INDEX(OFFSET(Data!$CS$1:$DS$1,B890-1,0),MATCH("Total/"&amp;C890,Data!$CS$1:$DS$1,0))</f>
        <v>0</v>
      </c>
      <c r="I890" s="65" t="str">
        <f ca="1">IF(H890=1,INDEX(Parameter!$B$10:$AB$10,MATCH(C890,Parameter!$B$9:$AB$9,0))+5,"")</f>
        <v/>
      </c>
      <c r="J890" s="65" t="str">
        <f t="array" aca="1" ref="J890" ca="1">IF(H890=1,MATCH(1,(OFFSET(Data!$DY$1:$IB$1,B890-1,0))*(Data!$DY$90:$IB$90=C890),0),"")</f>
        <v/>
      </c>
      <c r="K890" s="65" t="str">
        <f t="array" aca="1" ref="K890" ca="1">IF(H890=1,MATCH(I890,OFFSET(Data!$DX$91:$DX$190,0,Specials!J890)*(Data!$AM$91:$AM$190&gt;Parameter!$B$33)*(Data!$DW$91:$DW$190="W"),0),"")</f>
        <v/>
      </c>
      <c r="L890" s="65" t="str">
        <f ca="1">IF(H890=1,INDEX(Data!$DT$91:$DT$190,$K890)&amp;" / "&amp;OFFSET(Data!$DX$89,0,Specials!J890),"")</f>
        <v/>
      </c>
      <c r="M890" s="65" t="s">
        <v>16</v>
      </c>
      <c r="N890" s="65" t="s">
        <v>255</v>
      </c>
      <c r="O890" s="65" t="e">
        <f t="shared" ca="1" si="60"/>
        <v>#VALUE!</v>
      </c>
      <c r="P890" s="65" t="str">
        <f t="shared" ca="1" si="61"/>
        <v/>
      </c>
    </row>
    <row r="891" spans="1:16" s="65" customFormat="1" hidden="1" x14ac:dyDescent="0.25">
      <c r="A891" s="289" t="str">
        <f>"# Oh dear Women Rating &gt; "&amp;Parameter!$B$33</f>
        <v># Oh dear Women Rating &gt; 600</v>
      </c>
      <c r="B891" s="294">
        <f>MATCH(A891,Data!$DT:$DT,0)</f>
        <v>18</v>
      </c>
      <c r="C891" s="65">
        <f>INDEX(Parameter!$9:$9,,MATCH(25,Parameter!$8:$8,0))</f>
        <v>25</v>
      </c>
      <c r="D891" s="65" t="str">
        <f>INDEX(Parameter!$B$10:$AB$10,MATCH(C891,Parameter!$B$9:$AB$9,0))</f>
        <v>no</v>
      </c>
      <c r="H891" s="65">
        <f ca="1">INDEX(OFFSET(Data!$CS$1:$DS$1,B891-1,0),MATCH("Total/"&amp;C891,Data!$CS$1:$DS$1,0))</f>
        <v>0</v>
      </c>
      <c r="I891" s="65" t="str">
        <f ca="1">IF(H891=1,INDEX(Parameter!$B$10:$AB$10,MATCH(C891,Parameter!$B$9:$AB$9,0))+5,"")</f>
        <v/>
      </c>
      <c r="J891" s="65" t="str">
        <f t="array" aca="1" ref="J891" ca="1">IF(H891=1,MATCH(1,(OFFSET(Data!$DY$1:$IB$1,B891-1,0))*(Data!$DY$90:$IB$90=C891),0),"")</f>
        <v/>
      </c>
      <c r="K891" s="65" t="str">
        <f t="array" aca="1" ref="K891" ca="1">IF(H891=1,MATCH(I891,OFFSET(Data!$DX$91:$DX$190,0,Specials!J891)*(Data!$AM$91:$AM$190&gt;Parameter!$B$33)*(Data!$DW$91:$DW$190="W"),0),"")</f>
        <v/>
      </c>
      <c r="L891" s="65" t="str">
        <f ca="1">IF(H891=1,INDEX(Data!$DT$91:$DT$190,$K891)&amp;" / "&amp;OFFSET(Data!$DX$89,0,Specials!J891),"")</f>
        <v/>
      </c>
      <c r="M891" s="65" t="s">
        <v>16</v>
      </c>
      <c r="N891" s="65" t="s">
        <v>255</v>
      </c>
      <c r="O891" s="65" t="e">
        <f t="shared" ca="1" si="60"/>
        <v>#VALUE!</v>
      </c>
      <c r="P891" s="65" t="str">
        <f t="shared" ca="1" si="61"/>
        <v/>
      </c>
    </row>
    <row r="892" spans="1:16" s="65" customFormat="1" hidden="1" x14ac:dyDescent="0.25">
      <c r="A892" s="289" t="str">
        <f>"# Oh dear Women Rating &gt; "&amp;Parameter!$B$33</f>
        <v># Oh dear Women Rating &gt; 600</v>
      </c>
      <c r="B892" s="294">
        <f>MATCH(A892,Data!$DT:$DT,0)</f>
        <v>18</v>
      </c>
      <c r="C892" s="65">
        <f>INDEX(Parameter!$9:$9,,MATCH(26,Parameter!$8:$8,0))</f>
        <v>26</v>
      </c>
      <c r="D892" s="65" t="str">
        <f>INDEX(Parameter!$B$10:$AB$10,MATCH(C892,Parameter!$B$9:$AB$9,0))</f>
        <v>no</v>
      </c>
      <c r="H892" s="65">
        <f ca="1">INDEX(OFFSET(Data!$CS$1:$DS$1,B892-1,0),MATCH("Total/"&amp;C892,Data!$CS$1:$DS$1,0))</f>
        <v>0</v>
      </c>
      <c r="I892" s="65" t="str">
        <f ca="1">IF(H892=1,INDEX(Parameter!$B$10:$AB$10,MATCH(C892,Parameter!$B$9:$AB$9,0))+5,"")</f>
        <v/>
      </c>
      <c r="J892" s="65" t="str">
        <f t="array" aca="1" ref="J892" ca="1">IF(H892=1,MATCH(1,(OFFSET(Data!$DY$1:$IB$1,B892-1,0))*(Data!$DY$90:$IB$90=C892),0),"")</f>
        <v/>
      </c>
      <c r="K892" s="65" t="str">
        <f t="array" aca="1" ref="K892" ca="1">IF(H892=1,MATCH(I892,OFFSET(Data!$DX$91:$DX$190,0,Specials!J892)*(Data!$AM$91:$AM$190&gt;Parameter!$B$33)*(Data!$DW$91:$DW$190="W"),0),"")</f>
        <v/>
      </c>
      <c r="L892" s="65" t="str">
        <f ca="1">IF(H892=1,INDEX(Data!$DT$91:$DT$190,$K892)&amp;" / "&amp;OFFSET(Data!$DX$89,0,Specials!J892),"")</f>
        <v/>
      </c>
      <c r="M892" s="65" t="s">
        <v>16</v>
      </c>
      <c r="N892" s="65" t="s">
        <v>255</v>
      </c>
      <c r="O892" s="65" t="e">
        <f t="shared" ca="1" si="60"/>
        <v>#VALUE!</v>
      </c>
      <c r="P892" s="65" t="str">
        <f t="shared" ca="1" si="61"/>
        <v/>
      </c>
    </row>
    <row r="893" spans="1:16" s="65" customFormat="1" hidden="1" x14ac:dyDescent="0.25">
      <c r="A893" s="289" t="str">
        <f>"# Oh dear Women Rating &gt; "&amp;Parameter!$B$33</f>
        <v># Oh dear Women Rating &gt; 600</v>
      </c>
      <c r="B893" s="294">
        <f>MATCH(A893,Data!$DT:$DT,0)</f>
        <v>18</v>
      </c>
      <c r="C893" s="65">
        <f>INDEX(Parameter!$9:$9,,MATCH(27,Parameter!$8:$8,0))</f>
        <v>27</v>
      </c>
      <c r="D893" s="65" t="str">
        <f>INDEX(Parameter!$B$10:$AB$10,MATCH(C893,Parameter!$B$9:$AB$9,0))</f>
        <v>no</v>
      </c>
      <c r="H893" s="65">
        <f ca="1">INDEX(OFFSET(Data!$CS$1:$DS$1,B893-1,0),MATCH("Total/"&amp;C893,Data!$CS$1:$DS$1,0))</f>
        <v>0</v>
      </c>
      <c r="I893" s="65" t="str">
        <f ca="1">IF(H893=1,INDEX(Parameter!$B$10:$AB$10,MATCH(C893,Parameter!$B$9:$AB$9,0))+5,"")</f>
        <v/>
      </c>
      <c r="J893" s="65" t="str">
        <f t="array" aca="1" ref="J893" ca="1">IF(H893=1,MATCH(1,(OFFSET(Data!$DY$1:$IB$1,B893-1,0))*(Data!$DY$90:$IB$90=C893),0),"")</f>
        <v/>
      </c>
      <c r="K893" s="65" t="str">
        <f t="array" aca="1" ref="K893" ca="1">IF(H893=1,MATCH(I893,OFFSET(Data!$DX$91:$DX$190,0,Specials!J893)*(Data!$AM$91:$AM$190&gt;Parameter!$B$33)*(Data!$DW$91:$DW$190="W"),0),"")</f>
        <v/>
      </c>
      <c r="L893" s="65" t="str">
        <f ca="1">IF(H893=1,INDEX(Data!$DT$91:$DT$190,$K893)&amp;" / "&amp;OFFSET(Data!$DX$89,0,Specials!J893),"")</f>
        <v/>
      </c>
      <c r="M893" s="65" t="s">
        <v>16</v>
      </c>
      <c r="N893" s="65" t="s">
        <v>255</v>
      </c>
      <c r="O893" s="65" t="e">
        <f t="shared" ca="1" si="60"/>
        <v>#VALUE!</v>
      </c>
      <c r="P893" s="65" t="str">
        <f t="shared" ca="1" si="61"/>
        <v/>
      </c>
    </row>
    <row r="894" spans="1:16" s="65" customFormat="1" ht="15" hidden="1" customHeight="1" x14ac:dyDescent="0.25">
      <c r="A894" s="289" t="str">
        <f>"# Oh dear Women Rating &gt; "&amp;Parameter!$B$33</f>
        <v># Oh dear Women Rating &gt; 600</v>
      </c>
      <c r="B894" s="294">
        <f>MATCH(A894,Data!$DT:$DT,0)</f>
        <v>18</v>
      </c>
      <c r="C894" s="65">
        <f>INDEX(Parameter!$9:$9,,MATCH(1,Parameter!$8:$8,0))</f>
        <v>1</v>
      </c>
      <c r="D894" s="65">
        <f>INDEX(Parameter!$B$10:$AB$10,MATCH(C894,Parameter!$B$9:$AB$9,0))</f>
        <v>3</v>
      </c>
      <c r="H894" s="65">
        <f ca="1">INDEX(OFFSET(Data!$CS$1:$DS$1,B894-1,0),MATCH("Total/"&amp;C894,Data!$CS$1:$DS$1,0))</f>
        <v>0</v>
      </c>
      <c r="I894" s="65" t="str">
        <f ca="1">IF(H894=1,INDEX(Parameter!$B$10:$AB$10,MATCH(C894,Parameter!$B$9:$AB$9,0))+6,"")</f>
        <v/>
      </c>
      <c r="J894" s="65" t="str">
        <f t="array" aca="1" ref="J894" ca="1">IF(H894=1,MATCH(1,(OFFSET(Data!$DY$1:$IB$1,B894-1,0))*(Data!$DY$90:$IB$90=C894),0),"")</f>
        <v/>
      </c>
      <c r="K894" s="65" t="str">
        <f t="array" aca="1" ref="K894" ca="1">IF(H894=1,MATCH(I894,OFFSET(Data!$DX$91:$DX$190,0,Specials!J894)*(Data!$AM$91:$AM$190&gt;Parameter!$B$33)*(Data!$DW$91:$DW$190="W"),0),"")</f>
        <v/>
      </c>
      <c r="L894" s="65" t="str">
        <f ca="1">IF(H894=1,INDEX(Data!$DT$91:$DT$190,$K894)&amp;" / "&amp;OFFSET(Data!$DX$89,0,Specials!J894),"")</f>
        <v/>
      </c>
      <c r="M894" s="65" t="s">
        <v>16</v>
      </c>
      <c r="N894" s="65" t="s">
        <v>255</v>
      </c>
      <c r="O894" s="65" t="e">
        <f t="shared" ca="1" si="60"/>
        <v>#VALUE!</v>
      </c>
      <c r="P894" s="65" t="str">
        <f t="shared" ca="1" si="61"/>
        <v/>
      </c>
    </row>
    <row r="895" spans="1:16" s="65" customFormat="1" hidden="1" x14ac:dyDescent="0.25">
      <c r="A895" s="289" t="str">
        <f>"# Oh dear Women Rating &gt; "&amp;Parameter!$B$33</f>
        <v># Oh dear Women Rating &gt; 600</v>
      </c>
      <c r="B895" s="294">
        <f>MATCH(A895,Data!$DT:$DT,0)</f>
        <v>18</v>
      </c>
      <c r="C895" s="65">
        <f>INDEX(Parameter!$9:$9,,MATCH(2,Parameter!$8:$8,0))</f>
        <v>2</v>
      </c>
      <c r="D895" s="65">
        <f>INDEX(Parameter!$B$10:$AB$10,MATCH(C895,Parameter!$B$9:$AB$9,0))</f>
        <v>3</v>
      </c>
      <c r="H895" s="65">
        <f ca="1">INDEX(OFFSET(Data!$CS$1:$DS$1,B895-1,0),MATCH("Total/"&amp;C895,Data!$CS$1:$DS$1,0))</f>
        <v>0</v>
      </c>
      <c r="I895" s="65" t="str">
        <f ca="1">IF(H895=1,INDEX(Parameter!$B$10:$AB$10,MATCH(C895,Parameter!$B$9:$AB$9,0))+6,"")</f>
        <v/>
      </c>
      <c r="J895" s="65" t="str">
        <f t="array" aca="1" ref="J895" ca="1">IF(H895=1,MATCH(1,(OFFSET(Data!$DY$1:$IB$1,B895-1,0))*(Data!$DY$90:$IB$90=C895),0),"")</f>
        <v/>
      </c>
      <c r="K895" s="65" t="str">
        <f t="array" aca="1" ref="K895" ca="1">IF(H895=1,MATCH(I895,OFFSET(Data!$DX$91:$DX$190,0,Specials!J895)*(Data!$AM$91:$AM$190&gt;Parameter!$B$33)*(Data!$DW$91:$DW$190="W"),0),"")</f>
        <v/>
      </c>
      <c r="L895" s="65" t="str">
        <f ca="1">IF(H895=1,INDEX(Data!$DT$91:$DT$190,$K895)&amp;" / "&amp;OFFSET(Data!$DX$89,0,Specials!J895),"")</f>
        <v/>
      </c>
      <c r="M895" s="65" t="s">
        <v>16</v>
      </c>
      <c r="N895" s="65" t="s">
        <v>255</v>
      </c>
      <c r="O895" s="65" t="e">
        <f t="shared" ca="1" si="60"/>
        <v>#VALUE!</v>
      </c>
      <c r="P895" s="65" t="str">
        <f t="shared" ca="1" si="61"/>
        <v/>
      </c>
    </row>
    <row r="896" spans="1:16" s="65" customFormat="1" hidden="1" x14ac:dyDescent="0.25">
      <c r="A896" s="289" t="str">
        <f>"# Oh dear Women Rating &gt; "&amp;Parameter!$B$33</f>
        <v># Oh dear Women Rating &gt; 600</v>
      </c>
      <c r="B896" s="294">
        <f>MATCH(A896,Data!$DT:$DT,0)</f>
        <v>18</v>
      </c>
      <c r="C896" s="65">
        <f>INDEX(Parameter!$9:$9,,MATCH(3,Parameter!$8:$8,0))</f>
        <v>3</v>
      </c>
      <c r="D896" s="65">
        <f>INDEX(Parameter!$B$10:$AB$10,MATCH(C896,Parameter!$B$9:$AB$9,0))</f>
        <v>3</v>
      </c>
      <c r="H896" s="65">
        <f ca="1">INDEX(OFFSET(Data!$CS$1:$DS$1,B896-1,0),MATCH("Total/"&amp;C896,Data!$CS$1:$DS$1,0))</f>
        <v>0</v>
      </c>
      <c r="I896" s="65" t="str">
        <f ca="1">IF(H896=1,INDEX(Parameter!$B$10:$AB$10,MATCH(C896,Parameter!$B$9:$AB$9,0))+6,"")</f>
        <v/>
      </c>
      <c r="J896" s="65" t="str">
        <f t="array" aca="1" ref="J896" ca="1">IF(H896=1,MATCH(1,(OFFSET(Data!$DY$1:$IB$1,B896-1,0))*(Data!$DY$90:$IB$90=C896),0),"")</f>
        <v/>
      </c>
      <c r="K896" s="65" t="str">
        <f t="array" aca="1" ref="K896" ca="1">IF(H896=1,MATCH(I896,OFFSET(Data!$DX$91:$DX$190,0,Specials!J896)*(Data!$AM$91:$AM$190&gt;Parameter!$B$33)*(Data!$DW$91:$DW$190="W"),0),"")</f>
        <v/>
      </c>
      <c r="L896" s="65" t="str">
        <f ca="1">IF(H896=1,INDEX(Data!$DT$91:$DT$190,$K896)&amp;" / "&amp;OFFSET(Data!$DX$89,0,Specials!J896),"")</f>
        <v/>
      </c>
      <c r="M896" s="65" t="s">
        <v>16</v>
      </c>
      <c r="N896" s="65" t="s">
        <v>255</v>
      </c>
      <c r="O896" s="65" t="e">
        <f t="shared" ca="1" si="60"/>
        <v>#VALUE!</v>
      </c>
      <c r="P896" s="65" t="str">
        <f t="shared" ca="1" si="61"/>
        <v/>
      </c>
    </row>
    <row r="897" spans="1:16" s="65" customFormat="1" hidden="1" x14ac:dyDescent="0.25">
      <c r="A897" s="289" t="str">
        <f>"# Oh dear Women Rating &gt; "&amp;Parameter!$B$33</f>
        <v># Oh dear Women Rating &gt; 600</v>
      </c>
      <c r="B897" s="294">
        <f>MATCH(A897,Data!$DT:$DT,0)</f>
        <v>18</v>
      </c>
      <c r="C897" s="65">
        <f>INDEX(Parameter!$9:$9,,MATCH(4,Parameter!$8:$8,0))</f>
        <v>4</v>
      </c>
      <c r="D897" s="65">
        <f>INDEX(Parameter!$B$10:$AB$10,MATCH(C897,Parameter!$B$9:$AB$9,0))</f>
        <v>3</v>
      </c>
      <c r="H897" s="65">
        <f ca="1">INDEX(OFFSET(Data!$CS$1:$DS$1,B897-1,0),MATCH("Total/"&amp;C897,Data!$CS$1:$DS$1,0))</f>
        <v>0</v>
      </c>
      <c r="I897" s="65" t="str">
        <f ca="1">IF(H897=1,INDEX(Parameter!$B$10:$AB$10,MATCH(C897,Parameter!$B$9:$AB$9,0))+6,"")</f>
        <v/>
      </c>
      <c r="J897" s="65" t="str">
        <f t="array" aca="1" ref="J897" ca="1">IF(H897=1,MATCH(1,(OFFSET(Data!$DY$1:$IB$1,B897-1,0))*(Data!$DY$90:$IB$90=C897),0),"")</f>
        <v/>
      </c>
      <c r="K897" s="65" t="str">
        <f t="array" aca="1" ref="K897" ca="1">IF(H897=1,MATCH(I897,OFFSET(Data!$DX$91:$DX$190,0,Specials!J897)*(Data!$AM$91:$AM$190&gt;Parameter!$B$33)*(Data!$DW$91:$DW$190="W"),0),"")</f>
        <v/>
      </c>
      <c r="L897" s="65" t="str">
        <f ca="1">IF(H897=1,INDEX(Data!$DT$91:$DT$190,$K897)&amp;" / "&amp;OFFSET(Data!$DX$89,0,Specials!J897),"")</f>
        <v/>
      </c>
      <c r="M897" s="65" t="s">
        <v>16</v>
      </c>
      <c r="N897" s="65" t="s">
        <v>255</v>
      </c>
      <c r="O897" s="65" t="e">
        <f t="shared" ca="1" si="60"/>
        <v>#VALUE!</v>
      </c>
      <c r="P897" s="65" t="str">
        <f t="shared" ca="1" si="61"/>
        <v/>
      </c>
    </row>
    <row r="898" spans="1:16" s="65" customFormat="1" hidden="1" x14ac:dyDescent="0.25">
      <c r="A898" s="289" t="str">
        <f>"# Oh dear Women Rating &gt; "&amp;Parameter!$B$33</f>
        <v># Oh dear Women Rating &gt; 600</v>
      </c>
      <c r="B898" s="294">
        <f>MATCH(A898,Data!$DT:$DT,0)</f>
        <v>18</v>
      </c>
      <c r="C898" s="65">
        <f>INDEX(Parameter!$9:$9,,MATCH(5,Parameter!$8:$8,0))</f>
        <v>5</v>
      </c>
      <c r="D898" s="65">
        <f>INDEX(Parameter!$B$10:$AB$10,MATCH(C898,Parameter!$B$9:$AB$9,0))</f>
        <v>4</v>
      </c>
      <c r="H898" s="65">
        <f ca="1">INDEX(OFFSET(Data!$CS$1:$DS$1,B898-1,0),MATCH("Total/"&amp;C898,Data!$CS$1:$DS$1,0))</f>
        <v>0</v>
      </c>
      <c r="I898" s="65" t="str">
        <f ca="1">IF(H898=1,INDEX(Parameter!$B$10:$AB$10,MATCH(C898,Parameter!$B$9:$AB$9,0))+6,"")</f>
        <v/>
      </c>
      <c r="J898" s="65" t="str">
        <f t="array" aca="1" ref="J898" ca="1">IF(H898=1,MATCH(1,(OFFSET(Data!$DY$1:$IB$1,B898-1,0))*(Data!$DY$90:$IB$90=C898),0),"")</f>
        <v/>
      </c>
      <c r="K898" s="65" t="str">
        <f t="array" aca="1" ref="K898" ca="1">IF(H898=1,MATCH(I898,OFFSET(Data!$DX$91:$DX$190,0,Specials!J898)*(Data!$AM$91:$AM$190&gt;Parameter!$B$33)*(Data!$DW$91:$DW$190="W"),0),"")</f>
        <v/>
      </c>
      <c r="L898" s="65" t="str">
        <f ca="1">IF(H898=1,INDEX(Data!$DT$91:$DT$190,$K898)&amp;" / "&amp;OFFSET(Data!$DX$89,0,Specials!J898),"")</f>
        <v/>
      </c>
      <c r="M898" s="65" t="s">
        <v>16</v>
      </c>
      <c r="N898" s="65" t="s">
        <v>255</v>
      </c>
      <c r="O898" s="65" t="e">
        <f t="shared" ca="1" si="60"/>
        <v>#VALUE!</v>
      </c>
      <c r="P898" s="65" t="str">
        <f t="shared" ca="1" si="61"/>
        <v/>
      </c>
    </row>
    <row r="899" spans="1:16" s="65" customFormat="1" hidden="1" x14ac:dyDescent="0.25">
      <c r="A899" s="289" t="str">
        <f>"# Oh dear Women Rating &gt; "&amp;Parameter!$B$33</f>
        <v># Oh dear Women Rating &gt; 600</v>
      </c>
      <c r="B899" s="294">
        <f>MATCH(A899,Data!$DT:$DT,0)</f>
        <v>18</v>
      </c>
      <c r="C899" s="65">
        <f>INDEX(Parameter!$9:$9,,MATCH(6,Parameter!$8:$8,0))</f>
        <v>6</v>
      </c>
      <c r="D899" s="65">
        <f>INDEX(Parameter!$B$10:$AB$10,MATCH(C899,Parameter!$B$9:$AB$9,0))</f>
        <v>3</v>
      </c>
      <c r="H899" s="65">
        <f ca="1">INDEX(OFFSET(Data!$CS$1:$DS$1,B899-1,0),MATCH("Total/"&amp;C899,Data!$CS$1:$DS$1,0))</f>
        <v>0</v>
      </c>
      <c r="I899" s="65" t="str">
        <f ca="1">IF(H899=1,INDEX(Parameter!$B$10:$AB$10,MATCH(C899,Parameter!$B$9:$AB$9,0))+6,"")</f>
        <v/>
      </c>
      <c r="J899" s="65" t="str">
        <f t="array" aca="1" ref="J899" ca="1">IF(H899=1,MATCH(1,(OFFSET(Data!$DY$1:$IB$1,B899-1,0))*(Data!$DY$90:$IB$90=C899),0),"")</f>
        <v/>
      </c>
      <c r="K899" s="65" t="str">
        <f t="array" aca="1" ref="K899" ca="1">IF(H899=1,MATCH(I899,OFFSET(Data!$DX$91:$DX$190,0,Specials!J899)*(Data!$AM$91:$AM$190&gt;Parameter!$B$33)*(Data!$DW$91:$DW$190="W"),0),"")</f>
        <v/>
      </c>
      <c r="L899" s="65" t="str">
        <f ca="1">IF(H899=1,INDEX(Data!$DT$91:$DT$190,$K899)&amp;" / "&amp;OFFSET(Data!$DX$89,0,Specials!J899),"")</f>
        <v/>
      </c>
      <c r="M899" s="65" t="s">
        <v>16</v>
      </c>
      <c r="N899" s="65" t="s">
        <v>255</v>
      </c>
      <c r="O899" s="65" t="e">
        <f t="shared" ca="1" si="60"/>
        <v>#VALUE!</v>
      </c>
      <c r="P899" s="65" t="str">
        <f t="shared" ca="1" si="61"/>
        <v/>
      </c>
    </row>
    <row r="900" spans="1:16" s="65" customFormat="1" hidden="1" x14ac:dyDescent="0.25">
      <c r="A900" s="289" t="str">
        <f>"# Oh dear Women Rating &gt; "&amp;Parameter!$B$33</f>
        <v># Oh dear Women Rating &gt; 600</v>
      </c>
      <c r="B900" s="294">
        <f>MATCH(A900,Data!$DT:$DT,0)</f>
        <v>18</v>
      </c>
      <c r="C900" s="65">
        <f>INDEX(Parameter!$9:$9,,MATCH(7,Parameter!$8:$8,0))</f>
        <v>7</v>
      </c>
      <c r="D900" s="65">
        <f>INDEX(Parameter!$B$10:$AB$10,MATCH(C900,Parameter!$B$9:$AB$9,0))</f>
        <v>3</v>
      </c>
      <c r="H900" s="65">
        <f ca="1">INDEX(OFFSET(Data!$CS$1:$DS$1,B900-1,0),MATCH("Total/"&amp;C900,Data!$CS$1:$DS$1,0))</f>
        <v>0</v>
      </c>
      <c r="I900" s="65" t="str">
        <f ca="1">IF(H900=1,INDEX(Parameter!$B$10:$AB$10,MATCH(C900,Parameter!$B$9:$AB$9,0))+6,"")</f>
        <v/>
      </c>
      <c r="J900" s="65" t="str">
        <f t="array" aca="1" ref="J900" ca="1">IF(H900=1,MATCH(1,(OFFSET(Data!$DY$1:$IB$1,B900-1,0))*(Data!$DY$90:$IB$90=C900),0),"")</f>
        <v/>
      </c>
      <c r="K900" s="65" t="str">
        <f t="array" aca="1" ref="K900" ca="1">IF(H900=1,MATCH(I900,OFFSET(Data!$DX$91:$DX$190,0,Specials!J900)*(Data!$AM$91:$AM$190&gt;Parameter!$B$33)*(Data!$DW$91:$DW$190="W"),0),"")</f>
        <v/>
      </c>
      <c r="L900" s="65" t="str">
        <f ca="1">IF(H900=1,INDEX(Data!$DT$91:$DT$190,$K900)&amp;" / "&amp;OFFSET(Data!$DX$89,0,Specials!J900),"")</f>
        <v/>
      </c>
      <c r="M900" s="65" t="s">
        <v>16</v>
      </c>
      <c r="N900" s="65" t="s">
        <v>255</v>
      </c>
      <c r="O900" s="65" t="e">
        <f t="shared" ref="O900:O963" ca="1" si="62">IF(AND($P900&lt;&gt;"",$N900="yes"),O899+1,O899)</f>
        <v>#VALUE!</v>
      </c>
      <c r="P900" s="65" t="str">
        <f t="shared" ca="1" si="61"/>
        <v/>
      </c>
    </row>
    <row r="901" spans="1:16" s="65" customFormat="1" hidden="1" x14ac:dyDescent="0.25">
      <c r="A901" s="289" t="str">
        <f>"# Oh dear Women Rating &gt; "&amp;Parameter!$B$33</f>
        <v># Oh dear Women Rating &gt; 600</v>
      </c>
      <c r="B901" s="294">
        <f>MATCH(A901,Data!$DT:$DT,0)</f>
        <v>18</v>
      </c>
      <c r="C901" s="65">
        <f>INDEX(Parameter!$9:$9,,MATCH(8,Parameter!$8:$8,0))</f>
        <v>8</v>
      </c>
      <c r="D901" s="65">
        <f>INDEX(Parameter!$B$10:$AB$10,MATCH(C901,Parameter!$B$9:$AB$9,0))</f>
        <v>3</v>
      </c>
      <c r="H901" s="65">
        <f ca="1">INDEX(OFFSET(Data!$CS$1:$DS$1,B901-1,0),MATCH("Total/"&amp;C901,Data!$CS$1:$DS$1,0))</f>
        <v>0</v>
      </c>
      <c r="I901" s="65" t="str">
        <f ca="1">IF(H901=1,INDEX(Parameter!$B$10:$AB$10,MATCH(C901,Parameter!$B$9:$AB$9,0))+6,"")</f>
        <v/>
      </c>
      <c r="J901" s="65" t="str">
        <f t="array" aca="1" ref="J901" ca="1">IF(H901=1,MATCH(1,(OFFSET(Data!$DY$1:$IB$1,B901-1,0))*(Data!$DY$90:$IB$90=C901),0),"")</f>
        <v/>
      </c>
      <c r="K901" s="65" t="str">
        <f t="array" aca="1" ref="K901" ca="1">IF(H901=1,MATCH(I901,OFFSET(Data!$DX$91:$DX$190,0,Specials!J901)*(Data!$AM$91:$AM$190&gt;Parameter!$B$33)*(Data!$DW$91:$DW$190="W"),0),"")</f>
        <v/>
      </c>
      <c r="L901" s="65" t="str">
        <f ca="1">IF(H901=1,INDEX(Data!$DT$91:$DT$190,$K901)&amp;" / "&amp;OFFSET(Data!$DX$89,0,Specials!J901),"")</f>
        <v/>
      </c>
      <c r="M901" s="65" t="s">
        <v>16</v>
      </c>
      <c r="N901" s="65" t="s">
        <v>255</v>
      </c>
      <c r="O901" s="65" t="e">
        <f t="shared" ca="1" si="62"/>
        <v>#VALUE!</v>
      </c>
      <c r="P901" s="65" t="str">
        <f t="shared" ca="1" si="61"/>
        <v/>
      </c>
    </row>
    <row r="902" spans="1:16" s="65" customFormat="1" hidden="1" x14ac:dyDescent="0.25">
      <c r="A902" s="289" t="str">
        <f>"# Oh dear Women Rating &gt; "&amp;Parameter!$B$33</f>
        <v># Oh dear Women Rating &gt; 600</v>
      </c>
      <c r="B902" s="294">
        <f>MATCH(A902,Data!$DT:$DT,0)</f>
        <v>18</v>
      </c>
      <c r="C902" s="65">
        <f>INDEX(Parameter!$9:$9,,MATCH(9,Parameter!$8:$8,0))</f>
        <v>9</v>
      </c>
      <c r="D902" s="65">
        <f>INDEX(Parameter!$B$10:$AB$10,MATCH(C902,Parameter!$B$9:$AB$9,0))</f>
        <v>4</v>
      </c>
      <c r="H902" s="65">
        <f ca="1">INDEX(OFFSET(Data!$CS$1:$DS$1,B902-1,0),MATCH("Total/"&amp;C902,Data!$CS$1:$DS$1,0))</f>
        <v>0</v>
      </c>
      <c r="I902" s="65" t="str">
        <f ca="1">IF(H902=1,INDEX(Parameter!$B$10:$AB$10,MATCH(C902,Parameter!$B$9:$AB$9,0))+6,"")</f>
        <v/>
      </c>
      <c r="J902" s="65" t="str">
        <f t="array" aca="1" ref="J902" ca="1">IF(H902=1,MATCH(1,(OFFSET(Data!$DY$1:$IB$1,B902-1,0))*(Data!$DY$90:$IB$90=C902),0),"")</f>
        <v/>
      </c>
      <c r="K902" s="65" t="str">
        <f t="array" aca="1" ref="K902" ca="1">IF(H902=1,MATCH(I902,OFFSET(Data!$DX$91:$DX$190,0,Specials!J902)*(Data!$AM$91:$AM$190&gt;Parameter!$B$33)*(Data!$DW$91:$DW$190="W"),0),"")</f>
        <v/>
      </c>
      <c r="L902" s="65" t="str">
        <f ca="1">IF(H902=1,INDEX(Data!$DT$91:$DT$190,$K902)&amp;" / "&amp;OFFSET(Data!$DX$89,0,Specials!J902),"")</f>
        <v/>
      </c>
      <c r="M902" s="65" t="s">
        <v>16</v>
      </c>
      <c r="N902" s="65" t="s">
        <v>255</v>
      </c>
      <c r="O902" s="65" t="e">
        <f t="shared" ca="1" si="62"/>
        <v>#VALUE!</v>
      </c>
      <c r="P902" s="65" t="str">
        <f t="shared" ca="1" si="61"/>
        <v/>
      </c>
    </row>
    <row r="903" spans="1:16" s="65" customFormat="1" hidden="1" x14ac:dyDescent="0.25">
      <c r="A903" s="289" t="str">
        <f>"# Oh dear Women Rating &gt; "&amp;Parameter!$B$33</f>
        <v># Oh dear Women Rating &gt; 600</v>
      </c>
      <c r="B903" s="294">
        <f>MATCH(A903,Data!$DT:$DT,0)</f>
        <v>18</v>
      </c>
      <c r="C903" s="65">
        <f>INDEX(Parameter!$9:$9,,MATCH(10,Parameter!$8:$8,0))</f>
        <v>10</v>
      </c>
      <c r="D903" s="65">
        <f>INDEX(Parameter!$B$10:$AB$10,MATCH(C903,Parameter!$B$9:$AB$9,0))</f>
        <v>4</v>
      </c>
      <c r="H903" s="65">
        <f ca="1">INDEX(OFFSET(Data!$CS$1:$DS$1,B903-1,0),MATCH("Total/"&amp;C903,Data!$CS$1:$DS$1,0))</f>
        <v>0</v>
      </c>
      <c r="I903" s="65" t="str">
        <f ca="1">IF(H903=1,INDEX(Parameter!$B$10:$AB$10,MATCH(C903,Parameter!$B$9:$AB$9,0))+6,"")</f>
        <v/>
      </c>
      <c r="J903" s="65" t="str">
        <f t="array" aca="1" ref="J903" ca="1">IF(H903=1,MATCH(1,(OFFSET(Data!$DY$1:$IB$1,B903-1,0))*(Data!$DY$90:$IB$90=C903),0),"")</f>
        <v/>
      </c>
      <c r="K903" s="65" t="str">
        <f t="array" aca="1" ref="K903" ca="1">IF(H903=1,MATCH(I903,OFFSET(Data!$DX$91:$DX$190,0,Specials!J903)*(Data!$AM$91:$AM$190&gt;Parameter!$B$33)*(Data!$DW$91:$DW$190="W"),0),"")</f>
        <v/>
      </c>
      <c r="L903" s="65" t="str">
        <f ca="1">IF(H903=1,INDEX(Data!$DT$91:$DT$190,$K903)&amp;" / "&amp;OFFSET(Data!$DX$89,0,Specials!J903),"")</f>
        <v/>
      </c>
      <c r="M903" s="65" t="s">
        <v>16</v>
      </c>
      <c r="N903" s="65" t="s">
        <v>255</v>
      </c>
      <c r="O903" s="65" t="e">
        <f t="shared" ca="1" si="62"/>
        <v>#VALUE!</v>
      </c>
      <c r="P903" s="65" t="str">
        <f t="shared" ca="1" si="61"/>
        <v/>
      </c>
    </row>
    <row r="904" spans="1:16" s="65" customFormat="1" hidden="1" x14ac:dyDescent="0.25">
      <c r="A904" s="289" t="str">
        <f>"# Oh dear Women Rating &gt; "&amp;Parameter!$B$33</f>
        <v># Oh dear Women Rating &gt; 600</v>
      </c>
      <c r="B904" s="294">
        <f>MATCH(A904,Data!$DT:$DT,0)</f>
        <v>18</v>
      </c>
      <c r="C904" s="65">
        <f>INDEX(Parameter!$9:$9,,MATCH(11,Parameter!$8:$8,0))</f>
        <v>11</v>
      </c>
      <c r="D904" s="65">
        <f>INDEX(Parameter!$B$10:$AB$10,MATCH(C904,Parameter!$B$9:$AB$9,0))</f>
        <v>4</v>
      </c>
      <c r="H904" s="65">
        <f ca="1">INDEX(OFFSET(Data!$CS$1:$DS$1,B904-1,0),MATCH("Total/"&amp;C904,Data!$CS$1:$DS$1,0))</f>
        <v>0</v>
      </c>
      <c r="I904" s="65" t="str">
        <f ca="1">IF(H904=1,INDEX(Parameter!$B$10:$AB$10,MATCH(C904,Parameter!$B$9:$AB$9,0))+6,"")</f>
        <v/>
      </c>
      <c r="J904" s="65" t="str">
        <f t="array" aca="1" ref="J904" ca="1">IF(H904=1,MATCH(1,(OFFSET(Data!$DY$1:$IB$1,B904-1,0))*(Data!$DY$90:$IB$90=C904),0),"")</f>
        <v/>
      </c>
      <c r="K904" s="65" t="str">
        <f t="array" aca="1" ref="K904" ca="1">IF(H904=1,MATCH(I904,OFFSET(Data!$DX$91:$DX$190,0,Specials!J904)*(Data!$AM$91:$AM$190&gt;Parameter!$B$33)*(Data!$DW$91:$DW$190="W"),0),"")</f>
        <v/>
      </c>
      <c r="L904" s="65" t="str">
        <f ca="1">IF(H904=1,INDEX(Data!$DT$91:$DT$190,$K904)&amp;" / "&amp;OFFSET(Data!$DX$89,0,Specials!J904),"")</f>
        <v/>
      </c>
      <c r="M904" s="65" t="s">
        <v>16</v>
      </c>
      <c r="N904" s="65" t="s">
        <v>255</v>
      </c>
      <c r="O904" s="65" t="e">
        <f t="shared" ca="1" si="62"/>
        <v>#VALUE!</v>
      </c>
      <c r="P904" s="65" t="str">
        <f t="shared" ca="1" si="61"/>
        <v/>
      </c>
    </row>
    <row r="905" spans="1:16" s="65" customFormat="1" hidden="1" x14ac:dyDescent="0.25">
      <c r="A905" s="289" t="str">
        <f>"# Oh dear Women Rating &gt; "&amp;Parameter!$B$33</f>
        <v># Oh dear Women Rating &gt; 600</v>
      </c>
      <c r="B905" s="294">
        <f>MATCH(A905,Data!$DT:$DT,0)</f>
        <v>18</v>
      </c>
      <c r="C905" s="65" t="str">
        <f>INDEX(Parameter!$9:$9,,MATCH(12,Parameter!$8:$8,0))</f>
        <v>11b</v>
      </c>
      <c r="D905" s="65">
        <f>INDEX(Parameter!$B$10:$AB$10,MATCH(C905,Parameter!$B$9:$AB$9,0))</f>
        <v>3</v>
      </c>
      <c r="H905" s="65">
        <f ca="1">INDEX(OFFSET(Data!$CS$1:$DS$1,B905-1,0),MATCH("Total/"&amp;C905,Data!$CS$1:$DS$1,0))</f>
        <v>0</v>
      </c>
      <c r="I905" s="65" t="str">
        <f ca="1">IF(H905=1,INDEX(Parameter!$B$10:$AB$10,MATCH(C905,Parameter!$B$9:$AB$9,0))+6,"")</f>
        <v/>
      </c>
      <c r="J905" s="65" t="str">
        <f t="array" aca="1" ref="J905" ca="1">IF(H905=1,MATCH(1,(OFFSET(Data!$DY$1:$IB$1,B905-1,0))*(Data!$DY$90:$IB$90=C905),0),"")</f>
        <v/>
      </c>
      <c r="K905" s="65" t="str">
        <f t="array" aca="1" ref="K905" ca="1">IF(H905=1,MATCH(I905,OFFSET(Data!$DX$91:$DX$190,0,Specials!J905)*(Data!$AM$91:$AM$190&gt;Parameter!$B$33)*(Data!$DW$91:$DW$190="W"),0),"")</f>
        <v/>
      </c>
      <c r="L905" s="65" t="str">
        <f ca="1">IF(H905=1,INDEX(Data!$DT$91:$DT$190,$K905)&amp;" / "&amp;OFFSET(Data!$DX$89,0,Specials!J905),"")</f>
        <v/>
      </c>
      <c r="M905" s="65" t="s">
        <v>16</v>
      </c>
      <c r="N905" s="65" t="s">
        <v>255</v>
      </c>
      <c r="O905" s="65" t="e">
        <f t="shared" ca="1" si="62"/>
        <v>#VALUE!</v>
      </c>
      <c r="P905" s="65" t="str">
        <f t="shared" ref="P905:P968" ca="1" si="63">IF(AND(H905=1,ISERROR(K905)=FALSE),"Only 1 Oh Dear on hole "&amp;C905&amp;" (par "&amp;D905&amp;")","")</f>
        <v/>
      </c>
    </row>
    <row r="906" spans="1:16" s="65" customFormat="1" hidden="1" x14ac:dyDescent="0.25">
      <c r="A906" s="289" t="str">
        <f>"# Oh dear Women Rating &gt; "&amp;Parameter!$B$33</f>
        <v># Oh dear Women Rating &gt; 600</v>
      </c>
      <c r="B906" s="294">
        <f>MATCH(A906,Data!$DT:$DT,0)</f>
        <v>18</v>
      </c>
      <c r="C906" s="65">
        <f>INDEX(Parameter!$9:$9,,MATCH(13,Parameter!$8:$8,0))</f>
        <v>12</v>
      </c>
      <c r="D906" s="65">
        <f>INDEX(Parameter!$B$10:$AB$10,MATCH(C906,Parameter!$B$9:$AB$9,0))</f>
        <v>3</v>
      </c>
      <c r="H906" s="65">
        <f ca="1">INDEX(OFFSET(Data!$CS$1:$DS$1,B906-1,0),MATCH("Total/"&amp;C906,Data!$CS$1:$DS$1,0))</f>
        <v>0</v>
      </c>
      <c r="I906" s="65" t="str">
        <f ca="1">IF(H906=1,INDEX(Parameter!$B$10:$AB$10,MATCH(C906,Parameter!$B$9:$AB$9,0))+6,"")</f>
        <v/>
      </c>
      <c r="J906" s="65" t="str">
        <f t="array" aca="1" ref="J906" ca="1">IF(H906=1,MATCH(1,(OFFSET(Data!$DY$1:$IB$1,B906-1,0))*(Data!$DY$90:$IB$90=C906),0),"")</f>
        <v/>
      </c>
      <c r="K906" s="65" t="str">
        <f t="array" aca="1" ref="K906" ca="1">IF(H906=1,MATCH(I906,OFFSET(Data!$DX$91:$DX$190,0,Specials!J906)*(Data!$AM$91:$AM$190&gt;Parameter!$B$33)*(Data!$DW$91:$DW$190="W"),0),"")</f>
        <v/>
      </c>
      <c r="L906" s="65" t="str">
        <f ca="1">IF(H906=1,INDEX(Data!$DT$91:$DT$190,$K906)&amp;" / "&amp;OFFSET(Data!$DX$89,0,Specials!J906),"")</f>
        <v/>
      </c>
      <c r="M906" s="65" t="s">
        <v>16</v>
      </c>
      <c r="N906" s="65" t="s">
        <v>255</v>
      </c>
      <c r="O906" s="65" t="e">
        <f t="shared" ca="1" si="62"/>
        <v>#VALUE!</v>
      </c>
      <c r="P906" s="65" t="str">
        <f t="shared" ca="1" si="63"/>
        <v/>
      </c>
    </row>
    <row r="907" spans="1:16" s="65" customFormat="1" hidden="1" x14ac:dyDescent="0.25">
      <c r="A907" s="289" t="str">
        <f>"# Oh dear Women Rating &gt; "&amp;Parameter!$B$33</f>
        <v># Oh dear Women Rating &gt; 600</v>
      </c>
      <c r="B907" s="294">
        <f>MATCH(A907,Data!$DT:$DT,0)</f>
        <v>18</v>
      </c>
      <c r="C907" s="65">
        <f>INDEX(Parameter!$9:$9,,MATCH(14,Parameter!$8:$8,0))</f>
        <v>13</v>
      </c>
      <c r="D907" s="65">
        <f>INDEX(Parameter!$B$10:$AB$10,MATCH(C907,Parameter!$B$9:$AB$9,0))</f>
        <v>3</v>
      </c>
      <c r="H907" s="65">
        <f ca="1">INDEX(OFFSET(Data!$CS$1:$DS$1,B907-1,0),MATCH("Total/"&amp;C907,Data!$CS$1:$DS$1,0))</f>
        <v>0</v>
      </c>
      <c r="I907" s="65" t="str">
        <f ca="1">IF(H907=1,INDEX(Parameter!$B$10:$AB$10,MATCH(C907,Parameter!$B$9:$AB$9,0))+6,"")</f>
        <v/>
      </c>
      <c r="J907" s="65" t="str">
        <f t="array" aca="1" ref="J907" ca="1">IF(H907=1,MATCH(1,(OFFSET(Data!$DY$1:$IB$1,B907-1,0))*(Data!$DY$90:$IB$90=C907),0),"")</f>
        <v/>
      </c>
      <c r="K907" s="65" t="str">
        <f t="array" aca="1" ref="K907" ca="1">IF(H907=1,MATCH(I907,OFFSET(Data!$DX$91:$DX$190,0,Specials!J907)*(Data!$AM$91:$AM$190&gt;Parameter!$B$33)*(Data!$DW$91:$DW$190="W"),0),"")</f>
        <v/>
      </c>
      <c r="L907" s="65" t="str">
        <f ca="1">IF(H907=1,INDEX(Data!$DT$91:$DT$190,$K907)&amp;" / "&amp;OFFSET(Data!$DX$89,0,Specials!J907),"")</f>
        <v/>
      </c>
      <c r="M907" s="65" t="s">
        <v>16</v>
      </c>
      <c r="N907" s="65" t="s">
        <v>255</v>
      </c>
      <c r="O907" s="65" t="e">
        <f t="shared" ca="1" si="62"/>
        <v>#VALUE!</v>
      </c>
      <c r="P907" s="65" t="str">
        <f t="shared" ca="1" si="63"/>
        <v/>
      </c>
    </row>
    <row r="908" spans="1:16" s="65" customFormat="1" hidden="1" x14ac:dyDescent="0.25">
      <c r="A908" s="289" t="str">
        <f>"# Oh dear Women Rating &gt; "&amp;Parameter!$B$33</f>
        <v># Oh dear Women Rating &gt; 600</v>
      </c>
      <c r="B908" s="294">
        <f>MATCH(A908,Data!$DT:$DT,0)</f>
        <v>18</v>
      </c>
      <c r="C908" s="65">
        <f>INDEX(Parameter!$9:$9,,MATCH(15,Parameter!$8:$8,0))</f>
        <v>14</v>
      </c>
      <c r="D908" s="65">
        <f>INDEX(Parameter!$B$10:$AB$10,MATCH(C908,Parameter!$B$9:$AB$9,0))</f>
        <v>3</v>
      </c>
      <c r="H908" s="65">
        <f ca="1">INDEX(OFFSET(Data!$CS$1:$DS$1,B908-1,0),MATCH("Total/"&amp;C908,Data!$CS$1:$DS$1,0))</f>
        <v>0</v>
      </c>
      <c r="I908" s="65" t="str">
        <f ca="1">IF(H908=1,INDEX(Parameter!$B$10:$AB$10,MATCH(C908,Parameter!$B$9:$AB$9,0))+6,"")</f>
        <v/>
      </c>
      <c r="J908" s="65" t="str">
        <f t="array" aca="1" ref="J908" ca="1">IF(H908=1,MATCH(1,(OFFSET(Data!$DY$1:$IB$1,B908-1,0))*(Data!$DY$90:$IB$90=C908),0),"")</f>
        <v/>
      </c>
      <c r="K908" s="65" t="str">
        <f t="array" aca="1" ref="K908" ca="1">IF(H908=1,MATCH(I908,OFFSET(Data!$DX$91:$DX$190,0,Specials!J908)*(Data!$AM$91:$AM$190&gt;Parameter!$B$33)*(Data!$DW$91:$DW$190="W"),0),"")</f>
        <v/>
      </c>
      <c r="L908" s="65" t="str">
        <f ca="1">IF(H908=1,INDEX(Data!$DT$91:$DT$190,$K908)&amp;" / "&amp;OFFSET(Data!$DX$89,0,Specials!J908),"")</f>
        <v/>
      </c>
      <c r="M908" s="65" t="s">
        <v>16</v>
      </c>
      <c r="N908" s="65" t="s">
        <v>255</v>
      </c>
      <c r="O908" s="65" t="e">
        <f t="shared" ca="1" si="62"/>
        <v>#VALUE!</v>
      </c>
      <c r="P908" s="65" t="str">
        <f t="shared" ca="1" si="63"/>
        <v/>
      </c>
    </row>
    <row r="909" spans="1:16" s="65" customFormat="1" hidden="1" x14ac:dyDescent="0.25">
      <c r="A909" s="289" t="str">
        <f>"# Oh dear Women Rating &gt; "&amp;Parameter!$B$33</f>
        <v># Oh dear Women Rating &gt; 600</v>
      </c>
      <c r="B909" s="294">
        <f>MATCH(A909,Data!$DT:$DT,0)</f>
        <v>18</v>
      </c>
      <c r="C909" s="65">
        <f>INDEX(Parameter!$9:$9,,MATCH(16,Parameter!$8:$8,0))</f>
        <v>15</v>
      </c>
      <c r="D909" s="65">
        <f>INDEX(Parameter!$B$10:$AB$10,MATCH(C909,Parameter!$B$9:$AB$9,0))</f>
        <v>3</v>
      </c>
      <c r="H909" s="65">
        <f ca="1">INDEX(OFFSET(Data!$CS$1:$DS$1,B909-1,0),MATCH("Total/"&amp;C909,Data!$CS$1:$DS$1,0))</f>
        <v>0</v>
      </c>
      <c r="I909" s="65" t="str">
        <f ca="1">IF(H909=1,INDEX(Parameter!$B$10:$AB$10,MATCH(C909,Parameter!$B$9:$AB$9,0))+6,"")</f>
        <v/>
      </c>
      <c r="J909" s="65" t="str">
        <f t="array" aca="1" ref="J909" ca="1">IF(H909=1,MATCH(1,(OFFSET(Data!$DY$1:$IB$1,B909-1,0))*(Data!$DY$90:$IB$90=C909),0),"")</f>
        <v/>
      </c>
      <c r="K909" s="65" t="str">
        <f t="array" aca="1" ref="K909" ca="1">IF(H909=1,MATCH(I909,OFFSET(Data!$DX$91:$DX$190,0,Specials!J909)*(Data!$AM$91:$AM$190&gt;Parameter!$B$33)*(Data!$DW$91:$DW$190="W"),0),"")</f>
        <v/>
      </c>
      <c r="L909" s="65" t="str">
        <f ca="1">IF(H909=1,INDEX(Data!$DT$91:$DT$190,$K909)&amp;" / "&amp;OFFSET(Data!$DX$89,0,Specials!J909),"")</f>
        <v/>
      </c>
      <c r="M909" s="65" t="s">
        <v>16</v>
      </c>
      <c r="N909" s="65" t="s">
        <v>255</v>
      </c>
      <c r="O909" s="65" t="e">
        <f t="shared" ca="1" si="62"/>
        <v>#VALUE!</v>
      </c>
      <c r="P909" s="65" t="str">
        <f t="shared" ca="1" si="63"/>
        <v/>
      </c>
    </row>
    <row r="910" spans="1:16" s="65" customFormat="1" hidden="1" x14ac:dyDescent="0.25">
      <c r="A910" s="289" t="str">
        <f>"# Oh dear Women Rating &gt; "&amp;Parameter!$B$33</f>
        <v># Oh dear Women Rating &gt; 600</v>
      </c>
      <c r="B910" s="294">
        <f>MATCH(A910,Data!$DT:$DT,0)</f>
        <v>18</v>
      </c>
      <c r="C910" s="65">
        <f>INDEX(Parameter!$9:$9,,MATCH(17,Parameter!$8:$8,0))</f>
        <v>16</v>
      </c>
      <c r="D910" s="65">
        <f>INDEX(Parameter!$B$10:$AB$10,MATCH(C910,Parameter!$B$9:$AB$9,0))</f>
        <v>3</v>
      </c>
      <c r="H910" s="65">
        <f ca="1">INDEX(OFFSET(Data!$CS$1:$DS$1,B910-1,0),MATCH("Total/"&amp;C910,Data!$CS$1:$DS$1,0))</f>
        <v>0</v>
      </c>
      <c r="I910" s="65" t="str">
        <f ca="1">IF(H910=1,INDEX(Parameter!$B$10:$AB$10,MATCH(C910,Parameter!$B$9:$AB$9,0))+6,"")</f>
        <v/>
      </c>
      <c r="J910" s="65" t="str">
        <f t="array" aca="1" ref="J910" ca="1">IF(H910=1,MATCH(1,(OFFSET(Data!$DY$1:$IB$1,B910-1,0))*(Data!$DY$90:$IB$90=C910),0),"")</f>
        <v/>
      </c>
      <c r="K910" s="65" t="str">
        <f t="array" aca="1" ref="K910" ca="1">IF(H910=1,MATCH(I910,OFFSET(Data!$DX$91:$DX$190,0,Specials!J910)*(Data!$AM$91:$AM$190&gt;Parameter!$B$33)*(Data!$DW$91:$DW$190="W"),0),"")</f>
        <v/>
      </c>
      <c r="L910" s="65" t="str">
        <f ca="1">IF(H910=1,INDEX(Data!$DT$91:$DT$190,$K910)&amp;" / "&amp;OFFSET(Data!$DX$89,0,Specials!J910),"")</f>
        <v/>
      </c>
      <c r="M910" s="65" t="s">
        <v>16</v>
      </c>
      <c r="N910" s="65" t="s">
        <v>255</v>
      </c>
      <c r="O910" s="65" t="e">
        <f t="shared" ca="1" si="62"/>
        <v>#VALUE!</v>
      </c>
      <c r="P910" s="65" t="str">
        <f t="shared" ca="1" si="63"/>
        <v/>
      </c>
    </row>
    <row r="911" spans="1:16" s="65" customFormat="1" hidden="1" x14ac:dyDescent="0.25">
      <c r="A911" s="289" t="str">
        <f>"# Oh dear Women Rating &gt; "&amp;Parameter!$B$33</f>
        <v># Oh dear Women Rating &gt; 600</v>
      </c>
      <c r="B911" s="294">
        <f>MATCH(A911,Data!$DT:$DT,0)</f>
        <v>18</v>
      </c>
      <c r="C911" s="65">
        <f>INDEX(Parameter!$9:$9,,MATCH(18,Parameter!$8:$8,0))</f>
        <v>17</v>
      </c>
      <c r="D911" s="65">
        <f>INDEX(Parameter!$B$10:$AB$10,MATCH(C911,Parameter!$B$9:$AB$9,0))</f>
        <v>3</v>
      </c>
      <c r="H911" s="65">
        <f ca="1">INDEX(OFFSET(Data!$CS$1:$DS$1,B911-1,0),MATCH("Total/"&amp;C911,Data!$CS$1:$DS$1,0))</f>
        <v>0</v>
      </c>
      <c r="I911" s="65" t="str">
        <f ca="1">IF(H911=1,INDEX(Parameter!$B$10:$AB$10,MATCH(C911,Parameter!$B$9:$AB$9,0))+6,"")</f>
        <v/>
      </c>
      <c r="J911" s="65" t="str">
        <f t="array" aca="1" ref="J911" ca="1">IF(H911=1,MATCH(1,(OFFSET(Data!$DY$1:$IB$1,B911-1,0))*(Data!$DY$90:$IB$90=C911),0),"")</f>
        <v/>
      </c>
      <c r="K911" s="65" t="str">
        <f t="array" aca="1" ref="K911" ca="1">IF(H911=1,MATCH(I911,OFFSET(Data!$DX$91:$DX$190,0,Specials!J911)*(Data!$AM$91:$AM$190&gt;Parameter!$B$33)*(Data!$DW$91:$DW$190="W"),0),"")</f>
        <v/>
      </c>
      <c r="L911" s="65" t="str">
        <f ca="1">IF(H911=1,INDEX(Data!$DT$91:$DT$190,$K911)&amp;" / "&amp;OFFSET(Data!$DX$89,0,Specials!J911),"")</f>
        <v/>
      </c>
      <c r="M911" s="65" t="s">
        <v>16</v>
      </c>
      <c r="N911" s="65" t="s">
        <v>255</v>
      </c>
      <c r="O911" s="65" t="e">
        <f t="shared" ca="1" si="62"/>
        <v>#VALUE!</v>
      </c>
      <c r="P911" s="65" t="str">
        <f t="shared" ca="1" si="63"/>
        <v/>
      </c>
    </row>
    <row r="912" spans="1:16" s="65" customFormat="1" hidden="1" x14ac:dyDescent="0.25">
      <c r="A912" s="289" t="str">
        <f>"# Oh dear Women Rating &gt; "&amp;Parameter!$B$33</f>
        <v># Oh dear Women Rating &gt; 600</v>
      </c>
      <c r="B912" s="294">
        <f>MATCH(A912,Data!$DT:$DT,0)</f>
        <v>18</v>
      </c>
      <c r="C912" s="65">
        <f>INDEX(Parameter!$9:$9,,MATCH(19,Parameter!$8:$8,0))</f>
        <v>18</v>
      </c>
      <c r="D912" s="65">
        <f>INDEX(Parameter!$B$10:$AB$10,MATCH(C912,Parameter!$B$9:$AB$9,0))</f>
        <v>3</v>
      </c>
      <c r="H912" s="65">
        <f ca="1">INDEX(OFFSET(Data!$CS$1:$DS$1,B912-1,0),MATCH("Total/"&amp;C912,Data!$CS$1:$DS$1,0))</f>
        <v>0</v>
      </c>
      <c r="I912" s="65" t="str">
        <f ca="1">IF(H912=1,INDEX(Parameter!$B$10:$AB$10,MATCH(C912,Parameter!$B$9:$AB$9,0))+6,"")</f>
        <v/>
      </c>
      <c r="J912" s="65" t="str">
        <f t="array" aca="1" ref="J912" ca="1">IF(H912=1,MATCH(1,(OFFSET(Data!$DY$1:$IB$1,B912-1,0))*(Data!$DY$90:$IB$90=C912),0),"")</f>
        <v/>
      </c>
      <c r="K912" s="65" t="str">
        <f t="array" aca="1" ref="K912" ca="1">IF(H912=1,MATCH(I912,OFFSET(Data!$DX$91:$DX$190,0,Specials!J912)*(Data!$AM$91:$AM$190&gt;Parameter!$B$33)*(Data!$DW$91:$DW$190="W"),0),"")</f>
        <v/>
      </c>
      <c r="L912" s="65" t="str">
        <f ca="1">IF(H912=1,INDEX(Data!$DT$91:$DT$190,$K912)&amp;" / "&amp;OFFSET(Data!$DX$89,0,Specials!J912),"")</f>
        <v/>
      </c>
      <c r="M912" s="65" t="s">
        <v>16</v>
      </c>
      <c r="N912" s="65" t="s">
        <v>255</v>
      </c>
      <c r="O912" s="65" t="e">
        <f t="shared" ca="1" si="62"/>
        <v>#VALUE!</v>
      </c>
      <c r="P912" s="65" t="str">
        <f t="shared" ca="1" si="63"/>
        <v/>
      </c>
    </row>
    <row r="913" spans="1:16" s="65" customFormat="1" hidden="1" x14ac:dyDescent="0.25">
      <c r="A913" s="289" t="str">
        <f>"# Oh dear Women Rating &gt; "&amp;Parameter!$B$33</f>
        <v># Oh dear Women Rating &gt; 600</v>
      </c>
      <c r="B913" s="294">
        <f>MATCH(A913,Data!$DT:$DT,0)</f>
        <v>18</v>
      </c>
      <c r="C913" s="65">
        <f>INDEX(Parameter!$9:$9,,MATCH(20,Parameter!$8:$8,0))</f>
        <v>20</v>
      </c>
      <c r="D913" s="65" t="str">
        <f>INDEX(Parameter!$B$10:$AB$10,MATCH(C913,Parameter!$B$9:$AB$9,0))</f>
        <v>no</v>
      </c>
      <c r="H913" s="65">
        <f ca="1">INDEX(OFFSET(Data!$CS$1:$DS$1,B913-1,0),MATCH("Total/"&amp;C913,Data!$CS$1:$DS$1,0))</f>
        <v>0</v>
      </c>
      <c r="I913" s="65" t="str">
        <f ca="1">IF(H913=1,INDEX(Parameter!$B$10:$AB$10,MATCH(C913,Parameter!$B$9:$AB$9,0))+6,"")</f>
        <v/>
      </c>
      <c r="J913" s="65" t="str">
        <f t="array" aca="1" ref="J913" ca="1">IF(H913=1,MATCH(1,(OFFSET(Data!$DY$1:$IB$1,B913-1,0))*(Data!$DY$90:$IB$90=C913),0),"")</f>
        <v/>
      </c>
      <c r="K913" s="65" t="str">
        <f t="array" aca="1" ref="K913" ca="1">IF(H913=1,MATCH(I913,OFFSET(Data!$DX$91:$DX$190,0,Specials!J913)*(Data!$AM$91:$AM$190&gt;Parameter!$B$33)*(Data!$DW$91:$DW$190="W"),0),"")</f>
        <v/>
      </c>
      <c r="L913" s="65" t="str">
        <f ca="1">IF(H913=1,INDEX(Data!$DT$91:$DT$190,$K913)&amp;" / "&amp;OFFSET(Data!$DX$89,0,Specials!J913),"")</f>
        <v/>
      </c>
      <c r="M913" s="65" t="s">
        <v>16</v>
      </c>
      <c r="N913" s="65" t="s">
        <v>255</v>
      </c>
      <c r="O913" s="65" t="e">
        <f t="shared" ca="1" si="62"/>
        <v>#VALUE!</v>
      </c>
      <c r="P913" s="65" t="str">
        <f t="shared" ca="1" si="63"/>
        <v/>
      </c>
    </row>
    <row r="914" spans="1:16" s="65" customFormat="1" hidden="1" x14ac:dyDescent="0.25">
      <c r="A914" s="289" t="str">
        <f>"# Oh dear Women Rating &gt; "&amp;Parameter!$B$33</f>
        <v># Oh dear Women Rating &gt; 600</v>
      </c>
      <c r="B914" s="294">
        <f>MATCH(A914,Data!$DT:$DT,0)</f>
        <v>18</v>
      </c>
      <c r="C914" s="65">
        <f>INDEX(Parameter!$9:$9,,MATCH(21,Parameter!$8:$8,0))</f>
        <v>21</v>
      </c>
      <c r="D914" s="65" t="str">
        <f>INDEX(Parameter!$B$10:$AB$10,MATCH(C914,Parameter!$B$9:$AB$9,0))</f>
        <v>no</v>
      </c>
      <c r="H914" s="65">
        <f ca="1">INDEX(OFFSET(Data!$CS$1:$DS$1,B914-1,0),MATCH("Total/"&amp;C914,Data!$CS$1:$DS$1,0))</f>
        <v>0</v>
      </c>
      <c r="I914" s="65" t="str">
        <f ca="1">IF(H914=1,INDEX(Parameter!$B$10:$AB$10,MATCH(C914,Parameter!$B$9:$AB$9,0))+6,"")</f>
        <v/>
      </c>
      <c r="J914" s="65" t="str">
        <f t="array" aca="1" ref="J914" ca="1">IF(H914=1,MATCH(1,(OFFSET(Data!$DY$1:$IB$1,B914-1,0))*(Data!$DY$90:$IB$90=C914),0),"")</f>
        <v/>
      </c>
      <c r="K914" s="65" t="str">
        <f t="array" aca="1" ref="K914" ca="1">IF(H914=1,MATCH(I914,OFFSET(Data!$DX$91:$DX$190,0,Specials!J914)*(Data!$AM$91:$AM$190&gt;Parameter!$B$33)*(Data!$DW$91:$DW$190="W"),0),"")</f>
        <v/>
      </c>
      <c r="L914" s="65" t="str">
        <f ca="1">IF(H914=1,INDEX(Data!$DT$91:$DT$190,$K914)&amp;" / "&amp;OFFSET(Data!$DX$89,0,Specials!J914),"")</f>
        <v/>
      </c>
      <c r="M914" s="65" t="s">
        <v>16</v>
      </c>
      <c r="N914" s="65" t="s">
        <v>255</v>
      </c>
      <c r="O914" s="65" t="e">
        <f t="shared" ca="1" si="62"/>
        <v>#VALUE!</v>
      </c>
      <c r="P914" s="65" t="str">
        <f t="shared" ca="1" si="63"/>
        <v/>
      </c>
    </row>
    <row r="915" spans="1:16" s="65" customFormat="1" hidden="1" x14ac:dyDescent="0.25">
      <c r="A915" s="289" t="str">
        <f>"# Oh dear Women Rating &gt; "&amp;Parameter!$B$33</f>
        <v># Oh dear Women Rating &gt; 600</v>
      </c>
      <c r="B915" s="294">
        <f>MATCH(A915,Data!$DT:$DT,0)</f>
        <v>18</v>
      </c>
      <c r="C915" s="65">
        <f>INDEX(Parameter!$9:$9,,MATCH(22,Parameter!$8:$8,0))</f>
        <v>22</v>
      </c>
      <c r="D915" s="65" t="str">
        <f>INDEX(Parameter!$B$10:$AB$10,MATCH(C915,Parameter!$B$9:$AB$9,0))</f>
        <v>no</v>
      </c>
      <c r="H915" s="65">
        <f ca="1">INDEX(OFFSET(Data!$CS$1:$DS$1,B915-1,0),MATCH("Total/"&amp;C915,Data!$CS$1:$DS$1,0))</f>
        <v>0</v>
      </c>
      <c r="I915" s="65" t="str">
        <f ca="1">IF(H915=1,INDEX(Parameter!$B$10:$AB$10,MATCH(C915,Parameter!$B$9:$AB$9,0))+6,"")</f>
        <v/>
      </c>
      <c r="J915" s="65" t="str">
        <f t="array" aca="1" ref="J915" ca="1">IF(H915=1,MATCH(1,(OFFSET(Data!$DY$1:$IB$1,B915-1,0))*(Data!$DY$90:$IB$90=C915),0),"")</f>
        <v/>
      </c>
      <c r="K915" s="65" t="str">
        <f t="array" aca="1" ref="K915" ca="1">IF(H915=1,MATCH(I915,OFFSET(Data!$DX$91:$DX$190,0,Specials!J915)*(Data!$AM$91:$AM$190&gt;Parameter!$B$33)*(Data!$DW$91:$DW$190="W"),0),"")</f>
        <v/>
      </c>
      <c r="L915" s="65" t="str">
        <f ca="1">IF(H915=1,INDEX(Data!$DT$91:$DT$190,$K915)&amp;" / "&amp;OFFSET(Data!$DX$89,0,Specials!J915),"")</f>
        <v/>
      </c>
      <c r="M915" s="65" t="s">
        <v>16</v>
      </c>
      <c r="N915" s="65" t="s">
        <v>255</v>
      </c>
      <c r="O915" s="65" t="e">
        <f t="shared" ca="1" si="62"/>
        <v>#VALUE!</v>
      </c>
      <c r="P915" s="65" t="str">
        <f t="shared" ca="1" si="63"/>
        <v/>
      </c>
    </row>
    <row r="916" spans="1:16" s="65" customFormat="1" hidden="1" x14ac:dyDescent="0.25">
      <c r="A916" s="289" t="str">
        <f>"# Oh dear Women Rating &gt; "&amp;Parameter!$B$33</f>
        <v># Oh dear Women Rating &gt; 600</v>
      </c>
      <c r="B916" s="294">
        <f>MATCH(A916,Data!$DT:$DT,0)</f>
        <v>18</v>
      </c>
      <c r="C916" s="65">
        <f>INDEX(Parameter!$9:$9,,MATCH(23,Parameter!$8:$8,0))</f>
        <v>23</v>
      </c>
      <c r="D916" s="65" t="str">
        <f>INDEX(Parameter!$B$10:$AB$10,MATCH(C916,Parameter!$B$9:$AB$9,0))</f>
        <v>no</v>
      </c>
      <c r="H916" s="65">
        <f ca="1">INDEX(OFFSET(Data!$CS$1:$DS$1,B916-1,0),MATCH("Total/"&amp;C916,Data!$CS$1:$DS$1,0))</f>
        <v>0</v>
      </c>
      <c r="I916" s="65" t="str">
        <f ca="1">IF(H916=1,INDEX(Parameter!$B$10:$AB$10,MATCH(C916,Parameter!$B$9:$AB$9,0))+6,"")</f>
        <v/>
      </c>
      <c r="J916" s="65" t="str">
        <f t="array" aca="1" ref="J916" ca="1">IF(H916=1,MATCH(1,(OFFSET(Data!$DY$1:$IB$1,B916-1,0))*(Data!$DY$90:$IB$90=C916),0),"")</f>
        <v/>
      </c>
      <c r="K916" s="65" t="str">
        <f t="array" aca="1" ref="K916" ca="1">IF(H916=1,MATCH(I916,OFFSET(Data!$DX$91:$DX$190,0,Specials!J916)*(Data!$AM$91:$AM$190&gt;Parameter!$B$33)*(Data!$DW$91:$DW$190="W"),0),"")</f>
        <v/>
      </c>
      <c r="L916" s="65" t="str">
        <f ca="1">IF(H916=1,INDEX(Data!$DT$91:$DT$190,$K916)&amp;" / "&amp;OFFSET(Data!$DX$89,0,Specials!J916),"")</f>
        <v/>
      </c>
      <c r="M916" s="65" t="s">
        <v>16</v>
      </c>
      <c r="N916" s="65" t="s">
        <v>255</v>
      </c>
      <c r="O916" s="65" t="e">
        <f t="shared" ca="1" si="62"/>
        <v>#VALUE!</v>
      </c>
      <c r="P916" s="65" t="str">
        <f t="shared" ca="1" si="63"/>
        <v/>
      </c>
    </row>
    <row r="917" spans="1:16" s="65" customFormat="1" hidden="1" x14ac:dyDescent="0.25">
      <c r="A917" s="289" t="str">
        <f>"# Oh dear Women Rating &gt; "&amp;Parameter!$B$33</f>
        <v># Oh dear Women Rating &gt; 600</v>
      </c>
      <c r="B917" s="294">
        <f>MATCH(A917,Data!$DT:$DT,0)</f>
        <v>18</v>
      </c>
      <c r="C917" s="65">
        <f>INDEX(Parameter!$9:$9,,MATCH(24,Parameter!$8:$8,0))</f>
        <v>24</v>
      </c>
      <c r="D917" s="65" t="str">
        <f>INDEX(Parameter!$B$10:$AB$10,MATCH(C917,Parameter!$B$9:$AB$9,0))</f>
        <v>no</v>
      </c>
      <c r="H917" s="65">
        <f ca="1">INDEX(OFFSET(Data!$CS$1:$DS$1,B917-1,0),MATCH("Total/"&amp;C917,Data!$CS$1:$DS$1,0))</f>
        <v>0</v>
      </c>
      <c r="I917" s="65" t="str">
        <f ca="1">IF(H917=1,INDEX(Parameter!$B$10:$AB$10,MATCH(C917,Parameter!$B$9:$AB$9,0))+6,"")</f>
        <v/>
      </c>
      <c r="J917" s="65" t="str">
        <f t="array" aca="1" ref="J917" ca="1">IF(H917=1,MATCH(1,(OFFSET(Data!$DY$1:$IB$1,B917-1,0))*(Data!$DY$90:$IB$90=C917),0),"")</f>
        <v/>
      </c>
      <c r="K917" s="65" t="str">
        <f t="array" aca="1" ref="K917" ca="1">IF(H917=1,MATCH(I917,OFFSET(Data!$DX$91:$DX$190,0,Specials!J917)*(Data!$AM$91:$AM$190&gt;Parameter!$B$33)*(Data!$DW$91:$DW$190="W"),0),"")</f>
        <v/>
      </c>
      <c r="L917" s="65" t="str">
        <f ca="1">IF(H917=1,INDEX(Data!$DT$91:$DT$190,$K917)&amp;" / "&amp;OFFSET(Data!$DX$89,0,Specials!J917),"")</f>
        <v/>
      </c>
      <c r="M917" s="65" t="s">
        <v>16</v>
      </c>
      <c r="N917" s="65" t="s">
        <v>255</v>
      </c>
      <c r="O917" s="65" t="e">
        <f t="shared" ca="1" si="62"/>
        <v>#VALUE!</v>
      </c>
      <c r="P917" s="65" t="str">
        <f t="shared" ca="1" si="63"/>
        <v/>
      </c>
    </row>
    <row r="918" spans="1:16" s="65" customFormat="1" hidden="1" x14ac:dyDescent="0.25">
      <c r="A918" s="289" t="str">
        <f>"# Oh dear Women Rating &gt; "&amp;Parameter!$B$33</f>
        <v># Oh dear Women Rating &gt; 600</v>
      </c>
      <c r="B918" s="294">
        <f>MATCH(A918,Data!$DT:$DT,0)</f>
        <v>18</v>
      </c>
      <c r="C918" s="65">
        <f>INDEX(Parameter!$9:$9,,MATCH(25,Parameter!$8:$8,0))</f>
        <v>25</v>
      </c>
      <c r="D918" s="65" t="str">
        <f>INDEX(Parameter!$B$10:$AB$10,MATCH(C918,Parameter!$B$9:$AB$9,0))</f>
        <v>no</v>
      </c>
      <c r="H918" s="65">
        <f ca="1">INDEX(OFFSET(Data!$CS$1:$DS$1,B918-1,0),MATCH("Total/"&amp;C918,Data!$CS$1:$DS$1,0))</f>
        <v>0</v>
      </c>
      <c r="I918" s="65" t="str">
        <f ca="1">IF(H918=1,INDEX(Parameter!$B$10:$AB$10,MATCH(C918,Parameter!$B$9:$AB$9,0))+6,"")</f>
        <v/>
      </c>
      <c r="J918" s="65" t="str">
        <f t="array" aca="1" ref="J918" ca="1">IF(H918=1,MATCH(1,(OFFSET(Data!$DY$1:$IB$1,B918-1,0))*(Data!$DY$90:$IB$90=C918),0),"")</f>
        <v/>
      </c>
      <c r="K918" s="65" t="str">
        <f t="array" aca="1" ref="K918" ca="1">IF(H918=1,MATCH(I918,OFFSET(Data!$DX$91:$DX$190,0,Specials!J918)*(Data!$AM$91:$AM$190&gt;Parameter!$B$33)*(Data!$DW$91:$DW$190="W"),0),"")</f>
        <v/>
      </c>
      <c r="L918" s="65" t="str">
        <f ca="1">IF(H918=1,INDEX(Data!$DT$91:$DT$190,$K918)&amp;" / "&amp;OFFSET(Data!$DX$89,0,Specials!J918),"")</f>
        <v/>
      </c>
      <c r="M918" s="65" t="s">
        <v>16</v>
      </c>
      <c r="N918" s="65" t="s">
        <v>255</v>
      </c>
      <c r="O918" s="65" t="e">
        <f t="shared" ca="1" si="62"/>
        <v>#VALUE!</v>
      </c>
      <c r="P918" s="65" t="str">
        <f t="shared" ca="1" si="63"/>
        <v/>
      </c>
    </row>
    <row r="919" spans="1:16" s="65" customFormat="1" hidden="1" x14ac:dyDescent="0.25">
      <c r="A919" s="289" t="str">
        <f>"# Oh dear Women Rating &gt; "&amp;Parameter!$B$33</f>
        <v># Oh dear Women Rating &gt; 600</v>
      </c>
      <c r="B919" s="294">
        <f>MATCH(A919,Data!$DT:$DT,0)</f>
        <v>18</v>
      </c>
      <c r="C919" s="65">
        <f>INDEX(Parameter!$9:$9,,MATCH(26,Parameter!$8:$8,0))</f>
        <v>26</v>
      </c>
      <c r="D919" s="65" t="str">
        <f>INDEX(Parameter!$B$10:$AB$10,MATCH(C919,Parameter!$B$9:$AB$9,0))</f>
        <v>no</v>
      </c>
      <c r="H919" s="65">
        <f ca="1">INDEX(OFFSET(Data!$CS$1:$DS$1,B919-1,0),MATCH("Total/"&amp;C919,Data!$CS$1:$DS$1,0))</f>
        <v>0</v>
      </c>
      <c r="I919" s="65" t="str">
        <f ca="1">IF(H919=1,INDEX(Parameter!$B$10:$AB$10,MATCH(C919,Parameter!$B$9:$AB$9,0))+6,"")</f>
        <v/>
      </c>
      <c r="J919" s="65" t="str">
        <f t="array" aca="1" ref="J919" ca="1">IF(H919=1,MATCH(1,(OFFSET(Data!$DY$1:$IB$1,B919-1,0))*(Data!$DY$90:$IB$90=C919),0),"")</f>
        <v/>
      </c>
      <c r="K919" s="65" t="str">
        <f t="array" aca="1" ref="K919" ca="1">IF(H919=1,MATCH(I919,OFFSET(Data!$DX$91:$DX$190,0,Specials!J919)*(Data!$AM$91:$AM$190&gt;Parameter!$B$33)*(Data!$DW$91:$DW$190="W"),0),"")</f>
        <v/>
      </c>
      <c r="L919" s="65" t="str">
        <f ca="1">IF(H919=1,INDEX(Data!$DT$91:$DT$190,$K919)&amp;" / "&amp;OFFSET(Data!$DX$89,0,Specials!J919),"")</f>
        <v/>
      </c>
      <c r="M919" s="65" t="s">
        <v>16</v>
      </c>
      <c r="N919" s="65" t="s">
        <v>255</v>
      </c>
      <c r="O919" s="65" t="e">
        <f t="shared" ca="1" si="62"/>
        <v>#VALUE!</v>
      </c>
      <c r="P919" s="65" t="str">
        <f t="shared" ca="1" si="63"/>
        <v/>
      </c>
    </row>
    <row r="920" spans="1:16" s="65" customFormat="1" hidden="1" x14ac:dyDescent="0.25">
      <c r="A920" s="289" t="str">
        <f>"# Oh dear Women Rating &gt; "&amp;Parameter!$B$33</f>
        <v># Oh dear Women Rating &gt; 600</v>
      </c>
      <c r="B920" s="294">
        <f>MATCH(A920,Data!$DT:$DT,0)</f>
        <v>18</v>
      </c>
      <c r="C920" s="65">
        <f>INDEX(Parameter!$9:$9,,MATCH(27,Parameter!$8:$8,0))</f>
        <v>27</v>
      </c>
      <c r="D920" s="65" t="str">
        <f>INDEX(Parameter!$B$10:$AB$10,MATCH(C920,Parameter!$B$9:$AB$9,0))</f>
        <v>no</v>
      </c>
      <c r="H920" s="65">
        <f ca="1">INDEX(OFFSET(Data!$CS$1:$DS$1,B920-1,0),MATCH("Total/"&amp;C920,Data!$CS$1:$DS$1,0))</f>
        <v>0</v>
      </c>
      <c r="I920" s="65" t="str">
        <f ca="1">IF(H920=1,INDEX(Parameter!$B$10:$AB$10,MATCH(C920,Parameter!$B$9:$AB$9,0))+6,"")</f>
        <v/>
      </c>
      <c r="J920" s="65" t="str">
        <f t="array" aca="1" ref="J920" ca="1">IF(H920=1,MATCH(1,(OFFSET(Data!$DY$1:$IB$1,B920-1,0))*(Data!$DY$90:$IB$90=C920),0),"")</f>
        <v/>
      </c>
      <c r="K920" s="65" t="str">
        <f t="array" aca="1" ref="K920" ca="1">IF(H920=1,MATCH(I920,OFFSET(Data!$DX$91:$DX$190,0,Specials!J920)*(Data!$AM$91:$AM$190&gt;Parameter!$B$33)*(Data!$DW$91:$DW$190="W"),0),"")</f>
        <v/>
      </c>
      <c r="L920" s="65" t="str">
        <f ca="1">IF(H920=1,INDEX(Data!$DT$91:$DT$190,$K920)&amp;" / "&amp;OFFSET(Data!$DX$89,0,Specials!J920),"")</f>
        <v/>
      </c>
      <c r="M920" s="65" t="s">
        <v>16</v>
      </c>
      <c r="N920" s="65" t="s">
        <v>255</v>
      </c>
      <c r="O920" s="65" t="e">
        <f t="shared" ca="1" si="62"/>
        <v>#VALUE!</v>
      </c>
      <c r="P920" s="65" t="str">
        <f t="shared" ca="1" si="63"/>
        <v/>
      </c>
    </row>
    <row r="921" spans="1:16" s="65" customFormat="1" ht="15" hidden="1" customHeight="1" x14ac:dyDescent="0.25">
      <c r="A921" s="289" t="str">
        <f>"# Oh dear Women Rating &gt; "&amp;Parameter!$B$33</f>
        <v># Oh dear Women Rating &gt; 600</v>
      </c>
      <c r="B921" s="294">
        <f>MATCH(A921,Data!$DT:$DT,0)</f>
        <v>18</v>
      </c>
      <c r="C921" s="65">
        <f>INDEX(Parameter!$9:$9,,MATCH(1,Parameter!$8:$8,0))</f>
        <v>1</v>
      </c>
      <c r="D921" s="65">
        <f>INDEX(Parameter!$B$10:$AB$10,MATCH(C921,Parameter!$B$9:$AB$9,0))</f>
        <v>3</v>
      </c>
      <c r="H921" s="65">
        <f ca="1">INDEX(OFFSET(Data!$CS$1:$DS$1,B921-1,0),MATCH("Total/"&amp;C921,Data!$CS$1:$DS$1,0))</f>
        <v>0</v>
      </c>
      <c r="I921" s="65" t="str">
        <f ca="1">IF(H921=1,INDEX(Parameter!$B$10:$AB$10,MATCH(C921,Parameter!$B$9:$AB$9,0))+7,"")</f>
        <v/>
      </c>
      <c r="J921" s="65" t="str">
        <f t="array" aca="1" ref="J921" ca="1">IF(H921=1,MATCH(1,(OFFSET(Data!$DY$1:$IB$1,B921-1,0))*(Data!$DY$90:$IB$90=C921),0),"")</f>
        <v/>
      </c>
      <c r="K921" s="65" t="str">
        <f t="array" aca="1" ref="K921" ca="1">IF(H921=1,MATCH(I921,OFFSET(Data!$DX$91:$DX$190,0,Specials!J921)*(Data!$AM$91:$AM$190&gt;Parameter!$B$33)*(Data!$DW$91:$DW$190="W"),0),"")</f>
        <v/>
      </c>
      <c r="L921" s="65" t="str">
        <f ca="1">IF(H921=1,INDEX(Data!$DT$91:$DT$190,$K921)&amp;" / "&amp;OFFSET(Data!$DX$89,0,Specials!J921),"")</f>
        <v/>
      </c>
      <c r="M921" s="65" t="s">
        <v>16</v>
      </c>
      <c r="N921" s="65" t="s">
        <v>255</v>
      </c>
      <c r="O921" s="65" t="e">
        <f t="shared" ca="1" si="62"/>
        <v>#VALUE!</v>
      </c>
      <c r="P921" s="65" t="str">
        <f t="shared" ca="1" si="63"/>
        <v/>
      </c>
    </row>
    <row r="922" spans="1:16" s="65" customFormat="1" hidden="1" x14ac:dyDescent="0.25">
      <c r="A922" s="289" t="str">
        <f>"# Oh dear Women Rating &gt; "&amp;Parameter!$B$33</f>
        <v># Oh dear Women Rating &gt; 600</v>
      </c>
      <c r="B922" s="294">
        <f>MATCH(A922,Data!$DT:$DT,0)</f>
        <v>18</v>
      </c>
      <c r="C922" s="65">
        <f>INDEX(Parameter!$9:$9,,MATCH(2,Parameter!$8:$8,0))</f>
        <v>2</v>
      </c>
      <c r="D922" s="65">
        <f>INDEX(Parameter!$B$10:$AB$10,MATCH(C922,Parameter!$B$9:$AB$9,0))</f>
        <v>3</v>
      </c>
      <c r="H922" s="65">
        <f ca="1">INDEX(OFFSET(Data!$CS$1:$DS$1,B922-1,0),MATCH("Total/"&amp;C922,Data!$CS$1:$DS$1,0))</f>
        <v>0</v>
      </c>
      <c r="I922" s="65" t="str">
        <f ca="1">IF(H922=1,INDEX(Parameter!$B$10:$AB$10,MATCH(C922,Parameter!$B$9:$AB$9,0))+7,"")</f>
        <v/>
      </c>
      <c r="J922" s="65" t="str">
        <f t="array" aca="1" ref="J922" ca="1">IF(H922=1,MATCH(1,(OFFSET(Data!$DY$1:$IB$1,B922-1,0))*(Data!$DY$90:$IB$90=C922),0),"")</f>
        <v/>
      </c>
      <c r="K922" s="65" t="str">
        <f t="array" aca="1" ref="K922" ca="1">IF(H922=1,MATCH(I922,OFFSET(Data!$DX$91:$DX$190,0,Specials!J922)*(Data!$AM$91:$AM$190&gt;Parameter!$B$33)*(Data!$DW$91:$DW$190="W"),0),"")</f>
        <v/>
      </c>
      <c r="L922" s="65" t="str">
        <f ca="1">IF(H922=1,INDEX(Data!$DT$91:$DT$190,$K922)&amp;" / "&amp;OFFSET(Data!$DX$89,0,Specials!J922),"")</f>
        <v/>
      </c>
      <c r="M922" s="65" t="s">
        <v>16</v>
      </c>
      <c r="N922" s="65" t="s">
        <v>255</v>
      </c>
      <c r="O922" s="65" t="e">
        <f t="shared" ca="1" si="62"/>
        <v>#VALUE!</v>
      </c>
      <c r="P922" s="65" t="str">
        <f t="shared" ca="1" si="63"/>
        <v/>
      </c>
    </row>
    <row r="923" spans="1:16" s="65" customFormat="1" hidden="1" x14ac:dyDescent="0.25">
      <c r="A923" s="289" t="str">
        <f>"# Oh dear Women Rating &gt; "&amp;Parameter!$B$33</f>
        <v># Oh dear Women Rating &gt; 600</v>
      </c>
      <c r="B923" s="294">
        <f>MATCH(A923,Data!$DT:$DT,0)</f>
        <v>18</v>
      </c>
      <c r="C923" s="65">
        <f>INDEX(Parameter!$9:$9,,MATCH(3,Parameter!$8:$8,0))</f>
        <v>3</v>
      </c>
      <c r="D923" s="65">
        <f>INDEX(Parameter!$B$10:$AB$10,MATCH(C923,Parameter!$B$9:$AB$9,0))</f>
        <v>3</v>
      </c>
      <c r="H923" s="65">
        <f ca="1">INDEX(OFFSET(Data!$CS$1:$DS$1,B923-1,0),MATCH("Total/"&amp;C923,Data!$CS$1:$DS$1,0))</f>
        <v>0</v>
      </c>
      <c r="I923" s="65" t="str">
        <f ca="1">IF(H923=1,INDEX(Parameter!$B$10:$AB$10,MATCH(C923,Parameter!$B$9:$AB$9,0))+7,"")</f>
        <v/>
      </c>
      <c r="J923" s="65" t="str">
        <f t="array" aca="1" ref="J923" ca="1">IF(H923=1,MATCH(1,(OFFSET(Data!$DY$1:$IB$1,B923-1,0))*(Data!$DY$90:$IB$90=C923),0),"")</f>
        <v/>
      </c>
      <c r="K923" s="65" t="str">
        <f t="array" aca="1" ref="K923" ca="1">IF(H923=1,MATCH(I923,OFFSET(Data!$DX$91:$DX$190,0,Specials!J923)*(Data!$AM$91:$AM$190&gt;Parameter!$B$33)*(Data!$DW$91:$DW$190="W"),0),"")</f>
        <v/>
      </c>
      <c r="L923" s="65" t="str">
        <f ca="1">IF(H923=1,INDEX(Data!$DT$91:$DT$190,$K923)&amp;" / "&amp;OFFSET(Data!$DX$89,0,Specials!J923),"")</f>
        <v/>
      </c>
      <c r="M923" s="65" t="s">
        <v>16</v>
      </c>
      <c r="N923" s="65" t="s">
        <v>255</v>
      </c>
      <c r="O923" s="65" t="e">
        <f t="shared" ca="1" si="62"/>
        <v>#VALUE!</v>
      </c>
      <c r="P923" s="65" t="str">
        <f t="shared" ca="1" si="63"/>
        <v/>
      </c>
    </row>
    <row r="924" spans="1:16" s="65" customFormat="1" hidden="1" x14ac:dyDescent="0.25">
      <c r="A924" s="289" t="str">
        <f>"# Oh dear Women Rating &gt; "&amp;Parameter!$B$33</f>
        <v># Oh dear Women Rating &gt; 600</v>
      </c>
      <c r="B924" s="294">
        <f>MATCH(A924,Data!$DT:$DT,0)</f>
        <v>18</v>
      </c>
      <c r="C924" s="65">
        <f>INDEX(Parameter!$9:$9,,MATCH(4,Parameter!$8:$8,0))</f>
        <v>4</v>
      </c>
      <c r="D924" s="65">
        <f>INDEX(Parameter!$B$10:$AB$10,MATCH(C924,Parameter!$B$9:$AB$9,0))</f>
        <v>3</v>
      </c>
      <c r="H924" s="65">
        <f ca="1">INDEX(OFFSET(Data!$CS$1:$DS$1,B924-1,0),MATCH("Total/"&amp;C924,Data!$CS$1:$DS$1,0))</f>
        <v>0</v>
      </c>
      <c r="I924" s="65" t="str">
        <f ca="1">IF(H924=1,INDEX(Parameter!$B$10:$AB$10,MATCH(C924,Parameter!$B$9:$AB$9,0))+7,"")</f>
        <v/>
      </c>
      <c r="J924" s="65" t="str">
        <f t="array" aca="1" ref="J924" ca="1">IF(H924=1,MATCH(1,(OFFSET(Data!$DY$1:$IB$1,B924-1,0))*(Data!$DY$90:$IB$90=C924),0),"")</f>
        <v/>
      </c>
      <c r="K924" s="65" t="str">
        <f t="array" aca="1" ref="K924" ca="1">IF(H924=1,MATCH(I924,OFFSET(Data!$DX$91:$DX$190,0,Specials!J924)*(Data!$AM$91:$AM$190&gt;Parameter!$B$33)*(Data!$DW$91:$DW$190="W"),0),"")</f>
        <v/>
      </c>
      <c r="L924" s="65" t="str">
        <f ca="1">IF(H924=1,INDEX(Data!$DT$91:$DT$190,$K924)&amp;" / "&amp;OFFSET(Data!$DX$89,0,Specials!J924),"")</f>
        <v/>
      </c>
      <c r="M924" s="65" t="s">
        <v>16</v>
      </c>
      <c r="N924" s="65" t="s">
        <v>255</v>
      </c>
      <c r="O924" s="65" t="e">
        <f t="shared" ca="1" si="62"/>
        <v>#VALUE!</v>
      </c>
      <c r="P924" s="65" t="str">
        <f t="shared" ca="1" si="63"/>
        <v/>
      </c>
    </row>
    <row r="925" spans="1:16" s="65" customFormat="1" hidden="1" x14ac:dyDescent="0.25">
      <c r="A925" s="289" t="str">
        <f>"# Oh dear Women Rating &gt; "&amp;Parameter!$B$33</f>
        <v># Oh dear Women Rating &gt; 600</v>
      </c>
      <c r="B925" s="294">
        <f>MATCH(A925,Data!$DT:$DT,0)</f>
        <v>18</v>
      </c>
      <c r="C925" s="65">
        <f>INDEX(Parameter!$9:$9,,MATCH(5,Parameter!$8:$8,0))</f>
        <v>5</v>
      </c>
      <c r="D925" s="65">
        <f>INDEX(Parameter!$B$10:$AB$10,MATCH(C925,Parameter!$B$9:$AB$9,0))</f>
        <v>4</v>
      </c>
      <c r="H925" s="65">
        <f ca="1">INDEX(OFFSET(Data!$CS$1:$DS$1,B925-1,0),MATCH("Total/"&amp;C925,Data!$CS$1:$DS$1,0))</f>
        <v>0</v>
      </c>
      <c r="I925" s="65" t="str">
        <f ca="1">IF(H925=1,INDEX(Parameter!$B$10:$AB$10,MATCH(C925,Parameter!$B$9:$AB$9,0))+7,"")</f>
        <v/>
      </c>
      <c r="J925" s="65" t="str">
        <f t="array" aca="1" ref="J925" ca="1">IF(H925=1,MATCH(1,(OFFSET(Data!$DY$1:$IB$1,B925-1,0))*(Data!$DY$90:$IB$90=C925),0),"")</f>
        <v/>
      </c>
      <c r="K925" s="65" t="str">
        <f t="array" aca="1" ref="K925" ca="1">IF(H925=1,MATCH(I925,OFFSET(Data!$DX$91:$DX$190,0,Specials!J925)*(Data!$AM$91:$AM$190&gt;Parameter!$B$33)*(Data!$DW$91:$DW$190="W"),0),"")</f>
        <v/>
      </c>
      <c r="L925" s="65" t="str">
        <f ca="1">IF(H925=1,INDEX(Data!$DT$91:$DT$190,$K925)&amp;" / "&amp;OFFSET(Data!$DX$89,0,Specials!J925),"")</f>
        <v/>
      </c>
      <c r="M925" s="65" t="s">
        <v>16</v>
      </c>
      <c r="N925" s="65" t="s">
        <v>255</v>
      </c>
      <c r="O925" s="65" t="e">
        <f t="shared" ca="1" si="62"/>
        <v>#VALUE!</v>
      </c>
      <c r="P925" s="65" t="str">
        <f t="shared" ca="1" si="63"/>
        <v/>
      </c>
    </row>
    <row r="926" spans="1:16" s="65" customFormat="1" hidden="1" x14ac:dyDescent="0.25">
      <c r="A926" s="289" t="str">
        <f>"# Oh dear Women Rating &gt; "&amp;Parameter!$B$33</f>
        <v># Oh dear Women Rating &gt; 600</v>
      </c>
      <c r="B926" s="294">
        <f>MATCH(A926,Data!$DT:$DT,0)</f>
        <v>18</v>
      </c>
      <c r="C926" s="65">
        <f>INDEX(Parameter!$9:$9,,MATCH(6,Parameter!$8:$8,0))</f>
        <v>6</v>
      </c>
      <c r="D926" s="65">
        <f>INDEX(Parameter!$B$10:$AB$10,MATCH(C926,Parameter!$B$9:$AB$9,0))</f>
        <v>3</v>
      </c>
      <c r="H926" s="65">
        <f ca="1">INDEX(OFFSET(Data!$CS$1:$DS$1,B926-1,0),MATCH("Total/"&amp;C926,Data!$CS$1:$DS$1,0))</f>
        <v>0</v>
      </c>
      <c r="I926" s="65" t="str">
        <f ca="1">IF(H926=1,INDEX(Parameter!$B$10:$AB$10,MATCH(C926,Parameter!$B$9:$AB$9,0))+7,"")</f>
        <v/>
      </c>
      <c r="J926" s="65" t="str">
        <f t="array" aca="1" ref="J926" ca="1">IF(H926=1,MATCH(1,(OFFSET(Data!$DY$1:$IB$1,B926-1,0))*(Data!$DY$90:$IB$90=C926),0),"")</f>
        <v/>
      </c>
      <c r="K926" s="65" t="str">
        <f t="array" aca="1" ref="K926" ca="1">IF(H926=1,MATCH(I926,OFFSET(Data!$DX$91:$DX$190,0,Specials!J926)*(Data!$AM$91:$AM$190&gt;Parameter!$B$33)*(Data!$DW$91:$DW$190="W"),0),"")</f>
        <v/>
      </c>
      <c r="L926" s="65" t="str">
        <f ca="1">IF(H926=1,INDEX(Data!$DT$91:$DT$190,$K926)&amp;" / "&amp;OFFSET(Data!$DX$89,0,Specials!J926),"")</f>
        <v/>
      </c>
      <c r="M926" s="65" t="s">
        <v>16</v>
      </c>
      <c r="N926" s="65" t="s">
        <v>255</v>
      </c>
      <c r="O926" s="65" t="e">
        <f t="shared" ca="1" si="62"/>
        <v>#VALUE!</v>
      </c>
      <c r="P926" s="65" t="str">
        <f t="shared" ca="1" si="63"/>
        <v/>
      </c>
    </row>
    <row r="927" spans="1:16" s="65" customFormat="1" hidden="1" x14ac:dyDescent="0.25">
      <c r="A927" s="289" t="str">
        <f>"# Oh dear Women Rating &gt; "&amp;Parameter!$B$33</f>
        <v># Oh dear Women Rating &gt; 600</v>
      </c>
      <c r="B927" s="294">
        <f>MATCH(A927,Data!$DT:$DT,0)</f>
        <v>18</v>
      </c>
      <c r="C927" s="65">
        <f>INDEX(Parameter!$9:$9,,MATCH(7,Parameter!$8:$8,0))</f>
        <v>7</v>
      </c>
      <c r="D927" s="65">
        <f>INDEX(Parameter!$B$10:$AB$10,MATCH(C927,Parameter!$B$9:$AB$9,0))</f>
        <v>3</v>
      </c>
      <c r="H927" s="65">
        <f ca="1">INDEX(OFFSET(Data!$CS$1:$DS$1,B927-1,0),MATCH("Total/"&amp;C927,Data!$CS$1:$DS$1,0))</f>
        <v>0</v>
      </c>
      <c r="I927" s="65" t="str">
        <f ca="1">IF(H927=1,INDEX(Parameter!$B$10:$AB$10,MATCH(C927,Parameter!$B$9:$AB$9,0))+7,"")</f>
        <v/>
      </c>
      <c r="J927" s="65" t="str">
        <f t="array" aca="1" ref="J927" ca="1">IF(H927=1,MATCH(1,(OFFSET(Data!$DY$1:$IB$1,B927-1,0))*(Data!$DY$90:$IB$90=C927),0),"")</f>
        <v/>
      </c>
      <c r="K927" s="65" t="str">
        <f t="array" aca="1" ref="K927" ca="1">IF(H927=1,MATCH(I927,OFFSET(Data!$DX$91:$DX$190,0,Specials!J927)*(Data!$AM$91:$AM$190&gt;Parameter!$B$33)*(Data!$DW$91:$DW$190="W"),0),"")</f>
        <v/>
      </c>
      <c r="L927" s="65" t="str">
        <f ca="1">IF(H927=1,INDEX(Data!$DT$91:$DT$190,$K927)&amp;" / "&amp;OFFSET(Data!$DX$89,0,Specials!J927),"")</f>
        <v/>
      </c>
      <c r="M927" s="65" t="s">
        <v>16</v>
      </c>
      <c r="N927" s="65" t="s">
        <v>255</v>
      </c>
      <c r="O927" s="65" t="e">
        <f t="shared" ca="1" si="62"/>
        <v>#VALUE!</v>
      </c>
      <c r="P927" s="65" t="str">
        <f t="shared" ca="1" si="63"/>
        <v/>
      </c>
    </row>
    <row r="928" spans="1:16" s="65" customFormat="1" hidden="1" x14ac:dyDescent="0.25">
      <c r="A928" s="289" t="str">
        <f>"# Oh dear Women Rating &gt; "&amp;Parameter!$B$33</f>
        <v># Oh dear Women Rating &gt; 600</v>
      </c>
      <c r="B928" s="294">
        <f>MATCH(A928,Data!$DT:$DT,0)</f>
        <v>18</v>
      </c>
      <c r="C928" s="65">
        <f>INDEX(Parameter!$9:$9,,MATCH(8,Parameter!$8:$8,0))</f>
        <v>8</v>
      </c>
      <c r="D928" s="65">
        <f>INDEX(Parameter!$B$10:$AB$10,MATCH(C928,Parameter!$B$9:$AB$9,0))</f>
        <v>3</v>
      </c>
      <c r="H928" s="65">
        <f ca="1">INDEX(OFFSET(Data!$CS$1:$DS$1,B928-1,0),MATCH("Total/"&amp;C928,Data!$CS$1:$DS$1,0))</f>
        <v>0</v>
      </c>
      <c r="I928" s="65" t="str">
        <f ca="1">IF(H928=1,INDEX(Parameter!$B$10:$AB$10,MATCH(C928,Parameter!$B$9:$AB$9,0))+7,"")</f>
        <v/>
      </c>
      <c r="J928" s="65" t="str">
        <f t="array" aca="1" ref="J928" ca="1">IF(H928=1,MATCH(1,(OFFSET(Data!$DY$1:$IB$1,B928-1,0))*(Data!$DY$90:$IB$90=C928),0),"")</f>
        <v/>
      </c>
      <c r="K928" s="65" t="str">
        <f t="array" aca="1" ref="K928" ca="1">IF(H928=1,MATCH(I928,OFFSET(Data!$DX$91:$DX$190,0,Specials!J928)*(Data!$AM$91:$AM$190&gt;Parameter!$B$33)*(Data!$DW$91:$DW$190="W"),0),"")</f>
        <v/>
      </c>
      <c r="L928" s="65" t="str">
        <f ca="1">IF(H928=1,INDEX(Data!$DT$91:$DT$190,$K928)&amp;" / "&amp;OFFSET(Data!$DX$89,0,Specials!J928),"")</f>
        <v/>
      </c>
      <c r="M928" s="65" t="s">
        <v>16</v>
      </c>
      <c r="N928" s="65" t="s">
        <v>255</v>
      </c>
      <c r="O928" s="65" t="e">
        <f t="shared" ca="1" si="62"/>
        <v>#VALUE!</v>
      </c>
      <c r="P928" s="65" t="str">
        <f t="shared" ca="1" si="63"/>
        <v/>
      </c>
    </row>
    <row r="929" spans="1:16" s="65" customFormat="1" hidden="1" x14ac:dyDescent="0.25">
      <c r="A929" s="289" t="str">
        <f>"# Oh dear Women Rating &gt; "&amp;Parameter!$B$33</f>
        <v># Oh dear Women Rating &gt; 600</v>
      </c>
      <c r="B929" s="294">
        <f>MATCH(A929,Data!$DT:$DT,0)</f>
        <v>18</v>
      </c>
      <c r="C929" s="65">
        <f>INDEX(Parameter!$9:$9,,MATCH(9,Parameter!$8:$8,0))</f>
        <v>9</v>
      </c>
      <c r="D929" s="65">
        <f>INDEX(Parameter!$B$10:$AB$10,MATCH(C929,Parameter!$B$9:$AB$9,0))</f>
        <v>4</v>
      </c>
      <c r="H929" s="65">
        <f ca="1">INDEX(OFFSET(Data!$CS$1:$DS$1,B929-1,0),MATCH("Total/"&amp;C929,Data!$CS$1:$DS$1,0))</f>
        <v>0</v>
      </c>
      <c r="I929" s="65" t="str">
        <f ca="1">IF(H929=1,INDEX(Parameter!$B$10:$AB$10,MATCH(C929,Parameter!$B$9:$AB$9,0))+7,"")</f>
        <v/>
      </c>
      <c r="J929" s="65" t="str">
        <f t="array" aca="1" ref="J929" ca="1">IF(H929=1,MATCH(1,(OFFSET(Data!$DY$1:$IB$1,B929-1,0))*(Data!$DY$90:$IB$90=C929),0),"")</f>
        <v/>
      </c>
      <c r="K929" s="65" t="str">
        <f t="array" aca="1" ref="K929" ca="1">IF(H929=1,MATCH(I929,OFFSET(Data!$DX$91:$DX$190,0,Specials!J929)*(Data!$AM$91:$AM$190&gt;Parameter!$B$33)*(Data!$DW$91:$DW$190="W"),0),"")</f>
        <v/>
      </c>
      <c r="L929" s="65" t="str">
        <f ca="1">IF(H929=1,INDEX(Data!$DT$91:$DT$190,$K929)&amp;" / "&amp;OFFSET(Data!$DX$89,0,Specials!J929),"")</f>
        <v/>
      </c>
      <c r="M929" s="65" t="s">
        <v>16</v>
      </c>
      <c r="N929" s="65" t="s">
        <v>255</v>
      </c>
      <c r="O929" s="65" t="e">
        <f t="shared" ca="1" si="62"/>
        <v>#VALUE!</v>
      </c>
      <c r="P929" s="65" t="str">
        <f t="shared" ca="1" si="63"/>
        <v/>
      </c>
    </row>
    <row r="930" spans="1:16" s="65" customFormat="1" hidden="1" x14ac:dyDescent="0.25">
      <c r="A930" s="289" t="str">
        <f>"# Oh dear Women Rating &gt; "&amp;Parameter!$B$33</f>
        <v># Oh dear Women Rating &gt; 600</v>
      </c>
      <c r="B930" s="294">
        <f>MATCH(A930,Data!$DT:$DT,0)</f>
        <v>18</v>
      </c>
      <c r="C930" s="65">
        <f>INDEX(Parameter!$9:$9,,MATCH(10,Parameter!$8:$8,0))</f>
        <v>10</v>
      </c>
      <c r="D930" s="65">
        <f>INDEX(Parameter!$B$10:$AB$10,MATCH(C930,Parameter!$B$9:$AB$9,0))</f>
        <v>4</v>
      </c>
      <c r="H930" s="65">
        <f ca="1">INDEX(OFFSET(Data!$CS$1:$DS$1,B930-1,0),MATCH("Total/"&amp;C930,Data!$CS$1:$DS$1,0))</f>
        <v>0</v>
      </c>
      <c r="I930" s="65" t="str">
        <f ca="1">IF(H930=1,INDEX(Parameter!$B$10:$AB$10,MATCH(C930,Parameter!$B$9:$AB$9,0))+7,"")</f>
        <v/>
      </c>
      <c r="J930" s="65" t="str">
        <f t="array" aca="1" ref="J930" ca="1">IF(H930=1,MATCH(1,(OFFSET(Data!$DY$1:$IB$1,B930-1,0))*(Data!$DY$90:$IB$90=C930),0),"")</f>
        <v/>
      </c>
      <c r="K930" s="65" t="str">
        <f t="array" aca="1" ref="K930" ca="1">IF(H930=1,MATCH(I930,OFFSET(Data!$DX$91:$DX$190,0,Specials!J930)*(Data!$AM$91:$AM$190&gt;Parameter!$B$33)*(Data!$DW$91:$DW$190="W"),0),"")</f>
        <v/>
      </c>
      <c r="L930" s="65" t="str">
        <f ca="1">IF(H930=1,INDEX(Data!$DT$91:$DT$190,$K930)&amp;" / "&amp;OFFSET(Data!$DX$89,0,Specials!J930),"")</f>
        <v/>
      </c>
      <c r="M930" s="65" t="s">
        <v>16</v>
      </c>
      <c r="N930" s="65" t="s">
        <v>255</v>
      </c>
      <c r="O930" s="65" t="e">
        <f t="shared" ca="1" si="62"/>
        <v>#VALUE!</v>
      </c>
      <c r="P930" s="65" t="str">
        <f t="shared" ca="1" si="63"/>
        <v/>
      </c>
    </row>
    <row r="931" spans="1:16" s="65" customFormat="1" hidden="1" x14ac:dyDescent="0.25">
      <c r="A931" s="289" t="str">
        <f>"# Oh dear Women Rating &gt; "&amp;Parameter!$B$33</f>
        <v># Oh dear Women Rating &gt; 600</v>
      </c>
      <c r="B931" s="294">
        <f>MATCH(A931,Data!$DT:$DT,0)</f>
        <v>18</v>
      </c>
      <c r="C931" s="65">
        <f>INDEX(Parameter!$9:$9,,MATCH(11,Parameter!$8:$8,0))</f>
        <v>11</v>
      </c>
      <c r="D931" s="65">
        <f>INDEX(Parameter!$B$10:$AB$10,MATCH(C931,Parameter!$B$9:$AB$9,0))</f>
        <v>4</v>
      </c>
      <c r="H931" s="65">
        <f ca="1">INDEX(OFFSET(Data!$CS$1:$DS$1,B931-1,0),MATCH("Total/"&amp;C931,Data!$CS$1:$DS$1,0))</f>
        <v>0</v>
      </c>
      <c r="I931" s="65" t="str">
        <f ca="1">IF(H931=1,INDEX(Parameter!$B$10:$AB$10,MATCH(C931,Parameter!$B$9:$AB$9,0))+7,"")</f>
        <v/>
      </c>
      <c r="J931" s="65" t="str">
        <f t="array" aca="1" ref="J931" ca="1">IF(H931=1,MATCH(1,(OFFSET(Data!$DY$1:$IB$1,B931-1,0))*(Data!$DY$90:$IB$90=C931),0),"")</f>
        <v/>
      </c>
      <c r="K931" s="65" t="str">
        <f t="array" aca="1" ref="K931" ca="1">IF(H931=1,MATCH(I931,OFFSET(Data!$DX$91:$DX$190,0,Specials!J931)*(Data!$AM$91:$AM$190&gt;Parameter!$B$33)*(Data!$DW$91:$DW$190="W"),0),"")</f>
        <v/>
      </c>
      <c r="L931" s="65" t="str">
        <f ca="1">IF(H931=1,INDEX(Data!$DT$91:$DT$190,$K931)&amp;" / "&amp;OFFSET(Data!$DX$89,0,Specials!J931),"")</f>
        <v/>
      </c>
      <c r="M931" s="65" t="s">
        <v>16</v>
      </c>
      <c r="N931" s="65" t="s">
        <v>255</v>
      </c>
      <c r="O931" s="65" t="e">
        <f t="shared" ca="1" si="62"/>
        <v>#VALUE!</v>
      </c>
      <c r="P931" s="65" t="str">
        <f t="shared" ca="1" si="63"/>
        <v/>
      </c>
    </row>
    <row r="932" spans="1:16" s="65" customFormat="1" hidden="1" x14ac:dyDescent="0.25">
      <c r="A932" s="289" t="str">
        <f>"# Oh dear Women Rating &gt; "&amp;Parameter!$B$33</f>
        <v># Oh dear Women Rating &gt; 600</v>
      </c>
      <c r="B932" s="294">
        <f>MATCH(A932,Data!$DT:$DT,0)</f>
        <v>18</v>
      </c>
      <c r="C932" s="65" t="str">
        <f>INDEX(Parameter!$9:$9,,MATCH(12,Parameter!$8:$8,0))</f>
        <v>11b</v>
      </c>
      <c r="D932" s="65">
        <f>INDEX(Parameter!$B$10:$AB$10,MATCH(C932,Parameter!$B$9:$AB$9,0))</f>
        <v>3</v>
      </c>
      <c r="H932" s="65">
        <f ca="1">INDEX(OFFSET(Data!$CS$1:$DS$1,B932-1,0),MATCH("Total/"&amp;C932,Data!$CS$1:$DS$1,0))</f>
        <v>0</v>
      </c>
      <c r="I932" s="65" t="str">
        <f ca="1">IF(H932=1,INDEX(Parameter!$B$10:$AB$10,MATCH(C932,Parameter!$B$9:$AB$9,0))+7,"")</f>
        <v/>
      </c>
      <c r="J932" s="65" t="str">
        <f t="array" aca="1" ref="J932" ca="1">IF(H932=1,MATCH(1,(OFFSET(Data!$DY$1:$IB$1,B932-1,0))*(Data!$DY$90:$IB$90=C932),0),"")</f>
        <v/>
      </c>
      <c r="K932" s="65" t="str">
        <f t="array" aca="1" ref="K932" ca="1">IF(H932=1,MATCH(I932,OFFSET(Data!$DX$91:$DX$190,0,Specials!J932)*(Data!$AM$91:$AM$190&gt;Parameter!$B$33)*(Data!$DW$91:$DW$190="W"),0),"")</f>
        <v/>
      </c>
      <c r="L932" s="65" t="str">
        <f ca="1">IF(H932=1,INDEX(Data!$DT$91:$DT$190,$K932)&amp;" / "&amp;OFFSET(Data!$DX$89,0,Specials!J932),"")</f>
        <v/>
      </c>
      <c r="M932" s="65" t="s">
        <v>16</v>
      </c>
      <c r="N932" s="65" t="s">
        <v>255</v>
      </c>
      <c r="O932" s="65" t="e">
        <f t="shared" ca="1" si="62"/>
        <v>#VALUE!</v>
      </c>
      <c r="P932" s="65" t="str">
        <f t="shared" ca="1" si="63"/>
        <v/>
      </c>
    </row>
    <row r="933" spans="1:16" s="65" customFormat="1" hidden="1" x14ac:dyDescent="0.25">
      <c r="A933" s="289" t="str">
        <f>"# Oh dear Women Rating &gt; "&amp;Parameter!$B$33</f>
        <v># Oh dear Women Rating &gt; 600</v>
      </c>
      <c r="B933" s="294">
        <f>MATCH(A933,Data!$DT:$DT,0)</f>
        <v>18</v>
      </c>
      <c r="C933" s="65">
        <f>INDEX(Parameter!$9:$9,,MATCH(13,Parameter!$8:$8,0))</f>
        <v>12</v>
      </c>
      <c r="D933" s="65">
        <f>INDEX(Parameter!$B$10:$AB$10,MATCH(C933,Parameter!$B$9:$AB$9,0))</f>
        <v>3</v>
      </c>
      <c r="H933" s="65">
        <f ca="1">INDEX(OFFSET(Data!$CS$1:$DS$1,B933-1,0),MATCH("Total/"&amp;C933,Data!$CS$1:$DS$1,0))</f>
        <v>0</v>
      </c>
      <c r="I933" s="65" t="str">
        <f ca="1">IF(H933=1,INDEX(Parameter!$B$10:$AB$10,MATCH(C933,Parameter!$B$9:$AB$9,0))+7,"")</f>
        <v/>
      </c>
      <c r="J933" s="65" t="str">
        <f t="array" aca="1" ref="J933" ca="1">IF(H933=1,MATCH(1,(OFFSET(Data!$DY$1:$IB$1,B933-1,0))*(Data!$DY$90:$IB$90=C933),0),"")</f>
        <v/>
      </c>
      <c r="K933" s="65" t="str">
        <f t="array" aca="1" ref="K933" ca="1">IF(H933=1,MATCH(I933,OFFSET(Data!$DX$91:$DX$190,0,Specials!J933)*(Data!$AM$91:$AM$190&gt;Parameter!$B$33)*(Data!$DW$91:$DW$190="W"),0),"")</f>
        <v/>
      </c>
      <c r="L933" s="65" t="str">
        <f ca="1">IF(H933=1,INDEX(Data!$DT$91:$DT$190,$K933)&amp;" / "&amp;OFFSET(Data!$DX$89,0,Specials!J933),"")</f>
        <v/>
      </c>
      <c r="M933" s="65" t="s">
        <v>16</v>
      </c>
      <c r="N933" s="65" t="s">
        <v>255</v>
      </c>
      <c r="O933" s="65" t="e">
        <f t="shared" ca="1" si="62"/>
        <v>#VALUE!</v>
      </c>
      <c r="P933" s="65" t="str">
        <f t="shared" ca="1" si="63"/>
        <v/>
      </c>
    </row>
    <row r="934" spans="1:16" s="65" customFormat="1" hidden="1" x14ac:dyDescent="0.25">
      <c r="A934" s="289" t="str">
        <f>"# Oh dear Women Rating &gt; "&amp;Parameter!$B$33</f>
        <v># Oh dear Women Rating &gt; 600</v>
      </c>
      <c r="B934" s="294">
        <f>MATCH(A934,Data!$DT:$DT,0)</f>
        <v>18</v>
      </c>
      <c r="C934" s="65">
        <f>INDEX(Parameter!$9:$9,,MATCH(14,Parameter!$8:$8,0))</f>
        <v>13</v>
      </c>
      <c r="D934" s="65">
        <f>INDEX(Parameter!$B$10:$AB$10,MATCH(C934,Parameter!$B$9:$AB$9,0))</f>
        <v>3</v>
      </c>
      <c r="H934" s="65">
        <f ca="1">INDEX(OFFSET(Data!$CS$1:$DS$1,B934-1,0),MATCH("Total/"&amp;C934,Data!$CS$1:$DS$1,0))</f>
        <v>0</v>
      </c>
      <c r="I934" s="65" t="str">
        <f ca="1">IF(H934=1,INDEX(Parameter!$B$10:$AB$10,MATCH(C934,Parameter!$B$9:$AB$9,0))+7,"")</f>
        <v/>
      </c>
      <c r="J934" s="65" t="str">
        <f t="array" aca="1" ref="J934" ca="1">IF(H934=1,MATCH(1,(OFFSET(Data!$DY$1:$IB$1,B934-1,0))*(Data!$DY$90:$IB$90=C934),0),"")</f>
        <v/>
      </c>
      <c r="K934" s="65" t="str">
        <f t="array" aca="1" ref="K934" ca="1">IF(H934=1,MATCH(I934,OFFSET(Data!$DX$91:$DX$190,0,Specials!J934)*(Data!$AM$91:$AM$190&gt;Parameter!$B$33)*(Data!$DW$91:$DW$190="W"),0),"")</f>
        <v/>
      </c>
      <c r="L934" s="65" t="str">
        <f ca="1">IF(H934=1,INDEX(Data!$DT$91:$DT$190,$K934)&amp;" / "&amp;OFFSET(Data!$DX$89,0,Specials!J934),"")</f>
        <v/>
      </c>
      <c r="M934" s="65" t="s">
        <v>16</v>
      </c>
      <c r="N934" s="65" t="s">
        <v>255</v>
      </c>
      <c r="O934" s="65" t="e">
        <f t="shared" ca="1" si="62"/>
        <v>#VALUE!</v>
      </c>
      <c r="P934" s="65" t="str">
        <f t="shared" ca="1" si="63"/>
        <v/>
      </c>
    </row>
    <row r="935" spans="1:16" s="65" customFormat="1" hidden="1" x14ac:dyDescent="0.25">
      <c r="A935" s="289" t="str">
        <f>"# Oh dear Women Rating &gt; "&amp;Parameter!$B$33</f>
        <v># Oh dear Women Rating &gt; 600</v>
      </c>
      <c r="B935" s="294">
        <f>MATCH(A935,Data!$DT:$DT,0)</f>
        <v>18</v>
      </c>
      <c r="C935" s="65">
        <f>INDEX(Parameter!$9:$9,,MATCH(15,Parameter!$8:$8,0))</f>
        <v>14</v>
      </c>
      <c r="D935" s="65">
        <f>INDEX(Parameter!$B$10:$AB$10,MATCH(C935,Parameter!$B$9:$AB$9,0))</f>
        <v>3</v>
      </c>
      <c r="H935" s="65">
        <f ca="1">INDEX(OFFSET(Data!$CS$1:$DS$1,B935-1,0),MATCH("Total/"&amp;C935,Data!$CS$1:$DS$1,0))</f>
        <v>0</v>
      </c>
      <c r="I935" s="65" t="str">
        <f ca="1">IF(H935=1,INDEX(Parameter!$B$10:$AB$10,MATCH(C935,Parameter!$B$9:$AB$9,0))+7,"")</f>
        <v/>
      </c>
      <c r="J935" s="65" t="str">
        <f t="array" aca="1" ref="J935" ca="1">IF(H935=1,MATCH(1,(OFFSET(Data!$DY$1:$IB$1,B935-1,0))*(Data!$DY$90:$IB$90=C935),0),"")</f>
        <v/>
      </c>
      <c r="K935" s="65" t="str">
        <f t="array" aca="1" ref="K935" ca="1">IF(H935=1,MATCH(I935,OFFSET(Data!$DX$91:$DX$190,0,Specials!J935)*(Data!$AM$91:$AM$190&gt;Parameter!$B$33)*(Data!$DW$91:$DW$190="W"),0),"")</f>
        <v/>
      </c>
      <c r="L935" s="65" t="str">
        <f ca="1">IF(H935=1,INDEX(Data!$DT$91:$DT$190,$K935)&amp;" / "&amp;OFFSET(Data!$DX$89,0,Specials!J935),"")</f>
        <v/>
      </c>
      <c r="M935" s="65" t="s">
        <v>16</v>
      </c>
      <c r="N935" s="65" t="s">
        <v>255</v>
      </c>
      <c r="O935" s="65" t="e">
        <f t="shared" ca="1" si="62"/>
        <v>#VALUE!</v>
      </c>
      <c r="P935" s="65" t="str">
        <f t="shared" ca="1" si="63"/>
        <v/>
      </c>
    </row>
    <row r="936" spans="1:16" s="65" customFormat="1" hidden="1" x14ac:dyDescent="0.25">
      <c r="A936" s="289" t="str">
        <f>"# Oh dear Women Rating &gt; "&amp;Parameter!$B$33</f>
        <v># Oh dear Women Rating &gt; 600</v>
      </c>
      <c r="B936" s="294">
        <f>MATCH(A936,Data!$DT:$DT,0)</f>
        <v>18</v>
      </c>
      <c r="C936" s="65">
        <f>INDEX(Parameter!$9:$9,,MATCH(16,Parameter!$8:$8,0))</f>
        <v>15</v>
      </c>
      <c r="D936" s="65">
        <f>INDEX(Parameter!$B$10:$AB$10,MATCH(C936,Parameter!$B$9:$AB$9,0))</f>
        <v>3</v>
      </c>
      <c r="H936" s="65">
        <f ca="1">INDEX(OFFSET(Data!$CS$1:$DS$1,B936-1,0),MATCH("Total/"&amp;C936,Data!$CS$1:$DS$1,0))</f>
        <v>0</v>
      </c>
      <c r="I936" s="65" t="str">
        <f ca="1">IF(H936=1,INDEX(Parameter!$B$10:$AB$10,MATCH(C936,Parameter!$B$9:$AB$9,0))+7,"")</f>
        <v/>
      </c>
      <c r="J936" s="65" t="str">
        <f t="array" aca="1" ref="J936" ca="1">IF(H936=1,MATCH(1,(OFFSET(Data!$DY$1:$IB$1,B936-1,0))*(Data!$DY$90:$IB$90=C936),0),"")</f>
        <v/>
      </c>
      <c r="K936" s="65" t="str">
        <f t="array" aca="1" ref="K936" ca="1">IF(H936=1,MATCH(I936,OFFSET(Data!$DX$91:$DX$190,0,Specials!J936)*(Data!$AM$91:$AM$190&gt;Parameter!$B$33)*(Data!$DW$91:$DW$190="W"),0),"")</f>
        <v/>
      </c>
      <c r="L936" s="65" t="str">
        <f ca="1">IF(H936=1,INDEX(Data!$DT$91:$DT$190,$K936)&amp;" / "&amp;OFFSET(Data!$DX$89,0,Specials!J936),"")</f>
        <v/>
      </c>
      <c r="M936" s="65" t="s">
        <v>16</v>
      </c>
      <c r="N936" s="65" t="s">
        <v>255</v>
      </c>
      <c r="O936" s="65" t="e">
        <f t="shared" ca="1" si="62"/>
        <v>#VALUE!</v>
      </c>
      <c r="P936" s="65" t="str">
        <f t="shared" ca="1" si="63"/>
        <v/>
      </c>
    </row>
    <row r="937" spans="1:16" s="65" customFormat="1" hidden="1" x14ac:dyDescent="0.25">
      <c r="A937" s="289" t="str">
        <f>"# Oh dear Women Rating &gt; "&amp;Parameter!$B$33</f>
        <v># Oh dear Women Rating &gt; 600</v>
      </c>
      <c r="B937" s="294">
        <f>MATCH(A937,Data!$DT:$DT,0)</f>
        <v>18</v>
      </c>
      <c r="C937" s="65">
        <f>INDEX(Parameter!$9:$9,,MATCH(17,Parameter!$8:$8,0))</f>
        <v>16</v>
      </c>
      <c r="D937" s="65">
        <f>INDEX(Parameter!$B$10:$AB$10,MATCH(C937,Parameter!$B$9:$AB$9,0))</f>
        <v>3</v>
      </c>
      <c r="H937" s="65">
        <f ca="1">INDEX(OFFSET(Data!$CS$1:$DS$1,B937-1,0),MATCH("Total/"&amp;C937,Data!$CS$1:$DS$1,0))</f>
        <v>0</v>
      </c>
      <c r="I937" s="65" t="str">
        <f ca="1">IF(H937=1,INDEX(Parameter!$B$10:$AB$10,MATCH(C937,Parameter!$B$9:$AB$9,0))+7,"")</f>
        <v/>
      </c>
      <c r="J937" s="65" t="str">
        <f t="array" aca="1" ref="J937" ca="1">IF(H937=1,MATCH(1,(OFFSET(Data!$DY$1:$IB$1,B937-1,0))*(Data!$DY$90:$IB$90=C937),0),"")</f>
        <v/>
      </c>
      <c r="K937" s="65" t="str">
        <f t="array" aca="1" ref="K937" ca="1">IF(H937=1,MATCH(I937,OFFSET(Data!$DX$91:$DX$190,0,Specials!J937)*(Data!$AM$91:$AM$190&gt;Parameter!$B$33)*(Data!$DW$91:$DW$190="W"),0),"")</f>
        <v/>
      </c>
      <c r="L937" s="65" t="str">
        <f ca="1">IF(H937=1,INDEX(Data!$DT$91:$DT$190,$K937)&amp;" / "&amp;OFFSET(Data!$DX$89,0,Specials!J937),"")</f>
        <v/>
      </c>
      <c r="M937" s="65" t="s">
        <v>16</v>
      </c>
      <c r="N937" s="65" t="s">
        <v>255</v>
      </c>
      <c r="O937" s="65" t="e">
        <f t="shared" ca="1" si="62"/>
        <v>#VALUE!</v>
      </c>
      <c r="P937" s="65" t="str">
        <f t="shared" ca="1" si="63"/>
        <v/>
      </c>
    </row>
    <row r="938" spans="1:16" s="65" customFormat="1" hidden="1" x14ac:dyDescent="0.25">
      <c r="A938" s="289" t="str">
        <f>"# Oh dear Women Rating &gt; "&amp;Parameter!$B$33</f>
        <v># Oh dear Women Rating &gt; 600</v>
      </c>
      <c r="B938" s="294">
        <f>MATCH(A938,Data!$DT:$DT,0)</f>
        <v>18</v>
      </c>
      <c r="C938" s="65">
        <f>INDEX(Parameter!$9:$9,,MATCH(18,Parameter!$8:$8,0))</f>
        <v>17</v>
      </c>
      <c r="D938" s="65">
        <f>INDEX(Parameter!$B$10:$AB$10,MATCH(C938,Parameter!$B$9:$AB$9,0))</f>
        <v>3</v>
      </c>
      <c r="H938" s="65">
        <f ca="1">INDEX(OFFSET(Data!$CS$1:$DS$1,B938-1,0),MATCH("Total/"&amp;C938,Data!$CS$1:$DS$1,0))</f>
        <v>0</v>
      </c>
      <c r="I938" s="65" t="str">
        <f ca="1">IF(H938=1,INDEX(Parameter!$B$10:$AB$10,MATCH(C938,Parameter!$B$9:$AB$9,0))+7,"")</f>
        <v/>
      </c>
      <c r="J938" s="65" t="str">
        <f t="array" aca="1" ref="J938" ca="1">IF(H938=1,MATCH(1,(OFFSET(Data!$DY$1:$IB$1,B938-1,0))*(Data!$DY$90:$IB$90=C938),0),"")</f>
        <v/>
      </c>
      <c r="K938" s="65" t="str">
        <f t="array" aca="1" ref="K938" ca="1">IF(H938=1,MATCH(I938,OFFSET(Data!$DX$91:$DX$190,0,Specials!J938)*(Data!$AM$91:$AM$190&gt;Parameter!$B$33)*(Data!$DW$91:$DW$190="W"),0),"")</f>
        <v/>
      </c>
      <c r="L938" s="65" t="str">
        <f ca="1">IF(H938=1,INDEX(Data!$DT$91:$DT$190,$K938)&amp;" / "&amp;OFFSET(Data!$DX$89,0,Specials!J938),"")</f>
        <v/>
      </c>
      <c r="M938" s="65" t="s">
        <v>16</v>
      </c>
      <c r="N938" s="65" t="s">
        <v>255</v>
      </c>
      <c r="O938" s="65" t="e">
        <f t="shared" ca="1" si="62"/>
        <v>#VALUE!</v>
      </c>
      <c r="P938" s="65" t="str">
        <f t="shared" ca="1" si="63"/>
        <v/>
      </c>
    </row>
    <row r="939" spans="1:16" s="65" customFormat="1" hidden="1" x14ac:dyDescent="0.25">
      <c r="A939" s="289" t="str">
        <f>"# Oh dear Women Rating &gt; "&amp;Parameter!$B$33</f>
        <v># Oh dear Women Rating &gt; 600</v>
      </c>
      <c r="B939" s="294">
        <f>MATCH(A939,Data!$DT:$DT,0)</f>
        <v>18</v>
      </c>
      <c r="C939" s="65">
        <f>INDEX(Parameter!$9:$9,,MATCH(19,Parameter!$8:$8,0))</f>
        <v>18</v>
      </c>
      <c r="D939" s="65">
        <f>INDEX(Parameter!$B$10:$AB$10,MATCH(C939,Parameter!$B$9:$AB$9,0))</f>
        <v>3</v>
      </c>
      <c r="H939" s="65">
        <f ca="1">INDEX(OFFSET(Data!$CS$1:$DS$1,B939-1,0),MATCH("Total/"&amp;C939,Data!$CS$1:$DS$1,0))</f>
        <v>0</v>
      </c>
      <c r="I939" s="65" t="str">
        <f ca="1">IF(H939=1,INDEX(Parameter!$B$10:$AB$10,MATCH(C939,Parameter!$B$9:$AB$9,0))+7,"")</f>
        <v/>
      </c>
      <c r="J939" s="65" t="str">
        <f t="array" aca="1" ref="J939" ca="1">IF(H939=1,MATCH(1,(OFFSET(Data!$DY$1:$IB$1,B939-1,0))*(Data!$DY$90:$IB$90=C939),0),"")</f>
        <v/>
      </c>
      <c r="K939" s="65" t="str">
        <f t="array" aca="1" ref="K939" ca="1">IF(H939=1,MATCH(I939,OFFSET(Data!$DX$91:$DX$190,0,Specials!J939)*(Data!$AM$91:$AM$190&gt;Parameter!$B$33)*(Data!$DW$91:$DW$190="W"),0),"")</f>
        <v/>
      </c>
      <c r="L939" s="65" t="str">
        <f ca="1">IF(H939=1,INDEX(Data!$DT$91:$DT$190,$K939)&amp;" / "&amp;OFFSET(Data!$DX$89,0,Specials!J939),"")</f>
        <v/>
      </c>
      <c r="M939" s="65" t="s">
        <v>16</v>
      </c>
      <c r="N939" s="65" t="s">
        <v>255</v>
      </c>
      <c r="O939" s="65" t="e">
        <f t="shared" ca="1" si="62"/>
        <v>#VALUE!</v>
      </c>
      <c r="P939" s="65" t="str">
        <f t="shared" ca="1" si="63"/>
        <v/>
      </c>
    </row>
    <row r="940" spans="1:16" s="65" customFormat="1" hidden="1" x14ac:dyDescent="0.25">
      <c r="A940" s="289" t="str">
        <f>"# Oh dear Women Rating &gt; "&amp;Parameter!$B$33</f>
        <v># Oh dear Women Rating &gt; 600</v>
      </c>
      <c r="B940" s="294">
        <f>MATCH(A940,Data!$DT:$DT,0)</f>
        <v>18</v>
      </c>
      <c r="C940" s="65">
        <f>INDEX(Parameter!$9:$9,,MATCH(20,Parameter!$8:$8,0))</f>
        <v>20</v>
      </c>
      <c r="D940" s="65" t="str">
        <f>INDEX(Parameter!$B$10:$AB$10,MATCH(C940,Parameter!$B$9:$AB$9,0))</f>
        <v>no</v>
      </c>
      <c r="H940" s="65">
        <f ca="1">INDEX(OFFSET(Data!$CS$1:$DS$1,B940-1,0),MATCH("Total/"&amp;C940,Data!$CS$1:$DS$1,0))</f>
        <v>0</v>
      </c>
      <c r="I940" s="65" t="str">
        <f ca="1">IF(H940=1,INDEX(Parameter!$B$10:$AB$10,MATCH(C940,Parameter!$B$9:$AB$9,0))+7,"")</f>
        <v/>
      </c>
      <c r="J940" s="65" t="str">
        <f t="array" aca="1" ref="J940" ca="1">IF(H940=1,MATCH(1,(OFFSET(Data!$DY$1:$IB$1,B940-1,0))*(Data!$DY$90:$IB$90=C940),0),"")</f>
        <v/>
      </c>
      <c r="K940" s="65" t="str">
        <f t="array" aca="1" ref="K940" ca="1">IF(H940=1,MATCH(I940,OFFSET(Data!$DX$91:$DX$190,0,Specials!J940)*(Data!$AM$91:$AM$190&gt;Parameter!$B$33)*(Data!$DW$91:$DW$190="W"),0),"")</f>
        <v/>
      </c>
      <c r="L940" s="65" t="str">
        <f ca="1">IF(H940=1,INDEX(Data!$DT$91:$DT$190,$K940)&amp;" / "&amp;OFFSET(Data!$DX$89,0,Specials!J940),"")</f>
        <v/>
      </c>
      <c r="M940" s="65" t="s">
        <v>16</v>
      </c>
      <c r="N940" s="65" t="s">
        <v>255</v>
      </c>
      <c r="O940" s="65" t="e">
        <f t="shared" ca="1" si="62"/>
        <v>#VALUE!</v>
      </c>
      <c r="P940" s="65" t="str">
        <f t="shared" ca="1" si="63"/>
        <v/>
      </c>
    </row>
    <row r="941" spans="1:16" s="65" customFormat="1" hidden="1" x14ac:dyDescent="0.25">
      <c r="A941" s="289" t="str">
        <f>"# Oh dear Women Rating &gt; "&amp;Parameter!$B$33</f>
        <v># Oh dear Women Rating &gt; 600</v>
      </c>
      <c r="B941" s="294">
        <f>MATCH(A941,Data!$DT:$DT,0)</f>
        <v>18</v>
      </c>
      <c r="C941" s="65">
        <f>INDEX(Parameter!$9:$9,,MATCH(21,Parameter!$8:$8,0))</f>
        <v>21</v>
      </c>
      <c r="D941" s="65" t="str">
        <f>INDEX(Parameter!$B$10:$AB$10,MATCH(C941,Parameter!$B$9:$AB$9,0))</f>
        <v>no</v>
      </c>
      <c r="H941" s="65">
        <f ca="1">INDEX(OFFSET(Data!$CS$1:$DS$1,B941-1,0),MATCH("Total/"&amp;C941,Data!$CS$1:$DS$1,0))</f>
        <v>0</v>
      </c>
      <c r="I941" s="65" t="str">
        <f ca="1">IF(H941=1,INDEX(Parameter!$B$10:$AB$10,MATCH(C941,Parameter!$B$9:$AB$9,0))+7,"")</f>
        <v/>
      </c>
      <c r="J941" s="65" t="str">
        <f t="array" aca="1" ref="J941" ca="1">IF(H941=1,MATCH(1,(OFFSET(Data!$DY$1:$IB$1,B941-1,0))*(Data!$DY$90:$IB$90=C941),0),"")</f>
        <v/>
      </c>
      <c r="K941" s="65" t="str">
        <f t="array" aca="1" ref="K941" ca="1">IF(H941=1,MATCH(I941,OFFSET(Data!$DX$91:$DX$190,0,Specials!J941)*(Data!$AM$91:$AM$190&gt;Parameter!$B$33)*(Data!$DW$91:$DW$190="W"),0),"")</f>
        <v/>
      </c>
      <c r="L941" s="65" t="str">
        <f ca="1">IF(H941=1,INDEX(Data!$DT$91:$DT$190,$K941)&amp;" / "&amp;OFFSET(Data!$DX$89,0,Specials!J941),"")</f>
        <v/>
      </c>
      <c r="M941" s="65" t="s">
        <v>16</v>
      </c>
      <c r="N941" s="65" t="s">
        <v>255</v>
      </c>
      <c r="O941" s="65" t="e">
        <f t="shared" ca="1" si="62"/>
        <v>#VALUE!</v>
      </c>
      <c r="P941" s="65" t="str">
        <f t="shared" ca="1" si="63"/>
        <v/>
      </c>
    </row>
    <row r="942" spans="1:16" s="65" customFormat="1" hidden="1" x14ac:dyDescent="0.25">
      <c r="A942" s="289" t="str">
        <f>"# Oh dear Women Rating &gt; "&amp;Parameter!$B$33</f>
        <v># Oh dear Women Rating &gt; 600</v>
      </c>
      <c r="B942" s="294">
        <f>MATCH(A942,Data!$DT:$DT,0)</f>
        <v>18</v>
      </c>
      <c r="C942" s="65">
        <f>INDEX(Parameter!$9:$9,,MATCH(22,Parameter!$8:$8,0))</f>
        <v>22</v>
      </c>
      <c r="D942" s="65" t="str">
        <f>INDEX(Parameter!$B$10:$AB$10,MATCH(C942,Parameter!$B$9:$AB$9,0))</f>
        <v>no</v>
      </c>
      <c r="H942" s="65">
        <f ca="1">INDEX(OFFSET(Data!$CS$1:$DS$1,B942-1,0),MATCH("Total/"&amp;C942,Data!$CS$1:$DS$1,0))</f>
        <v>0</v>
      </c>
      <c r="I942" s="65" t="str">
        <f ca="1">IF(H942=1,INDEX(Parameter!$B$10:$AB$10,MATCH(C942,Parameter!$B$9:$AB$9,0))+7,"")</f>
        <v/>
      </c>
      <c r="J942" s="65" t="str">
        <f t="array" aca="1" ref="J942" ca="1">IF(H942=1,MATCH(1,(OFFSET(Data!$DY$1:$IB$1,B942-1,0))*(Data!$DY$90:$IB$90=C942),0),"")</f>
        <v/>
      </c>
      <c r="K942" s="65" t="str">
        <f t="array" aca="1" ref="K942" ca="1">IF(H942=1,MATCH(I942,OFFSET(Data!$DX$91:$DX$190,0,Specials!J942)*(Data!$AM$91:$AM$190&gt;Parameter!$B$33)*(Data!$DW$91:$DW$190="W"),0),"")</f>
        <v/>
      </c>
      <c r="L942" s="65" t="str">
        <f ca="1">IF(H942=1,INDEX(Data!$DT$91:$DT$190,$K942)&amp;" / "&amp;OFFSET(Data!$DX$89,0,Specials!J942),"")</f>
        <v/>
      </c>
      <c r="M942" s="65" t="s">
        <v>16</v>
      </c>
      <c r="N942" s="65" t="s">
        <v>255</v>
      </c>
      <c r="O942" s="65" t="e">
        <f t="shared" ca="1" si="62"/>
        <v>#VALUE!</v>
      </c>
      <c r="P942" s="65" t="str">
        <f t="shared" ca="1" si="63"/>
        <v/>
      </c>
    </row>
    <row r="943" spans="1:16" s="65" customFormat="1" hidden="1" x14ac:dyDescent="0.25">
      <c r="A943" s="289" t="str">
        <f>"# Oh dear Women Rating &gt; "&amp;Parameter!$B$33</f>
        <v># Oh dear Women Rating &gt; 600</v>
      </c>
      <c r="B943" s="294">
        <f>MATCH(A943,Data!$DT:$DT,0)</f>
        <v>18</v>
      </c>
      <c r="C943" s="65">
        <f>INDEX(Parameter!$9:$9,,MATCH(23,Parameter!$8:$8,0))</f>
        <v>23</v>
      </c>
      <c r="D943" s="65" t="str">
        <f>INDEX(Parameter!$B$10:$AB$10,MATCH(C943,Parameter!$B$9:$AB$9,0))</f>
        <v>no</v>
      </c>
      <c r="H943" s="65">
        <f ca="1">INDEX(OFFSET(Data!$CS$1:$DS$1,B943-1,0),MATCH("Total/"&amp;C943,Data!$CS$1:$DS$1,0))</f>
        <v>0</v>
      </c>
      <c r="I943" s="65" t="str">
        <f ca="1">IF(H943=1,INDEX(Parameter!$B$10:$AB$10,MATCH(C943,Parameter!$B$9:$AB$9,0))+7,"")</f>
        <v/>
      </c>
      <c r="J943" s="65" t="str">
        <f t="array" aca="1" ref="J943" ca="1">IF(H943=1,MATCH(1,(OFFSET(Data!$DY$1:$IB$1,B943-1,0))*(Data!$DY$90:$IB$90=C943),0),"")</f>
        <v/>
      </c>
      <c r="K943" s="65" t="str">
        <f t="array" aca="1" ref="K943" ca="1">IF(H943=1,MATCH(I943,OFFSET(Data!$DX$91:$DX$190,0,Specials!J943)*(Data!$AM$91:$AM$190&gt;Parameter!$B$33)*(Data!$DW$91:$DW$190="W"),0),"")</f>
        <v/>
      </c>
      <c r="L943" s="65" t="str">
        <f ca="1">IF(H943=1,INDEX(Data!$DT$91:$DT$190,$K943)&amp;" / "&amp;OFFSET(Data!$DX$89,0,Specials!J943),"")</f>
        <v/>
      </c>
      <c r="M943" s="65" t="s">
        <v>16</v>
      </c>
      <c r="N943" s="65" t="s">
        <v>255</v>
      </c>
      <c r="O943" s="65" t="e">
        <f t="shared" ca="1" si="62"/>
        <v>#VALUE!</v>
      </c>
      <c r="P943" s="65" t="str">
        <f t="shared" ca="1" si="63"/>
        <v/>
      </c>
    </row>
    <row r="944" spans="1:16" s="65" customFormat="1" hidden="1" x14ac:dyDescent="0.25">
      <c r="A944" s="289" t="str">
        <f>"# Oh dear Women Rating &gt; "&amp;Parameter!$B$33</f>
        <v># Oh dear Women Rating &gt; 600</v>
      </c>
      <c r="B944" s="294">
        <f>MATCH(A944,Data!$DT:$DT,0)</f>
        <v>18</v>
      </c>
      <c r="C944" s="65">
        <f>INDEX(Parameter!$9:$9,,MATCH(24,Parameter!$8:$8,0))</f>
        <v>24</v>
      </c>
      <c r="D944" s="65" t="str">
        <f>INDEX(Parameter!$B$10:$AB$10,MATCH(C944,Parameter!$B$9:$AB$9,0))</f>
        <v>no</v>
      </c>
      <c r="H944" s="65">
        <f ca="1">INDEX(OFFSET(Data!$CS$1:$DS$1,B944-1,0),MATCH("Total/"&amp;C944,Data!$CS$1:$DS$1,0))</f>
        <v>0</v>
      </c>
      <c r="I944" s="65" t="str">
        <f ca="1">IF(H944=1,INDEX(Parameter!$B$10:$AB$10,MATCH(C944,Parameter!$B$9:$AB$9,0))+7,"")</f>
        <v/>
      </c>
      <c r="J944" s="65" t="str">
        <f t="array" aca="1" ref="J944" ca="1">IF(H944=1,MATCH(1,(OFFSET(Data!$DY$1:$IB$1,B944-1,0))*(Data!$DY$90:$IB$90=C944),0),"")</f>
        <v/>
      </c>
      <c r="K944" s="65" t="str">
        <f t="array" aca="1" ref="K944" ca="1">IF(H944=1,MATCH(I944,OFFSET(Data!$DX$91:$DX$190,0,Specials!J944)*(Data!$AM$91:$AM$190&gt;Parameter!$B$33)*(Data!$DW$91:$DW$190="W"),0),"")</f>
        <v/>
      </c>
      <c r="L944" s="65" t="str">
        <f ca="1">IF(H944=1,INDEX(Data!$DT$91:$DT$190,$K944)&amp;" / "&amp;OFFSET(Data!$DX$89,0,Specials!J944),"")</f>
        <v/>
      </c>
      <c r="M944" s="65" t="s">
        <v>16</v>
      </c>
      <c r="N944" s="65" t="s">
        <v>255</v>
      </c>
      <c r="O944" s="65" t="e">
        <f t="shared" ca="1" si="62"/>
        <v>#VALUE!</v>
      </c>
      <c r="P944" s="65" t="str">
        <f t="shared" ca="1" si="63"/>
        <v/>
      </c>
    </row>
    <row r="945" spans="1:16" s="65" customFormat="1" hidden="1" x14ac:dyDescent="0.25">
      <c r="A945" s="289" t="str">
        <f>"# Oh dear Women Rating &gt; "&amp;Parameter!$B$33</f>
        <v># Oh dear Women Rating &gt; 600</v>
      </c>
      <c r="B945" s="294">
        <f>MATCH(A945,Data!$DT:$DT,0)</f>
        <v>18</v>
      </c>
      <c r="C945" s="65">
        <f>INDEX(Parameter!$9:$9,,MATCH(25,Parameter!$8:$8,0))</f>
        <v>25</v>
      </c>
      <c r="D945" s="65" t="str">
        <f>INDEX(Parameter!$B$10:$AB$10,MATCH(C945,Parameter!$B$9:$AB$9,0))</f>
        <v>no</v>
      </c>
      <c r="H945" s="65">
        <f ca="1">INDEX(OFFSET(Data!$CS$1:$DS$1,B945-1,0),MATCH("Total/"&amp;C945,Data!$CS$1:$DS$1,0))</f>
        <v>0</v>
      </c>
      <c r="I945" s="65" t="str">
        <f ca="1">IF(H945=1,INDEX(Parameter!$B$10:$AB$10,MATCH(C945,Parameter!$B$9:$AB$9,0))+7,"")</f>
        <v/>
      </c>
      <c r="J945" s="65" t="str">
        <f t="array" aca="1" ref="J945" ca="1">IF(H945=1,MATCH(1,(OFFSET(Data!$DY$1:$IB$1,B945-1,0))*(Data!$DY$90:$IB$90=C945),0),"")</f>
        <v/>
      </c>
      <c r="K945" s="65" t="str">
        <f t="array" aca="1" ref="K945" ca="1">IF(H945=1,MATCH(I945,OFFSET(Data!$DX$91:$DX$190,0,Specials!J945)*(Data!$AM$91:$AM$190&gt;Parameter!$B$33)*(Data!$DW$91:$DW$190="W"),0),"")</f>
        <v/>
      </c>
      <c r="L945" s="65" t="str">
        <f ca="1">IF(H945=1,INDEX(Data!$DT$91:$DT$190,$K945)&amp;" / "&amp;OFFSET(Data!$DX$89,0,Specials!J945),"")</f>
        <v/>
      </c>
      <c r="M945" s="65" t="s">
        <v>16</v>
      </c>
      <c r="N945" s="65" t="s">
        <v>255</v>
      </c>
      <c r="O945" s="65" t="e">
        <f t="shared" ca="1" si="62"/>
        <v>#VALUE!</v>
      </c>
      <c r="P945" s="65" t="str">
        <f t="shared" ca="1" si="63"/>
        <v/>
      </c>
    </row>
    <row r="946" spans="1:16" s="65" customFormat="1" hidden="1" x14ac:dyDescent="0.25">
      <c r="A946" s="289" t="str">
        <f>"# Oh dear Women Rating &gt; "&amp;Parameter!$B$33</f>
        <v># Oh dear Women Rating &gt; 600</v>
      </c>
      <c r="B946" s="294">
        <f>MATCH(A946,Data!$DT:$DT,0)</f>
        <v>18</v>
      </c>
      <c r="C946" s="65">
        <f>INDEX(Parameter!$9:$9,,MATCH(26,Parameter!$8:$8,0))</f>
        <v>26</v>
      </c>
      <c r="D946" s="65" t="str">
        <f>INDEX(Parameter!$B$10:$AB$10,MATCH(C946,Parameter!$B$9:$AB$9,0))</f>
        <v>no</v>
      </c>
      <c r="H946" s="65">
        <f ca="1">INDEX(OFFSET(Data!$CS$1:$DS$1,B946-1,0),MATCH("Total/"&amp;C946,Data!$CS$1:$DS$1,0))</f>
        <v>0</v>
      </c>
      <c r="I946" s="65" t="str">
        <f ca="1">IF(H946=1,INDEX(Parameter!$B$10:$AB$10,MATCH(C946,Parameter!$B$9:$AB$9,0))+7,"")</f>
        <v/>
      </c>
      <c r="J946" s="65" t="str">
        <f t="array" aca="1" ref="J946" ca="1">IF(H946=1,MATCH(1,(OFFSET(Data!$DY$1:$IB$1,B946-1,0))*(Data!$DY$90:$IB$90=C946),0),"")</f>
        <v/>
      </c>
      <c r="K946" s="65" t="str">
        <f t="array" aca="1" ref="K946" ca="1">IF(H946=1,MATCH(I946,OFFSET(Data!$DX$91:$DX$190,0,Specials!J946)*(Data!$AM$91:$AM$190&gt;Parameter!$B$33)*(Data!$DW$91:$DW$190="W"),0),"")</f>
        <v/>
      </c>
      <c r="L946" s="65" t="str">
        <f ca="1">IF(H946=1,INDEX(Data!$DT$91:$DT$190,$K946)&amp;" / "&amp;OFFSET(Data!$DX$89,0,Specials!J946),"")</f>
        <v/>
      </c>
      <c r="M946" s="65" t="s">
        <v>16</v>
      </c>
      <c r="N946" s="65" t="s">
        <v>255</v>
      </c>
      <c r="O946" s="65" t="e">
        <f t="shared" ca="1" si="62"/>
        <v>#VALUE!</v>
      </c>
      <c r="P946" s="65" t="str">
        <f t="shared" ca="1" si="63"/>
        <v/>
      </c>
    </row>
    <row r="947" spans="1:16" s="65" customFormat="1" hidden="1" x14ac:dyDescent="0.25">
      <c r="A947" s="289" t="str">
        <f>"# Oh dear Women Rating &gt; "&amp;Parameter!$B$33</f>
        <v># Oh dear Women Rating &gt; 600</v>
      </c>
      <c r="B947" s="294">
        <f>MATCH(A947,Data!$DT:$DT,0)</f>
        <v>18</v>
      </c>
      <c r="C947" s="65">
        <f>INDEX(Parameter!$9:$9,,MATCH(27,Parameter!$8:$8,0))</f>
        <v>27</v>
      </c>
      <c r="D947" s="65" t="str">
        <f>INDEX(Parameter!$B$10:$AB$10,MATCH(C947,Parameter!$B$9:$AB$9,0))</f>
        <v>no</v>
      </c>
      <c r="H947" s="65">
        <f ca="1">INDEX(OFFSET(Data!$CS$1:$DS$1,B947-1,0),MATCH("Total/"&amp;C947,Data!$CS$1:$DS$1,0))</f>
        <v>0</v>
      </c>
      <c r="I947" s="65" t="str">
        <f ca="1">IF(H947=1,INDEX(Parameter!$B$10:$AB$10,MATCH(C947,Parameter!$B$9:$AB$9,0))+7,"")</f>
        <v/>
      </c>
      <c r="J947" s="65" t="str">
        <f t="array" aca="1" ref="J947" ca="1">IF(H947=1,MATCH(1,(OFFSET(Data!$DY$1:$IB$1,B947-1,0))*(Data!$DY$90:$IB$90=C947),0),"")</f>
        <v/>
      </c>
      <c r="K947" s="65" t="str">
        <f t="array" aca="1" ref="K947" ca="1">IF(H947=1,MATCH(I947,OFFSET(Data!$DX$91:$DX$190,0,Specials!J947)*(Data!$AM$91:$AM$190&gt;Parameter!$B$33)*(Data!$DW$91:$DW$190="W"),0),"")</f>
        <v/>
      </c>
      <c r="L947" s="65" t="str">
        <f ca="1">IF(H947=1,INDEX(Data!$DT$91:$DT$190,$K947)&amp;" / "&amp;OFFSET(Data!$DX$89,0,Specials!J947),"")</f>
        <v/>
      </c>
      <c r="M947" s="65" t="s">
        <v>16</v>
      </c>
      <c r="N947" s="65" t="s">
        <v>255</v>
      </c>
      <c r="O947" s="65" t="e">
        <f t="shared" ca="1" si="62"/>
        <v>#VALUE!</v>
      </c>
      <c r="P947" s="65" t="str">
        <f t="shared" ca="1" si="63"/>
        <v/>
      </c>
    </row>
    <row r="948" spans="1:16" s="65" customFormat="1" ht="15" hidden="1" customHeight="1" x14ac:dyDescent="0.25">
      <c r="A948" s="289" t="str">
        <f>"# Oh dear Women Rating &gt; "&amp;Parameter!$B$33</f>
        <v># Oh dear Women Rating &gt; 600</v>
      </c>
      <c r="B948" s="294">
        <f>MATCH(A948,Data!$DT:$DT,0)</f>
        <v>18</v>
      </c>
      <c r="C948" s="65">
        <f>INDEX(Parameter!$9:$9,,MATCH(1,Parameter!$8:$8,0))</f>
        <v>1</v>
      </c>
      <c r="D948" s="65">
        <f>INDEX(Parameter!$B$10:$AB$10,MATCH(C948,Parameter!$B$9:$AB$9,0))</f>
        <v>3</v>
      </c>
      <c r="H948" s="65">
        <f ca="1">INDEX(OFFSET(Data!$CS$1:$DS$1,B948-1,0),MATCH("Total/"&amp;C948,Data!$CS$1:$DS$1,0))</f>
        <v>0</v>
      </c>
      <c r="I948" s="65" t="str">
        <f ca="1">IF(H948=1,INDEX(Parameter!$B$10:$AB$10,MATCH(C948,Parameter!$B$9:$AB$9,0))+8,"")</f>
        <v/>
      </c>
      <c r="J948" s="65" t="str">
        <f t="array" aca="1" ref="J948" ca="1">IF(H948=1,MATCH(1,(OFFSET(Data!$DY$1:$IB$1,B948-1,0))*(Data!$DY$90:$IB$90=C948),0),"")</f>
        <v/>
      </c>
      <c r="K948" s="65" t="str">
        <f t="array" aca="1" ref="K948" ca="1">IF(H948=1,MATCH(I948,OFFSET(Data!$DX$91:$DX$190,0,Specials!J948)*(Data!$AM$91:$AM$190&gt;Parameter!$B$33)*(Data!$DW$91:$DW$190="W"),0),"")</f>
        <v/>
      </c>
      <c r="L948" s="65" t="str">
        <f ca="1">IF(H948=1,INDEX(Data!$DT$91:$DT$190,$K948)&amp;" / "&amp;OFFSET(Data!$DX$89,0,Specials!J948),"")</f>
        <v/>
      </c>
      <c r="M948" s="65" t="s">
        <v>16</v>
      </c>
      <c r="N948" s="65" t="s">
        <v>255</v>
      </c>
      <c r="O948" s="65" t="e">
        <f t="shared" ca="1" si="62"/>
        <v>#VALUE!</v>
      </c>
      <c r="P948" s="65" t="str">
        <f t="shared" ca="1" si="63"/>
        <v/>
      </c>
    </row>
    <row r="949" spans="1:16" s="65" customFormat="1" hidden="1" x14ac:dyDescent="0.25">
      <c r="A949" s="289" t="str">
        <f>"# Oh dear Women Rating &gt; "&amp;Parameter!$B$33</f>
        <v># Oh dear Women Rating &gt; 600</v>
      </c>
      <c r="B949" s="294">
        <f>MATCH(A949,Data!$DT:$DT,0)</f>
        <v>18</v>
      </c>
      <c r="C949" s="65">
        <f>INDEX(Parameter!$9:$9,,MATCH(2,Parameter!$8:$8,0))</f>
        <v>2</v>
      </c>
      <c r="D949" s="65">
        <f>INDEX(Parameter!$B$10:$AB$10,MATCH(C949,Parameter!$B$9:$AB$9,0))</f>
        <v>3</v>
      </c>
      <c r="H949" s="65">
        <f ca="1">INDEX(OFFSET(Data!$CS$1:$DS$1,B949-1,0),MATCH("Total/"&amp;C949,Data!$CS$1:$DS$1,0))</f>
        <v>0</v>
      </c>
      <c r="I949" s="65" t="str">
        <f ca="1">IF(H949=1,INDEX(Parameter!$B$10:$AB$10,MATCH(C949,Parameter!$B$9:$AB$9,0))+8,"")</f>
        <v/>
      </c>
      <c r="J949" s="65" t="str">
        <f t="array" aca="1" ref="J949" ca="1">IF(H949=1,MATCH(1,(OFFSET(Data!$DY$1:$IB$1,B949-1,0))*(Data!$DY$90:$IB$90=C949),0),"")</f>
        <v/>
      </c>
      <c r="K949" s="65" t="str">
        <f t="array" aca="1" ref="K949" ca="1">IF(H949=1,MATCH(I949,OFFSET(Data!$DX$91:$DX$190,0,Specials!J949)*(Data!$AM$91:$AM$190&gt;Parameter!$B$33)*(Data!$DW$91:$DW$190="W"),0),"")</f>
        <v/>
      </c>
      <c r="L949" s="65" t="str">
        <f ca="1">IF(H949=1,INDEX(Data!$DT$91:$DT$190,$K949)&amp;" / "&amp;OFFSET(Data!$DX$89,0,Specials!J949),"")</f>
        <v/>
      </c>
      <c r="M949" s="65" t="s">
        <v>16</v>
      </c>
      <c r="N949" s="65" t="s">
        <v>255</v>
      </c>
      <c r="O949" s="65" t="e">
        <f t="shared" ca="1" si="62"/>
        <v>#VALUE!</v>
      </c>
      <c r="P949" s="65" t="str">
        <f t="shared" ca="1" si="63"/>
        <v/>
      </c>
    </row>
    <row r="950" spans="1:16" s="65" customFormat="1" hidden="1" x14ac:dyDescent="0.25">
      <c r="A950" s="289" t="str">
        <f>"# Oh dear Women Rating &gt; "&amp;Parameter!$B$33</f>
        <v># Oh dear Women Rating &gt; 600</v>
      </c>
      <c r="B950" s="294">
        <f>MATCH(A950,Data!$DT:$DT,0)</f>
        <v>18</v>
      </c>
      <c r="C950" s="65">
        <f>INDEX(Parameter!$9:$9,,MATCH(3,Parameter!$8:$8,0))</f>
        <v>3</v>
      </c>
      <c r="D950" s="65">
        <f>INDEX(Parameter!$B$10:$AB$10,MATCH(C950,Parameter!$B$9:$AB$9,0))</f>
        <v>3</v>
      </c>
      <c r="H950" s="65">
        <f ca="1">INDEX(OFFSET(Data!$CS$1:$DS$1,B950-1,0),MATCH("Total/"&amp;C950,Data!$CS$1:$DS$1,0))</f>
        <v>0</v>
      </c>
      <c r="I950" s="65" t="str">
        <f ca="1">IF(H950=1,INDEX(Parameter!$B$10:$AB$10,MATCH(C950,Parameter!$B$9:$AB$9,0))+8,"")</f>
        <v/>
      </c>
      <c r="J950" s="65" t="str">
        <f t="array" aca="1" ref="J950" ca="1">IF(H950=1,MATCH(1,(OFFSET(Data!$DY$1:$IB$1,B950-1,0))*(Data!$DY$90:$IB$90=C950),0),"")</f>
        <v/>
      </c>
      <c r="K950" s="65" t="str">
        <f t="array" aca="1" ref="K950" ca="1">IF(H950=1,MATCH(I950,OFFSET(Data!$DX$91:$DX$190,0,Specials!J950)*(Data!$AM$91:$AM$190&gt;Parameter!$B$33)*(Data!$DW$91:$DW$190="W"),0),"")</f>
        <v/>
      </c>
      <c r="L950" s="65" t="str">
        <f ca="1">IF(H950=1,INDEX(Data!$DT$91:$DT$190,$K950)&amp;" / "&amp;OFFSET(Data!$DX$89,0,Specials!J950),"")</f>
        <v/>
      </c>
      <c r="M950" s="65" t="s">
        <v>16</v>
      </c>
      <c r="N950" s="65" t="s">
        <v>255</v>
      </c>
      <c r="O950" s="65" t="e">
        <f t="shared" ca="1" si="62"/>
        <v>#VALUE!</v>
      </c>
      <c r="P950" s="65" t="str">
        <f t="shared" ca="1" si="63"/>
        <v/>
      </c>
    </row>
    <row r="951" spans="1:16" s="65" customFormat="1" hidden="1" x14ac:dyDescent="0.25">
      <c r="A951" s="289" t="str">
        <f>"# Oh dear Women Rating &gt; "&amp;Parameter!$B$33</f>
        <v># Oh dear Women Rating &gt; 600</v>
      </c>
      <c r="B951" s="294">
        <f>MATCH(A951,Data!$DT:$DT,0)</f>
        <v>18</v>
      </c>
      <c r="C951" s="65">
        <f>INDEX(Parameter!$9:$9,,MATCH(4,Parameter!$8:$8,0))</f>
        <v>4</v>
      </c>
      <c r="D951" s="65">
        <f>INDEX(Parameter!$B$10:$AB$10,MATCH(C951,Parameter!$B$9:$AB$9,0))</f>
        <v>3</v>
      </c>
      <c r="H951" s="65">
        <f ca="1">INDEX(OFFSET(Data!$CS$1:$DS$1,B951-1,0),MATCH("Total/"&amp;C951,Data!$CS$1:$DS$1,0))</f>
        <v>0</v>
      </c>
      <c r="I951" s="65" t="str">
        <f ca="1">IF(H951=1,INDEX(Parameter!$B$10:$AB$10,MATCH(C951,Parameter!$B$9:$AB$9,0))+8,"")</f>
        <v/>
      </c>
      <c r="J951" s="65" t="str">
        <f t="array" aca="1" ref="J951" ca="1">IF(H951=1,MATCH(1,(OFFSET(Data!$DY$1:$IB$1,B951-1,0))*(Data!$DY$90:$IB$90=C951),0),"")</f>
        <v/>
      </c>
      <c r="K951" s="65" t="str">
        <f t="array" aca="1" ref="K951" ca="1">IF(H951=1,MATCH(I951,OFFSET(Data!$DX$91:$DX$190,0,Specials!J951)*(Data!$AM$91:$AM$190&gt;Parameter!$B$33)*(Data!$DW$91:$DW$190="W"),0),"")</f>
        <v/>
      </c>
      <c r="L951" s="65" t="str">
        <f ca="1">IF(H951=1,INDEX(Data!$DT$91:$DT$190,$K951)&amp;" / "&amp;OFFSET(Data!$DX$89,0,Specials!J951),"")</f>
        <v/>
      </c>
      <c r="M951" s="65" t="s">
        <v>16</v>
      </c>
      <c r="N951" s="65" t="s">
        <v>255</v>
      </c>
      <c r="O951" s="65" t="e">
        <f t="shared" ca="1" si="62"/>
        <v>#VALUE!</v>
      </c>
      <c r="P951" s="65" t="str">
        <f t="shared" ca="1" si="63"/>
        <v/>
      </c>
    </row>
    <row r="952" spans="1:16" s="65" customFormat="1" hidden="1" x14ac:dyDescent="0.25">
      <c r="A952" s="289" t="str">
        <f>"# Oh dear Women Rating &gt; "&amp;Parameter!$B$33</f>
        <v># Oh dear Women Rating &gt; 600</v>
      </c>
      <c r="B952" s="294">
        <f>MATCH(A952,Data!$DT:$DT,0)</f>
        <v>18</v>
      </c>
      <c r="C952" s="65">
        <f>INDEX(Parameter!$9:$9,,MATCH(5,Parameter!$8:$8,0))</f>
        <v>5</v>
      </c>
      <c r="D952" s="65">
        <f>INDEX(Parameter!$B$10:$AB$10,MATCH(C952,Parameter!$B$9:$AB$9,0))</f>
        <v>4</v>
      </c>
      <c r="H952" s="65">
        <f ca="1">INDEX(OFFSET(Data!$CS$1:$DS$1,B952-1,0),MATCH("Total/"&amp;C952,Data!$CS$1:$DS$1,0))</f>
        <v>0</v>
      </c>
      <c r="I952" s="65" t="str">
        <f ca="1">IF(H952=1,INDEX(Parameter!$B$10:$AB$10,MATCH(C952,Parameter!$B$9:$AB$9,0))+8,"")</f>
        <v/>
      </c>
      <c r="J952" s="65" t="str">
        <f t="array" aca="1" ref="J952" ca="1">IF(H952=1,MATCH(1,(OFFSET(Data!$DY$1:$IB$1,B952-1,0))*(Data!$DY$90:$IB$90=C952),0),"")</f>
        <v/>
      </c>
      <c r="K952" s="65" t="str">
        <f t="array" aca="1" ref="K952" ca="1">IF(H952=1,MATCH(I952,OFFSET(Data!$DX$91:$DX$190,0,Specials!J952)*(Data!$AM$91:$AM$190&gt;Parameter!$B$33)*(Data!$DW$91:$DW$190="W"),0),"")</f>
        <v/>
      </c>
      <c r="L952" s="65" t="str">
        <f ca="1">IF(H952=1,INDEX(Data!$DT$91:$DT$190,$K952)&amp;" / "&amp;OFFSET(Data!$DX$89,0,Specials!J952),"")</f>
        <v/>
      </c>
      <c r="M952" s="65" t="s">
        <v>16</v>
      </c>
      <c r="N952" s="65" t="s">
        <v>255</v>
      </c>
      <c r="O952" s="65" t="e">
        <f t="shared" ca="1" si="62"/>
        <v>#VALUE!</v>
      </c>
      <c r="P952" s="65" t="str">
        <f t="shared" ca="1" si="63"/>
        <v/>
      </c>
    </row>
    <row r="953" spans="1:16" s="65" customFormat="1" hidden="1" x14ac:dyDescent="0.25">
      <c r="A953" s="289" t="str">
        <f>"# Oh dear Women Rating &gt; "&amp;Parameter!$B$33</f>
        <v># Oh dear Women Rating &gt; 600</v>
      </c>
      <c r="B953" s="294">
        <f>MATCH(A953,Data!$DT:$DT,0)</f>
        <v>18</v>
      </c>
      <c r="C953" s="65">
        <f>INDEX(Parameter!$9:$9,,MATCH(6,Parameter!$8:$8,0))</f>
        <v>6</v>
      </c>
      <c r="D953" s="65">
        <f>INDEX(Parameter!$B$10:$AB$10,MATCH(C953,Parameter!$B$9:$AB$9,0))</f>
        <v>3</v>
      </c>
      <c r="H953" s="65">
        <f ca="1">INDEX(OFFSET(Data!$CS$1:$DS$1,B953-1,0),MATCH("Total/"&amp;C953,Data!$CS$1:$DS$1,0))</f>
        <v>0</v>
      </c>
      <c r="I953" s="65" t="str">
        <f ca="1">IF(H953=1,INDEX(Parameter!$B$10:$AB$10,MATCH(C953,Parameter!$B$9:$AB$9,0))+8,"")</f>
        <v/>
      </c>
      <c r="J953" s="65" t="str">
        <f t="array" aca="1" ref="J953" ca="1">IF(H953=1,MATCH(1,(OFFSET(Data!$DY$1:$IB$1,B953-1,0))*(Data!$DY$90:$IB$90=C953),0),"")</f>
        <v/>
      </c>
      <c r="K953" s="65" t="str">
        <f t="array" aca="1" ref="K953" ca="1">IF(H953=1,MATCH(I953,OFFSET(Data!$DX$91:$DX$190,0,Specials!J953)*(Data!$AM$91:$AM$190&gt;Parameter!$B$33)*(Data!$DW$91:$DW$190="W"),0),"")</f>
        <v/>
      </c>
      <c r="L953" s="65" t="str">
        <f ca="1">IF(H953=1,INDEX(Data!$DT$91:$DT$190,$K953)&amp;" / "&amp;OFFSET(Data!$DX$89,0,Specials!J953),"")</f>
        <v/>
      </c>
      <c r="M953" s="65" t="s">
        <v>16</v>
      </c>
      <c r="N953" s="65" t="s">
        <v>255</v>
      </c>
      <c r="O953" s="65" t="e">
        <f t="shared" ca="1" si="62"/>
        <v>#VALUE!</v>
      </c>
      <c r="P953" s="65" t="str">
        <f t="shared" ca="1" si="63"/>
        <v/>
      </c>
    </row>
    <row r="954" spans="1:16" s="65" customFormat="1" hidden="1" x14ac:dyDescent="0.25">
      <c r="A954" s="289" t="str">
        <f>"# Oh dear Women Rating &gt; "&amp;Parameter!$B$33</f>
        <v># Oh dear Women Rating &gt; 600</v>
      </c>
      <c r="B954" s="294">
        <f>MATCH(A954,Data!$DT:$DT,0)</f>
        <v>18</v>
      </c>
      <c r="C954" s="65">
        <f>INDEX(Parameter!$9:$9,,MATCH(7,Parameter!$8:$8,0))</f>
        <v>7</v>
      </c>
      <c r="D954" s="65">
        <f>INDEX(Parameter!$B$10:$AB$10,MATCH(C954,Parameter!$B$9:$AB$9,0))</f>
        <v>3</v>
      </c>
      <c r="H954" s="65">
        <f ca="1">INDEX(OFFSET(Data!$CS$1:$DS$1,B954-1,0),MATCH("Total/"&amp;C954,Data!$CS$1:$DS$1,0))</f>
        <v>0</v>
      </c>
      <c r="I954" s="65" t="str">
        <f ca="1">IF(H954=1,INDEX(Parameter!$B$10:$AB$10,MATCH(C954,Parameter!$B$9:$AB$9,0))+8,"")</f>
        <v/>
      </c>
      <c r="J954" s="65" t="str">
        <f t="array" aca="1" ref="J954" ca="1">IF(H954=1,MATCH(1,(OFFSET(Data!$DY$1:$IB$1,B954-1,0))*(Data!$DY$90:$IB$90=C954),0),"")</f>
        <v/>
      </c>
      <c r="K954" s="65" t="str">
        <f t="array" aca="1" ref="K954" ca="1">IF(H954=1,MATCH(I954,OFFSET(Data!$DX$91:$DX$190,0,Specials!J954)*(Data!$AM$91:$AM$190&gt;Parameter!$B$33)*(Data!$DW$91:$DW$190="W"),0),"")</f>
        <v/>
      </c>
      <c r="L954" s="65" t="str">
        <f ca="1">IF(H954=1,INDEX(Data!$DT$91:$DT$190,$K954)&amp;" / "&amp;OFFSET(Data!$DX$89,0,Specials!J954),"")</f>
        <v/>
      </c>
      <c r="M954" s="65" t="s">
        <v>16</v>
      </c>
      <c r="N954" s="65" t="s">
        <v>255</v>
      </c>
      <c r="O954" s="65" t="e">
        <f t="shared" ca="1" si="62"/>
        <v>#VALUE!</v>
      </c>
      <c r="P954" s="65" t="str">
        <f t="shared" ca="1" si="63"/>
        <v/>
      </c>
    </row>
    <row r="955" spans="1:16" s="65" customFormat="1" hidden="1" x14ac:dyDescent="0.25">
      <c r="A955" s="289" t="str">
        <f>"# Oh dear Women Rating &gt; "&amp;Parameter!$B$33</f>
        <v># Oh dear Women Rating &gt; 600</v>
      </c>
      <c r="B955" s="294">
        <f>MATCH(A955,Data!$DT:$DT,0)</f>
        <v>18</v>
      </c>
      <c r="C955" s="65">
        <f>INDEX(Parameter!$9:$9,,MATCH(8,Parameter!$8:$8,0))</f>
        <v>8</v>
      </c>
      <c r="D955" s="65">
        <f>INDEX(Parameter!$B$10:$AB$10,MATCH(C955,Parameter!$B$9:$AB$9,0))</f>
        <v>3</v>
      </c>
      <c r="H955" s="65">
        <f ca="1">INDEX(OFFSET(Data!$CS$1:$DS$1,B955-1,0),MATCH("Total/"&amp;C955,Data!$CS$1:$DS$1,0))</f>
        <v>0</v>
      </c>
      <c r="I955" s="65" t="str">
        <f ca="1">IF(H955=1,INDEX(Parameter!$B$10:$AB$10,MATCH(C955,Parameter!$B$9:$AB$9,0))+8,"")</f>
        <v/>
      </c>
      <c r="J955" s="65" t="str">
        <f t="array" aca="1" ref="J955" ca="1">IF(H955=1,MATCH(1,(OFFSET(Data!$DY$1:$IB$1,B955-1,0))*(Data!$DY$90:$IB$90=C955),0),"")</f>
        <v/>
      </c>
      <c r="K955" s="65" t="str">
        <f t="array" aca="1" ref="K955" ca="1">IF(H955=1,MATCH(I955,OFFSET(Data!$DX$91:$DX$190,0,Specials!J955)*(Data!$AM$91:$AM$190&gt;Parameter!$B$33)*(Data!$DW$91:$DW$190="W"),0),"")</f>
        <v/>
      </c>
      <c r="L955" s="65" t="str">
        <f ca="1">IF(H955=1,INDEX(Data!$DT$91:$DT$190,$K955)&amp;" / "&amp;OFFSET(Data!$DX$89,0,Specials!J955),"")</f>
        <v/>
      </c>
      <c r="M955" s="65" t="s">
        <v>16</v>
      </c>
      <c r="N955" s="65" t="s">
        <v>255</v>
      </c>
      <c r="O955" s="65" t="e">
        <f t="shared" ca="1" si="62"/>
        <v>#VALUE!</v>
      </c>
      <c r="P955" s="65" t="str">
        <f t="shared" ca="1" si="63"/>
        <v/>
      </c>
    </row>
    <row r="956" spans="1:16" s="65" customFormat="1" hidden="1" x14ac:dyDescent="0.25">
      <c r="A956" s="289" t="str">
        <f>"# Oh dear Women Rating &gt; "&amp;Parameter!$B$33</f>
        <v># Oh dear Women Rating &gt; 600</v>
      </c>
      <c r="B956" s="294">
        <f>MATCH(A956,Data!$DT:$DT,0)</f>
        <v>18</v>
      </c>
      <c r="C956" s="65">
        <f>INDEX(Parameter!$9:$9,,MATCH(9,Parameter!$8:$8,0))</f>
        <v>9</v>
      </c>
      <c r="D956" s="65">
        <f>INDEX(Parameter!$B$10:$AB$10,MATCH(C956,Parameter!$B$9:$AB$9,0))</f>
        <v>4</v>
      </c>
      <c r="H956" s="65">
        <f ca="1">INDEX(OFFSET(Data!$CS$1:$DS$1,B956-1,0),MATCH("Total/"&amp;C956,Data!$CS$1:$DS$1,0))</f>
        <v>0</v>
      </c>
      <c r="I956" s="65" t="str">
        <f ca="1">IF(H956=1,INDEX(Parameter!$B$10:$AB$10,MATCH(C956,Parameter!$B$9:$AB$9,0))+8,"")</f>
        <v/>
      </c>
      <c r="J956" s="65" t="str">
        <f t="array" aca="1" ref="J956" ca="1">IF(H956=1,MATCH(1,(OFFSET(Data!$DY$1:$IB$1,B956-1,0))*(Data!$DY$90:$IB$90=C956),0),"")</f>
        <v/>
      </c>
      <c r="K956" s="65" t="str">
        <f t="array" aca="1" ref="K956" ca="1">IF(H956=1,MATCH(I956,OFFSET(Data!$DX$91:$DX$190,0,Specials!J956)*(Data!$AM$91:$AM$190&gt;Parameter!$B$33)*(Data!$DW$91:$DW$190="W"),0),"")</f>
        <v/>
      </c>
      <c r="L956" s="65" t="str">
        <f ca="1">IF(H956=1,INDEX(Data!$DT$91:$DT$190,$K956)&amp;" / "&amp;OFFSET(Data!$DX$89,0,Specials!J956),"")</f>
        <v/>
      </c>
      <c r="M956" s="65" t="s">
        <v>16</v>
      </c>
      <c r="N956" s="65" t="s">
        <v>255</v>
      </c>
      <c r="O956" s="65" t="e">
        <f t="shared" ca="1" si="62"/>
        <v>#VALUE!</v>
      </c>
      <c r="P956" s="65" t="str">
        <f t="shared" ca="1" si="63"/>
        <v/>
      </c>
    </row>
    <row r="957" spans="1:16" s="65" customFormat="1" hidden="1" x14ac:dyDescent="0.25">
      <c r="A957" s="289" t="str">
        <f>"# Oh dear Women Rating &gt; "&amp;Parameter!$B$33</f>
        <v># Oh dear Women Rating &gt; 600</v>
      </c>
      <c r="B957" s="294">
        <f>MATCH(A957,Data!$DT:$DT,0)</f>
        <v>18</v>
      </c>
      <c r="C957" s="65">
        <f>INDEX(Parameter!$9:$9,,MATCH(10,Parameter!$8:$8,0))</f>
        <v>10</v>
      </c>
      <c r="D957" s="65">
        <f>INDEX(Parameter!$B$10:$AB$10,MATCH(C957,Parameter!$B$9:$AB$9,0))</f>
        <v>4</v>
      </c>
      <c r="H957" s="65">
        <f ca="1">INDEX(OFFSET(Data!$CS$1:$DS$1,B957-1,0),MATCH("Total/"&amp;C957,Data!$CS$1:$DS$1,0))</f>
        <v>0</v>
      </c>
      <c r="I957" s="65" t="str">
        <f ca="1">IF(H957=1,INDEX(Parameter!$B$10:$AB$10,MATCH(C957,Parameter!$B$9:$AB$9,0))+8,"")</f>
        <v/>
      </c>
      <c r="J957" s="65" t="str">
        <f t="array" aca="1" ref="J957" ca="1">IF(H957=1,MATCH(1,(OFFSET(Data!$DY$1:$IB$1,B957-1,0))*(Data!$DY$90:$IB$90=C957),0),"")</f>
        <v/>
      </c>
      <c r="K957" s="65" t="str">
        <f t="array" aca="1" ref="K957" ca="1">IF(H957=1,MATCH(I957,OFFSET(Data!$DX$91:$DX$190,0,Specials!J957)*(Data!$AM$91:$AM$190&gt;Parameter!$B$33)*(Data!$DW$91:$DW$190="W"),0),"")</f>
        <v/>
      </c>
      <c r="L957" s="65" t="str">
        <f ca="1">IF(H957=1,INDEX(Data!$DT$91:$DT$190,$K957)&amp;" / "&amp;OFFSET(Data!$DX$89,0,Specials!J957),"")</f>
        <v/>
      </c>
      <c r="M957" s="65" t="s">
        <v>16</v>
      </c>
      <c r="N957" s="65" t="s">
        <v>255</v>
      </c>
      <c r="O957" s="65" t="e">
        <f t="shared" ca="1" si="62"/>
        <v>#VALUE!</v>
      </c>
      <c r="P957" s="65" t="str">
        <f t="shared" ca="1" si="63"/>
        <v/>
      </c>
    </row>
    <row r="958" spans="1:16" s="65" customFormat="1" hidden="1" x14ac:dyDescent="0.25">
      <c r="A958" s="289" t="str">
        <f>"# Oh dear Women Rating &gt; "&amp;Parameter!$B$33</f>
        <v># Oh dear Women Rating &gt; 600</v>
      </c>
      <c r="B958" s="294">
        <f>MATCH(A958,Data!$DT:$DT,0)</f>
        <v>18</v>
      </c>
      <c r="C958" s="65">
        <f>INDEX(Parameter!$9:$9,,MATCH(11,Parameter!$8:$8,0))</f>
        <v>11</v>
      </c>
      <c r="D958" s="65">
        <f>INDEX(Parameter!$B$10:$AB$10,MATCH(C958,Parameter!$B$9:$AB$9,0))</f>
        <v>4</v>
      </c>
      <c r="H958" s="65">
        <f ca="1">INDEX(OFFSET(Data!$CS$1:$DS$1,B958-1,0),MATCH("Total/"&amp;C958,Data!$CS$1:$DS$1,0))</f>
        <v>0</v>
      </c>
      <c r="I958" s="65" t="str">
        <f ca="1">IF(H958=1,INDEX(Parameter!$B$10:$AB$10,MATCH(C958,Parameter!$B$9:$AB$9,0))+8,"")</f>
        <v/>
      </c>
      <c r="J958" s="65" t="str">
        <f t="array" aca="1" ref="J958" ca="1">IF(H958=1,MATCH(1,(OFFSET(Data!$DY$1:$IB$1,B958-1,0))*(Data!$DY$90:$IB$90=C958),0),"")</f>
        <v/>
      </c>
      <c r="K958" s="65" t="str">
        <f t="array" aca="1" ref="K958" ca="1">IF(H958=1,MATCH(I958,OFFSET(Data!$DX$91:$DX$190,0,Specials!J958)*(Data!$AM$91:$AM$190&gt;Parameter!$B$33)*(Data!$DW$91:$DW$190="W"),0),"")</f>
        <v/>
      </c>
      <c r="L958" s="65" t="str">
        <f ca="1">IF(H958=1,INDEX(Data!$DT$91:$DT$190,$K958)&amp;" / "&amp;OFFSET(Data!$DX$89,0,Specials!J958),"")</f>
        <v/>
      </c>
      <c r="M958" s="65" t="s">
        <v>16</v>
      </c>
      <c r="N958" s="65" t="s">
        <v>255</v>
      </c>
      <c r="O958" s="65" t="e">
        <f t="shared" ca="1" si="62"/>
        <v>#VALUE!</v>
      </c>
      <c r="P958" s="65" t="str">
        <f t="shared" ca="1" si="63"/>
        <v/>
      </c>
    </row>
    <row r="959" spans="1:16" s="65" customFormat="1" hidden="1" x14ac:dyDescent="0.25">
      <c r="A959" s="289" t="str">
        <f>"# Oh dear Women Rating &gt; "&amp;Parameter!$B$33</f>
        <v># Oh dear Women Rating &gt; 600</v>
      </c>
      <c r="B959" s="294">
        <f>MATCH(A959,Data!$DT:$DT,0)</f>
        <v>18</v>
      </c>
      <c r="C959" s="65" t="str">
        <f>INDEX(Parameter!$9:$9,,MATCH(12,Parameter!$8:$8,0))</f>
        <v>11b</v>
      </c>
      <c r="D959" s="65">
        <f>INDEX(Parameter!$B$10:$AB$10,MATCH(C959,Parameter!$B$9:$AB$9,0))</f>
        <v>3</v>
      </c>
      <c r="H959" s="65">
        <f ca="1">INDEX(OFFSET(Data!$CS$1:$DS$1,B959-1,0),MATCH("Total/"&amp;C959,Data!$CS$1:$DS$1,0))</f>
        <v>0</v>
      </c>
      <c r="I959" s="65" t="str">
        <f ca="1">IF(H959=1,INDEX(Parameter!$B$10:$AB$10,MATCH(C959,Parameter!$B$9:$AB$9,0))+8,"")</f>
        <v/>
      </c>
      <c r="J959" s="65" t="str">
        <f t="array" aca="1" ref="J959" ca="1">IF(H959=1,MATCH(1,(OFFSET(Data!$DY$1:$IB$1,B959-1,0))*(Data!$DY$90:$IB$90=C959),0),"")</f>
        <v/>
      </c>
      <c r="K959" s="65" t="str">
        <f t="array" aca="1" ref="K959" ca="1">IF(H959=1,MATCH(I959,OFFSET(Data!$DX$91:$DX$190,0,Specials!J959)*(Data!$AM$91:$AM$190&gt;Parameter!$B$33)*(Data!$DW$91:$DW$190="W"),0),"")</f>
        <v/>
      </c>
      <c r="L959" s="65" t="str">
        <f ca="1">IF(H959=1,INDEX(Data!$DT$91:$DT$190,$K959)&amp;" / "&amp;OFFSET(Data!$DX$89,0,Specials!J959),"")</f>
        <v/>
      </c>
      <c r="M959" s="65" t="s">
        <v>16</v>
      </c>
      <c r="N959" s="65" t="s">
        <v>255</v>
      </c>
      <c r="O959" s="65" t="e">
        <f t="shared" ca="1" si="62"/>
        <v>#VALUE!</v>
      </c>
      <c r="P959" s="65" t="str">
        <f t="shared" ca="1" si="63"/>
        <v/>
      </c>
    </row>
    <row r="960" spans="1:16" s="65" customFormat="1" hidden="1" x14ac:dyDescent="0.25">
      <c r="A960" s="289" t="str">
        <f>"# Oh dear Women Rating &gt; "&amp;Parameter!$B$33</f>
        <v># Oh dear Women Rating &gt; 600</v>
      </c>
      <c r="B960" s="294">
        <f>MATCH(A960,Data!$DT:$DT,0)</f>
        <v>18</v>
      </c>
      <c r="C960" s="65">
        <f>INDEX(Parameter!$9:$9,,MATCH(13,Parameter!$8:$8,0))</f>
        <v>12</v>
      </c>
      <c r="D960" s="65">
        <f>INDEX(Parameter!$B$10:$AB$10,MATCH(C960,Parameter!$B$9:$AB$9,0))</f>
        <v>3</v>
      </c>
      <c r="H960" s="65">
        <f ca="1">INDEX(OFFSET(Data!$CS$1:$DS$1,B960-1,0),MATCH("Total/"&amp;C960,Data!$CS$1:$DS$1,0))</f>
        <v>0</v>
      </c>
      <c r="I960" s="65" t="str">
        <f ca="1">IF(H960=1,INDEX(Parameter!$B$10:$AB$10,MATCH(C960,Parameter!$B$9:$AB$9,0))+8,"")</f>
        <v/>
      </c>
      <c r="J960" s="65" t="str">
        <f t="array" aca="1" ref="J960" ca="1">IF(H960=1,MATCH(1,(OFFSET(Data!$DY$1:$IB$1,B960-1,0))*(Data!$DY$90:$IB$90=C960),0),"")</f>
        <v/>
      </c>
      <c r="K960" s="65" t="str">
        <f t="array" aca="1" ref="K960" ca="1">IF(H960=1,MATCH(I960,OFFSET(Data!$DX$91:$DX$190,0,Specials!J960)*(Data!$AM$91:$AM$190&gt;Parameter!$B$33)*(Data!$DW$91:$DW$190="W"),0),"")</f>
        <v/>
      </c>
      <c r="L960" s="65" t="str">
        <f ca="1">IF(H960=1,INDEX(Data!$DT$91:$DT$190,$K960)&amp;" / "&amp;OFFSET(Data!$DX$89,0,Specials!J960),"")</f>
        <v/>
      </c>
      <c r="M960" s="65" t="s">
        <v>16</v>
      </c>
      <c r="N960" s="65" t="s">
        <v>255</v>
      </c>
      <c r="O960" s="65" t="e">
        <f t="shared" ca="1" si="62"/>
        <v>#VALUE!</v>
      </c>
      <c r="P960" s="65" t="str">
        <f t="shared" ca="1" si="63"/>
        <v/>
      </c>
    </row>
    <row r="961" spans="1:16" s="65" customFormat="1" hidden="1" x14ac:dyDescent="0.25">
      <c r="A961" s="289" t="str">
        <f>"# Oh dear Women Rating &gt; "&amp;Parameter!$B$33</f>
        <v># Oh dear Women Rating &gt; 600</v>
      </c>
      <c r="B961" s="294">
        <f>MATCH(A961,Data!$DT:$DT,0)</f>
        <v>18</v>
      </c>
      <c r="C961" s="65">
        <f>INDEX(Parameter!$9:$9,,MATCH(14,Parameter!$8:$8,0))</f>
        <v>13</v>
      </c>
      <c r="D961" s="65">
        <f>INDEX(Parameter!$B$10:$AB$10,MATCH(C961,Parameter!$B$9:$AB$9,0))</f>
        <v>3</v>
      </c>
      <c r="H961" s="65">
        <f ca="1">INDEX(OFFSET(Data!$CS$1:$DS$1,B961-1,0),MATCH("Total/"&amp;C961,Data!$CS$1:$DS$1,0))</f>
        <v>0</v>
      </c>
      <c r="I961" s="65" t="str">
        <f ca="1">IF(H961=1,INDEX(Parameter!$B$10:$AB$10,MATCH(C961,Parameter!$B$9:$AB$9,0))+8,"")</f>
        <v/>
      </c>
      <c r="J961" s="65" t="str">
        <f t="array" aca="1" ref="J961" ca="1">IF(H961=1,MATCH(1,(OFFSET(Data!$DY$1:$IB$1,B961-1,0))*(Data!$DY$90:$IB$90=C961),0),"")</f>
        <v/>
      </c>
      <c r="K961" s="65" t="str">
        <f t="array" aca="1" ref="K961" ca="1">IF(H961=1,MATCH(I961,OFFSET(Data!$DX$91:$DX$190,0,Specials!J961)*(Data!$AM$91:$AM$190&gt;Parameter!$B$33)*(Data!$DW$91:$DW$190="W"),0),"")</f>
        <v/>
      </c>
      <c r="L961" s="65" t="str">
        <f ca="1">IF(H961=1,INDEX(Data!$DT$91:$DT$190,$K961)&amp;" / "&amp;OFFSET(Data!$DX$89,0,Specials!J961),"")</f>
        <v/>
      </c>
      <c r="M961" s="65" t="s">
        <v>16</v>
      </c>
      <c r="N961" s="65" t="s">
        <v>255</v>
      </c>
      <c r="O961" s="65" t="e">
        <f t="shared" ca="1" si="62"/>
        <v>#VALUE!</v>
      </c>
      <c r="P961" s="65" t="str">
        <f t="shared" ca="1" si="63"/>
        <v/>
      </c>
    </row>
    <row r="962" spans="1:16" s="65" customFormat="1" hidden="1" x14ac:dyDescent="0.25">
      <c r="A962" s="289" t="str">
        <f>"# Oh dear Women Rating &gt; "&amp;Parameter!$B$33</f>
        <v># Oh dear Women Rating &gt; 600</v>
      </c>
      <c r="B962" s="294">
        <f>MATCH(A962,Data!$DT:$DT,0)</f>
        <v>18</v>
      </c>
      <c r="C962" s="65">
        <f>INDEX(Parameter!$9:$9,,MATCH(15,Parameter!$8:$8,0))</f>
        <v>14</v>
      </c>
      <c r="D962" s="65">
        <f>INDEX(Parameter!$B$10:$AB$10,MATCH(C962,Parameter!$B$9:$AB$9,0))</f>
        <v>3</v>
      </c>
      <c r="H962" s="65">
        <f ca="1">INDEX(OFFSET(Data!$CS$1:$DS$1,B962-1,0),MATCH("Total/"&amp;C962,Data!$CS$1:$DS$1,0))</f>
        <v>0</v>
      </c>
      <c r="I962" s="65" t="str">
        <f ca="1">IF(H962=1,INDEX(Parameter!$B$10:$AB$10,MATCH(C962,Parameter!$B$9:$AB$9,0))+8,"")</f>
        <v/>
      </c>
      <c r="J962" s="65" t="str">
        <f t="array" aca="1" ref="J962" ca="1">IF(H962=1,MATCH(1,(OFFSET(Data!$DY$1:$IB$1,B962-1,0))*(Data!$DY$90:$IB$90=C962),0),"")</f>
        <v/>
      </c>
      <c r="K962" s="65" t="str">
        <f t="array" aca="1" ref="K962" ca="1">IF(H962=1,MATCH(I962,OFFSET(Data!$DX$91:$DX$190,0,Specials!J962)*(Data!$AM$91:$AM$190&gt;Parameter!$B$33)*(Data!$DW$91:$DW$190="W"),0),"")</f>
        <v/>
      </c>
      <c r="L962" s="65" t="str">
        <f ca="1">IF(H962=1,INDEX(Data!$DT$91:$DT$190,$K962)&amp;" / "&amp;OFFSET(Data!$DX$89,0,Specials!J962),"")</f>
        <v/>
      </c>
      <c r="M962" s="65" t="s">
        <v>16</v>
      </c>
      <c r="N962" s="65" t="s">
        <v>255</v>
      </c>
      <c r="O962" s="65" t="e">
        <f t="shared" ca="1" si="62"/>
        <v>#VALUE!</v>
      </c>
      <c r="P962" s="65" t="str">
        <f t="shared" ca="1" si="63"/>
        <v/>
      </c>
    </row>
    <row r="963" spans="1:16" s="65" customFormat="1" hidden="1" x14ac:dyDescent="0.25">
      <c r="A963" s="289" t="str">
        <f>"# Oh dear Women Rating &gt; "&amp;Parameter!$B$33</f>
        <v># Oh dear Women Rating &gt; 600</v>
      </c>
      <c r="B963" s="294">
        <f>MATCH(A963,Data!$DT:$DT,0)</f>
        <v>18</v>
      </c>
      <c r="C963" s="65">
        <f>INDEX(Parameter!$9:$9,,MATCH(16,Parameter!$8:$8,0))</f>
        <v>15</v>
      </c>
      <c r="D963" s="65">
        <f>INDEX(Parameter!$B$10:$AB$10,MATCH(C963,Parameter!$B$9:$AB$9,0))</f>
        <v>3</v>
      </c>
      <c r="H963" s="65">
        <f ca="1">INDEX(OFFSET(Data!$CS$1:$DS$1,B963-1,0),MATCH("Total/"&amp;C963,Data!$CS$1:$DS$1,0))</f>
        <v>0</v>
      </c>
      <c r="I963" s="65" t="str">
        <f ca="1">IF(H963=1,INDEX(Parameter!$B$10:$AB$10,MATCH(C963,Parameter!$B$9:$AB$9,0))+8,"")</f>
        <v/>
      </c>
      <c r="J963" s="65" t="str">
        <f t="array" aca="1" ref="J963" ca="1">IF(H963=1,MATCH(1,(OFFSET(Data!$DY$1:$IB$1,B963-1,0))*(Data!$DY$90:$IB$90=C963),0),"")</f>
        <v/>
      </c>
      <c r="K963" s="65" t="str">
        <f t="array" aca="1" ref="K963" ca="1">IF(H963=1,MATCH(I963,OFFSET(Data!$DX$91:$DX$190,0,Specials!J963)*(Data!$AM$91:$AM$190&gt;Parameter!$B$33)*(Data!$DW$91:$DW$190="W"),0),"")</f>
        <v/>
      </c>
      <c r="L963" s="65" t="str">
        <f ca="1">IF(H963=1,INDEX(Data!$DT$91:$DT$190,$K963)&amp;" / "&amp;OFFSET(Data!$DX$89,0,Specials!J963),"")</f>
        <v/>
      </c>
      <c r="M963" s="65" t="s">
        <v>16</v>
      </c>
      <c r="N963" s="65" t="s">
        <v>255</v>
      </c>
      <c r="O963" s="65" t="e">
        <f t="shared" ca="1" si="62"/>
        <v>#VALUE!</v>
      </c>
      <c r="P963" s="65" t="str">
        <f t="shared" ca="1" si="63"/>
        <v/>
      </c>
    </row>
    <row r="964" spans="1:16" s="65" customFormat="1" hidden="1" x14ac:dyDescent="0.25">
      <c r="A964" s="289" t="str">
        <f>"# Oh dear Women Rating &gt; "&amp;Parameter!$B$33</f>
        <v># Oh dear Women Rating &gt; 600</v>
      </c>
      <c r="B964" s="294">
        <f>MATCH(A964,Data!$DT:$DT,0)</f>
        <v>18</v>
      </c>
      <c r="C964" s="65">
        <f>INDEX(Parameter!$9:$9,,MATCH(17,Parameter!$8:$8,0))</f>
        <v>16</v>
      </c>
      <c r="D964" s="65">
        <f>INDEX(Parameter!$B$10:$AB$10,MATCH(C964,Parameter!$B$9:$AB$9,0))</f>
        <v>3</v>
      </c>
      <c r="H964" s="65">
        <f ca="1">INDEX(OFFSET(Data!$CS$1:$DS$1,B964-1,0),MATCH("Total/"&amp;C964,Data!$CS$1:$DS$1,0))</f>
        <v>0</v>
      </c>
      <c r="I964" s="65" t="str">
        <f ca="1">IF(H964=1,INDEX(Parameter!$B$10:$AB$10,MATCH(C964,Parameter!$B$9:$AB$9,0))+8,"")</f>
        <v/>
      </c>
      <c r="J964" s="65" t="str">
        <f t="array" aca="1" ref="J964" ca="1">IF(H964=1,MATCH(1,(OFFSET(Data!$DY$1:$IB$1,B964-1,0))*(Data!$DY$90:$IB$90=C964),0),"")</f>
        <v/>
      </c>
      <c r="K964" s="65" t="str">
        <f t="array" aca="1" ref="K964" ca="1">IF(H964=1,MATCH(I964,OFFSET(Data!$DX$91:$DX$190,0,Specials!J964)*(Data!$AM$91:$AM$190&gt;Parameter!$B$33)*(Data!$DW$91:$DW$190="W"),0),"")</f>
        <v/>
      </c>
      <c r="L964" s="65" t="str">
        <f ca="1">IF(H964=1,INDEX(Data!$DT$91:$DT$190,$K964)&amp;" / "&amp;OFFSET(Data!$DX$89,0,Specials!J964),"")</f>
        <v/>
      </c>
      <c r="M964" s="65" t="s">
        <v>16</v>
      </c>
      <c r="N964" s="65" t="s">
        <v>255</v>
      </c>
      <c r="O964" s="65" t="e">
        <f t="shared" ref="O964:O1027" ca="1" si="64">IF(AND($P964&lt;&gt;"",$N964="yes"),O963+1,O963)</f>
        <v>#VALUE!</v>
      </c>
      <c r="P964" s="65" t="str">
        <f t="shared" ca="1" si="63"/>
        <v/>
      </c>
    </row>
    <row r="965" spans="1:16" s="65" customFormat="1" hidden="1" x14ac:dyDescent="0.25">
      <c r="A965" s="289" t="str">
        <f>"# Oh dear Women Rating &gt; "&amp;Parameter!$B$33</f>
        <v># Oh dear Women Rating &gt; 600</v>
      </c>
      <c r="B965" s="294">
        <f>MATCH(A965,Data!$DT:$DT,0)</f>
        <v>18</v>
      </c>
      <c r="C965" s="65">
        <f>INDEX(Parameter!$9:$9,,MATCH(18,Parameter!$8:$8,0))</f>
        <v>17</v>
      </c>
      <c r="D965" s="65">
        <f>INDEX(Parameter!$B$10:$AB$10,MATCH(C965,Parameter!$B$9:$AB$9,0))</f>
        <v>3</v>
      </c>
      <c r="H965" s="65">
        <f ca="1">INDEX(OFFSET(Data!$CS$1:$DS$1,B965-1,0),MATCH("Total/"&amp;C965,Data!$CS$1:$DS$1,0))</f>
        <v>0</v>
      </c>
      <c r="I965" s="65" t="str">
        <f ca="1">IF(H965=1,INDEX(Parameter!$B$10:$AB$10,MATCH(C965,Parameter!$B$9:$AB$9,0))+8,"")</f>
        <v/>
      </c>
      <c r="J965" s="65" t="str">
        <f t="array" aca="1" ref="J965" ca="1">IF(H965=1,MATCH(1,(OFFSET(Data!$DY$1:$IB$1,B965-1,0))*(Data!$DY$90:$IB$90=C965),0),"")</f>
        <v/>
      </c>
      <c r="K965" s="65" t="str">
        <f t="array" aca="1" ref="K965" ca="1">IF(H965=1,MATCH(I965,OFFSET(Data!$DX$91:$DX$190,0,Specials!J965)*(Data!$AM$91:$AM$190&gt;Parameter!$B$33)*(Data!$DW$91:$DW$190="W"),0),"")</f>
        <v/>
      </c>
      <c r="L965" s="65" t="str">
        <f ca="1">IF(H965=1,INDEX(Data!$DT$91:$DT$190,$K965)&amp;" / "&amp;OFFSET(Data!$DX$89,0,Specials!J965),"")</f>
        <v/>
      </c>
      <c r="M965" s="65" t="s">
        <v>16</v>
      </c>
      <c r="N965" s="65" t="s">
        <v>255</v>
      </c>
      <c r="O965" s="65" t="e">
        <f t="shared" ca="1" si="64"/>
        <v>#VALUE!</v>
      </c>
      <c r="P965" s="65" t="str">
        <f t="shared" ca="1" si="63"/>
        <v/>
      </c>
    </row>
    <row r="966" spans="1:16" s="65" customFormat="1" hidden="1" x14ac:dyDescent="0.25">
      <c r="A966" s="289" t="str">
        <f>"# Oh dear Women Rating &gt; "&amp;Parameter!$B$33</f>
        <v># Oh dear Women Rating &gt; 600</v>
      </c>
      <c r="B966" s="294">
        <f>MATCH(A966,Data!$DT:$DT,0)</f>
        <v>18</v>
      </c>
      <c r="C966" s="65">
        <f>INDEX(Parameter!$9:$9,,MATCH(19,Parameter!$8:$8,0))</f>
        <v>18</v>
      </c>
      <c r="D966" s="65">
        <f>INDEX(Parameter!$B$10:$AB$10,MATCH(C966,Parameter!$B$9:$AB$9,0))</f>
        <v>3</v>
      </c>
      <c r="H966" s="65">
        <f ca="1">INDEX(OFFSET(Data!$CS$1:$DS$1,B966-1,0),MATCH("Total/"&amp;C966,Data!$CS$1:$DS$1,0))</f>
        <v>0</v>
      </c>
      <c r="I966" s="65" t="str">
        <f ca="1">IF(H966=1,INDEX(Parameter!$B$10:$AB$10,MATCH(C966,Parameter!$B$9:$AB$9,0))+8,"")</f>
        <v/>
      </c>
      <c r="J966" s="65" t="str">
        <f t="array" aca="1" ref="J966" ca="1">IF(H966=1,MATCH(1,(OFFSET(Data!$DY$1:$IB$1,B966-1,0))*(Data!$DY$90:$IB$90=C966),0),"")</f>
        <v/>
      </c>
      <c r="K966" s="65" t="str">
        <f t="array" aca="1" ref="K966" ca="1">IF(H966=1,MATCH(I966,OFFSET(Data!$DX$91:$DX$190,0,Specials!J966)*(Data!$AM$91:$AM$190&gt;Parameter!$B$33)*(Data!$DW$91:$DW$190="W"),0),"")</f>
        <v/>
      </c>
      <c r="L966" s="65" t="str">
        <f ca="1">IF(H966=1,INDEX(Data!$DT$91:$DT$190,$K966)&amp;" / "&amp;OFFSET(Data!$DX$89,0,Specials!J966),"")</f>
        <v/>
      </c>
      <c r="M966" s="65" t="s">
        <v>16</v>
      </c>
      <c r="N966" s="65" t="s">
        <v>255</v>
      </c>
      <c r="O966" s="65" t="e">
        <f t="shared" ca="1" si="64"/>
        <v>#VALUE!</v>
      </c>
      <c r="P966" s="65" t="str">
        <f t="shared" ca="1" si="63"/>
        <v/>
      </c>
    </row>
    <row r="967" spans="1:16" s="65" customFormat="1" hidden="1" x14ac:dyDescent="0.25">
      <c r="A967" s="289" t="str">
        <f>"# Oh dear Women Rating &gt; "&amp;Parameter!$B$33</f>
        <v># Oh dear Women Rating &gt; 600</v>
      </c>
      <c r="B967" s="294">
        <f>MATCH(A967,Data!$DT:$DT,0)</f>
        <v>18</v>
      </c>
      <c r="C967" s="65">
        <f>INDEX(Parameter!$9:$9,,MATCH(20,Parameter!$8:$8,0))</f>
        <v>20</v>
      </c>
      <c r="D967" s="65" t="str">
        <f>INDEX(Parameter!$B$10:$AB$10,MATCH(C967,Parameter!$B$9:$AB$9,0))</f>
        <v>no</v>
      </c>
      <c r="H967" s="65">
        <f ca="1">INDEX(OFFSET(Data!$CS$1:$DS$1,B967-1,0),MATCH("Total/"&amp;C967,Data!$CS$1:$DS$1,0))</f>
        <v>0</v>
      </c>
      <c r="I967" s="65" t="str">
        <f ca="1">IF(H967=1,INDEX(Parameter!$B$10:$AB$10,MATCH(C967,Parameter!$B$9:$AB$9,0))+8,"")</f>
        <v/>
      </c>
      <c r="J967" s="65" t="str">
        <f t="array" aca="1" ref="J967" ca="1">IF(H967=1,MATCH(1,(OFFSET(Data!$DY$1:$IB$1,B967-1,0))*(Data!$DY$90:$IB$90=C967),0),"")</f>
        <v/>
      </c>
      <c r="K967" s="65" t="str">
        <f t="array" aca="1" ref="K967" ca="1">IF(H967=1,MATCH(I967,OFFSET(Data!$DX$91:$DX$190,0,Specials!J967)*(Data!$AM$91:$AM$190&gt;Parameter!$B$33)*(Data!$DW$91:$DW$190="W"),0),"")</f>
        <v/>
      </c>
      <c r="L967" s="65" t="str">
        <f ca="1">IF(H967=1,INDEX(Data!$DT$91:$DT$190,$K967)&amp;" / "&amp;OFFSET(Data!$DX$89,0,Specials!J967),"")</f>
        <v/>
      </c>
      <c r="M967" s="65" t="s">
        <v>16</v>
      </c>
      <c r="N967" s="65" t="s">
        <v>255</v>
      </c>
      <c r="O967" s="65" t="e">
        <f t="shared" ca="1" si="64"/>
        <v>#VALUE!</v>
      </c>
      <c r="P967" s="65" t="str">
        <f t="shared" ca="1" si="63"/>
        <v/>
      </c>
    </row>
    <row r="968" spans="1:16" s="65" customFormat="1" hidden="1" x14ac:dyDescent="0.25">
      <c r="A968" s="289" t="str">
        <f>"# Oh dear Women Rating &gt; "&amp;Parameter!$B$33</f>
        <v># Oh dear Women Rating &gt; 600</v>
      </c>
      <c r="B968" s="294">
        <f>MATCH(A968,Data!$DT:$DT,0)</f>
        <v>18</v>
      </c>
      <c r="C968" s="65">
        <f>INDEX(Parameter!$9:$9,,MATCH(21,Parameter!$8:$8,0))</f>
        <v>21</v>
      </c>
      <c r="D968" s="65" t="str">
        <f>INDEX(Parameter!$B$10:$AB$10,MATCH(C968,Parameter!$B$9:$AB$9,0))</f>
        <v>no</v>
      </c>
      <c r="H968" s="65">
        <f ca="1">INDEX(OFFSET(Data!$CS$1:$DS$1,B968-1,0),MATCH("Total/"&amp;C968,Data!$CS$1:$DS$1,0))</f>
        <v>0</v>
      </c>
      <c r="I968" s="65" t="str">
        <f ca="1">IF(H968=1,INDEX(Parameter!$B$10:$AB$10,MATCH(C968,Parameter!$B$9:$AB$9,0))+8,"")</f>
        <v/>
      </c>
      <c r="J968" s="65" t="str">
        <f t="array" aca="1" ref="J968" ca="1">IF(H968=1,MATCH(1,(OFFSET(Data!$DY$1:$IB$1,B968-1,0))*(Data!$DY$90:$IB$90=C968),0),"")</f>
        <v/>
      </c>
      <c r="K968" s="65" t="str">
        <f t="array" aca="1" ref="K968" ca="1">IF(H968=1,MATCH(I968,OFFSET(Data!$DX$91:$DX$190,0,Specials!J968)*(Data!$AM$91:$AM$190&gt;Parameter!$B$33)*(Data!$DW$91:$DW$190="W"),0),"")</f>
        <v/>
      </c>
      <c r="L968" s="65" t="str">
        <f ca="1">IF(H968=1,INDEX(Data!$DT$91:$DT$190,$K968)&amp;" / "&amp;OFFSET(Data!$DX$89,0,Specials!J968),"")</f>
        <v/>
      </c>
      <c r="M968" s="65" t="s">
        <v>16</v>
      </c>
      <c r="N968" s="65" t="s">
        <v>255</v>
      </c>
      <c r="O968" s="65" t="e">
        <f t="shared" ca="1" si="64"/>
        <v>#VALUE!</v>
      </c>
      <c r="P968" s="65" t="str">
        <f t="shared" ca="1" si="63"/>
        <v/>
      </c>
    </row>
    <row r="969" spans="1:16" s="65" customFormat="1" hidden="1" x14ac:dyDescent="0.25">
      <c r="A969" s="289" t="str">
        <f>"# Oh dear Women Rating &gt; "&amp;Parameter!$B$33</f>
        <v># Oh dear Women Rating &gt; 600</v>
      </c>
      <c r="B969" s="294">
        <f>MATCH(A969,Data!$DT:$DT,0)</f>
        <v>18</v>
      </c>
      <c r="C969" s="65">
        <f>INDEX(Parameter!$9:$9,,MATCH(22,Parameter!$8:$8,0))</f>
        <v>22</v>
      </c>
      <c r="D969" s="65" t="str">
        <f>INDEX(Parameter!$B$10:$AB$10,MATCH(C969,Parameter!$B$9:$AB$9,0))</f>
        <v>no</v>
      </c>
      <c r="H969" s="65">
        <f ca="1">INDEX(OFFSET(Data!$CS$1:$DS$1,B969-1,0),MATCH("Total/"&amp;C969,Data!$CS$1:$DS$1,0))</f>
        <v>0</v>
      </c>
      <c r="I969" s="65" t="str">
        <f ca="1">IF(H969=1,INDEX(Parameter!$B$10:$AB$10,MATCH(C969,Parameter!$B$9:$AB$9,0))+8,"")</f>
        <v/>
      </c>
      <c r="J969" s="65" t="str">
        <f t="array" aca="1" ref="J969" ca="1">IF(H969=1,MATCH(1,(OFFSET(Data!$DY$1:$IB$1,B969-1,0))*(Data!$DY$90:$IB$90=C969),0),"")</f>
        <v/>
      </c>
      <c r="K969" s="65" t="str">
        <f t="array" aca="1" ref="K969" ca="1">IF(H969=1,MATCH(I969,OFFSET(Data!$DX$91:$DX$190,0,Specials!J969)*(Data!$AM$91:$AM$190&gt;Parameter!$B$33)*(Data!$DW$91:$DW$190="W"),0),"")</f>
        <v/>
      </c>
      <c r="L969" s="65" t="str">
        <f ca="1">IF(H969=1,INDEX(Data!$DT$91:$DT$190,$K969)&amp;" / "&amp;OFFSET(Data!$DX$89,0,Specials!J969),"")</f>
        <v/>
      </c>
      <c r="M969" s="65" t="s">
        <v>16</v>
      </c>
      <c r="N969" s="65" t="s">
        <v>255</v>
      </c>
      <c r="O969" s="65" t="e">
        <f t="shared" ca="1" si="64"/>
        <v>#VALUE!</v>
      </c>
      <c r="P969" s="65" t="str">
        <f t="shared" ref="P969:P1028" ca="1" si="65">IF(AND(H969=1,ISERROR(K969)=FALSE),"Only 1 Oh Dear on hole "&amp;C969&amp;" (par "&amp;D969&amp;")","")</f>
        <v/>
      </c>
    </row>
    <row r="970" spans="1:16" s="65" customFormat="1" hidden="1" x14ac:dyDescent="0.25">
      <c r="A970" s="289" t="str">
        <f>"# Oh dear Women Rating &gt; "&amp;Parameter!$B$33</f>
        <v># Oh dear Women Rating &gt; 600</v>
      </c>
      <c r="B970" s="294">
        <f>MATCH(A970,Data!$DT:$DT,0)</f>
        <v>18</v>
      </c>
      <c r="C970" s="65">
        <f>INDEX(Parameter!$9:$9,,MATCH(23,Parameter!$8:$8,0))</f>
        <v>23</v>
      </c>
      <c r="D970" s="65" t="str">
        <f>INDEX(Parameter!$B$10:$AB$10,MATCH(C970,Parameter!$B$9:$AB$9,0))</f>
        <v>no</v>
      </c>
      <c r="H970" s="65">
        <f ca="1">INDEX(OFFSET(Data!$CS$1:$DS$1,B970-1,0),MATCH("Total/"&amp;C970,Data!$CS$1:$DS$1,0))</f>
        <v>0</v>
      </c>
      <c r="I970" s="65" t="str">
        <f ca="1">IF(H970=1,INDEX(Parameter!$B$10:$AB$10,MATCH(C970,Parameter!$B$9:$AB$9,0))+8,"")</f>
        <v/>
      </c>
      <c r="J970" s="65" t="str">
        <f t="array" aca="1" ref="J970" ca="1">IF(H970=1,MATCH(1,(OFFSET(Data!$DY$1:$IB$1,B970-1,0))*(Data!$DY$90:$IB$90=C970),0),"")</f>
        <v/>
      </c>
      <c r="K970" s="65" t="str">
        <f t="array" aca="1" ref="K970" ca="1">IF(H970=1,MATCH(I970,OFFSET(Data!$DX$91:$DX$190,0,Specials!J970)*(Data!$AM$91:$AM$190&gt;Parameter!$B$33)*(Data!$DW$91:$DW$190="W"),0),"")</f>
        <v/>
      </c>
      <c r="L970" s="65" t="str">
        <f ca="1">IF(H970=1,INDEX(Data!$DT$91:$DT$190,$K970)&amp;" / "&amp;OFFSET(Data!$DX$89,0,Specials!J970),"")</f>
        <v/>
      </c>
      <c r="M970" s="65" t="s">
        <v>16</v>
      </c>
      <c r="N970" s="65" t="s">
        <v>255</v>
      </c>
      <c r="O970" s="65" t="e">
        <f t="shared" ca="1" si="64"/>
        <v>#VALUE!</v>
      </c>
      <c r="P970" s="65" t="str">
        <f t="shared" ca="1" si="65"/>
        <v/>
      </c>
    </row>
    <row r="971" spans="1:16" s="65" customFormat="1" hidden="1" x14ac:dyDescent="0.25">
      <c r="A971" s="289" t="str">
        <f>"# Oh dear Women Rating &gt; "&amp;Parameter!$B$33</f>
        <v># Oh dear Women Rating &gt; 600</v>
      </c>
      <c r="B971" s="294">
        <f>MATCH(A971,Data!$DT:$DT,0)</f>
        <v>18</v>
      </c>
      <c r="C971" s="65">
        <f>INDEX(Parameter!$9:$9,,MATCH(24,Parameter!$8:$8,0))</f>
        <v>24</v>
      </c>
      <c r="D971" s="65" t="str">
        <f>INDEX(Parameter!$B$10:$AB$10,MATCH(C971,Parameter!$B$9:$AB$9,0))</f>
        <v>no</v>
      </c>
      <c r="H971" s="65">
        <f ca="1">INDEX(OFFSET(Data!$CS$1:$DS$1,B971-1,0),MATCH("Total/"&amp;C971,Data!$CS$1:$DS$1,0))</f>
        <v>0</v>
      </c>
      <c r="I971" s="65" t="str">
        <f ca="1">IF(H971=1,INDEX(Parameter!$B$10:$AB$10,MATCH(C971,Parameter!$B$9:$AB$9,0))+8,"")</f>
        <v/>
      </c>
      <c r="J971" s="65" t="str">
        <f t="array" aca="1" ref="J971" ca="1">IF(H971=1,MATCH(1,(OFFSET(Data!$DY$1:$IB$1,B971-1,0))*(Data!$DY$90:$IB$90=C971),0),"")</f>
        <v/>
      </c>
      <c r="K971" s="65" t="str">
        <f t="array" aca="1" ref="K971" ca="1">IF(H971=1,MATCH(I971,OFFSET(Data!$DX$91:$DX$190,0,Specials!J971)*(Data!$AM$91:$AM$190&gt;Parameter!$B$33)*(Data!$DW$91:$DW$190="W"),0),"")</f>
        <v/>
      </c>
      <c r="L971" s="65" t="str">
        <f ca="1">IF(H971=1,INDEX(Data!$DT$91:$DT$190,$K971)&amp;" / "&amp;OFFSET(Data!$DX$89,0,Specials!J971),"")</f>
        <v/>
      </c>
      <c r="M971" s="65" t="s">
        <v>16</v>
      </c>
      <c r="N971" s="65" t="s">
        <v>255</v>
      </c>
      <c r="O971" s="65" t="e">
        <f t="shared" ca="1" si="64"/>
        <v>#VALUE!</v>
      </c>
      <c r="P971" s="65" t="str">
        <f t="shared" ca="1" si="65"/>
        <v/>
      </c>
    </row>
    <row r="972" spans="1:16" s="65" customFormat="1" hidden="1" x14ac:dyDescent="0.25">
      <c r="A972" s="289" t="str">
        <f>"# Oh dear Women Rating &gt; "&amp;Parameter!$B$33</f>
        <v># Oh dear Women Rating &gt; 600</v>
      </c>
      <c r="B972" s="294">
        <f>MATCH(A972,Data!$DT:$DT,0)</f>
        <v>18</v>
      </c>
      <c r="C972" s="65">
        <f>INDEX(Parameter!$9:$9,,MATCH(25,Parameter!$8:$8,0))</f>
        <v>25</v>
      </c>
      <c r="D972" s="65" t="str">
        <f>INDEX(Parameter!$B$10:$AB$10,MATCH(C972,Parameter!$B$9:$AB$9,0))</f>
        <v>no</v>
      </c>
      <c r="H972" s="65">
        <f ca="1">INDEX(OFFSET(Data!$CS$1:$DS$1,B972-1,0),MATCH("Total/"&amp;C972,Data!$CS$1:$DS$1,0))</f>
        <v>0</v>
      </c>
      <c r="I972" s="65" t="str">
        <f ca="1">IF(H972=1,INDEX(Parameter!$B$10:$AB$10,MATCH(C972,Parameter!$B$9:$AB$9,0))+8,"")</f>
        <v/>
      </c>
      <c r="J972" s="65" t="str">
        <f t="array" aca="1" ref="J972" ca="1">IF(H972=1,MATCH(1,(OFFSET(Data!$DY$1:$IB$1,B972-1,0))*(Data!$DY$90:$IB$90=C972),0),"")</f>
        <v/>
      </c>
      <c r="K972" s="65" t="str">
        <f t="array" aca="1" ref="K972" ca="1">IF(H972=1,MATCH(I972,OFFSET(Data!$DX$91:$DX$190,0,Specials!J972)*(Data!$AM$91:$AM$190&gt;Parameter!$B$33)*(Data!$DW$91:$DW$190="W"),0),"")</f>
        <v/>
      </c>
      <c r="L972" s="65" t="str">
        <f ca="1">IF(H972=1,INDEX(Data!$DT$91:$DT$190,$K972)&amp;" / "&amp;OFFSET(Data!$DX$89,0,Specials!J972),"")</f>
        <v/>
      </c>
      <c r="M972" s="65" t="s">
        <v>16</v>
      </c>
      <c r="N972" s="65" t="s">
        <v>255</v>
      </c>
      <c r="O972" s="65" t="e">
        <f t="shared" ca="1" si="64"/>
        <v>#VALUE!</v>
      </c>
      <c r="P972" s="65" t="str">
        <f t="shared" ca="1" si="65"/>
        <v/>
      </c>
    </row>
    <row r="973" spans="1:16" s="65" customFormat="1" hidden="1" x14ac:dyDescent="0.25">
      <c r="A973" s="289" t="str">
        <f>"# Oh dear Women Rating &gt; "&amp;Parameter!$B$33</f>
        <v># Oh dear Women Rating &gt; 600</v>
      </c>
      <c r="B973" s="294">
        <f>MATCH(A973,Data!$DT:$DT,0)</f>
        <v>18</v>
      </c>
      <c r="C973" s="65">
        <f>INDEX(Parameter!$9:$9,,MATCH(26,Parameter!$8:$8,0))</f>
        <v>26</v>
      </c>
      <c r="D973" s="65" t="str">
        <f>INDEX(Parameter!$B$10:$AB$10,MATCH(C973,Parameter!$B$9:$AB$9,0))</f>
        <v>no</v>
      </c>
      <c r="H973" s="65">
        <f ca="1">INDEX(OFFSET(Data!$CS$1:$DS$1,B973-1,0),MATCH("Total/"&amp;C973,Data!$CS$1:$DS$1,0))</f>
        <v>0</v>
      </c>
      <c r="I973" s="65" t="str">
        <f ca="1">IF(H973=1,INDEX(Parameter!$B$10:$AB$10,MATCH(C973,Parameter!$B$9:$AB$9,0))+8,"")</f>
        <v/>
      </c>
      <c r="J973" s="65" t="str">
        <f t="array" aca="1" ref="J973" ca="1">IF(H973=1,MATCH(1,(OFFSET(Data!$DY$1:$IB$1,B973-1,0))*(Data!$DY$90:$IB$90=C973),0),"")</f>
        <v/>
      </c>
      <c r="K973" s="65" t="str">
        <f t="array" aca="1" ref="K973" ca="1">IF(H973=1,MATCH(I973,OFFSET(Data!$DX$91:$DX$190,0,Specials!J973)*(Data!$AM$91:$AM$190&gt;Parameter!$B$33)*(Data!$DW$91:$DW$190="W"),0),"")</f>
        <v/>
      </c>
      <c r="L973" s="65" t="str">
        <f ca="1">IF(H973=1,INDEX(Data!$DT$91:$DT$190,$K973)&amp;" / "&amp;OFFSET(Data!$DX$89,0,Specials!J973),"")</f>
        <v/>
      </c>
      <c r="M973" s="65" t="s">
        <v>16</v>
      </c>
      <c r="N973" s="65" t="s">
        <v>255</v>
      </c>
      <c r="O973" s="65" t="e">
        <f t="shared" ca="1" si="64"/>
        <v>#VALUE!</v>
      </c>
      <c r="P973" s="65" t="str">
        <f t="shared" ca="1" si="65"/>
        <v/>
      </c>
    </row>
    <row r="974" spans="1:16" s="65" customFormat="1" hidden="1" x14ac:dyDescent="0.25">
      <c r="A974" s="289" t="str">
        <f>"# Oh dear Women Rating &gt; "&amp;Parameter!$B$33</f>
        <v># Oh dear Women Rating &gt; 600</v>
      </c>
      <c r="B974" s="294">
        <f>MATCH(A974,Data!$DT:$DT,0)</f>
        <v>18</v>
      </c>
      <c r="C974" s="65">
        <f>INDEX(Parameter!$9:$9,,MATCH(27,Parameter!$8:$8,0))</f>
        <v>27</v>
      </c>
      <c r="D974" s="65" t="str">
        <f>INDEX(Parameter!$B$10:$AB$10,MATCH(C974,Parameter!$B$9:$AB$9,0))</f>
        <v>no</v>
      </c>
      <c r="H974" s="65">
        <f ca="1">INDEX(OFFSET(Data!$CS$1:$DS$1,B974-1,0),MATCH("Total/"&amp;C974,Data!$CS$1:$DS$1,0))</f>
        <v>0</v>
      </c>
      <c r="I974" s="65" t="str">
        <f ca="1">IF(H974=1,INDEX(Parameter!$B$10:$AB$10,MATCH(C974,Parameter!$B$9:$AB$9,0))+8,"")</f>
        <v/>
      </c>
      <c r="J974" s="65" t="str">
        <f t="array" aca="1" ref="J974" ca="1">IF(H974=1,MATCH(1,(OFFSET(Data!$DY$1:$IB$1,B974-1,0))*(Data!$DY$90:$IB$90=C974),0),"")</f>
        <v/>
      </c>
      <c r="K974" s="65" t="str">
        <f t="array" aca="1" ref="K974" ca="1">IF(H974=1,MATCH(I974,OFFSET(Data!$DX$91:$DX$190,0,Specials!J974)*(Data!$AM$91:$AM$190&gt;Parameter!$B$33)*(Data!$DW$91:$DW$190="W"),0),"")</f>
        <v/>
      </c>
      <c r="L974" s="65" t="str">
        <f ca="1">IF(H974=1,INDEX(Data!$DT$91:$DT$190,$K974)&amp;" / "&amp;OFFSET(Data!$DX$89,0,Specials!J974),"")</f>
        <v/>
      </c>
      <c r="M974" s="65" t="s">
        <v>16</v>
      </c>
      <c r="N974" s="65" t="s">
        <v>255</v>
      </c>
      <c r="O974" s="65" t="e">
        <f t="shared" ca="1" si="64"/>
        <v>#VALUE!</v>
      </c>
      <c r="P974" s="65" t="str">
        <f t="shared" ca="1" si="65"/>
        <v/>
      </c>
    </row>
    <row r="975" spans="1:16" s="65" customFormat="1" ht="15" hidden="1" customHeight="1" x14ac:dyDescent="0.25">
      <c r="A975" s="289" t="str">
        <f>"# Oh dear Women Rating &gt; "&amp;Parameter!$B$33</f>
        <v># Oh dear Women Rating &gt; 600</v>
      </c>
      <c r="B975" s="294">
        <f>MATCH(A975,Data!$DT:$DT,0)</f>
        <v>18</v>
      </c>
      <c r="C975" s="65">
        <f>INDEX(Parameter!$9:$9,,MATCH(1,Parameter!$8:$8,0))</f>
        <v>1</v>
      </c>
      <c r="D975" s="65">
        <f>INDEX(Parameter!$B$10:$AB$10,MATCH(C975,Parameter!$B$9:$AB$9,0))</f>
        <v>3</v>
      </c>
      <c r="H975" s="65">
        <f ca="1">INDEX(OFFSET(Data!$CS$1:$DS$1,B975-1,0),MATCH("Total/"&amp;C975,Data!$CS$1:$DS$1,0))</f>
        <v>0</v>
      </c>
      <c r="I975" s="65" t="str">
        <f ca="1">IF(H975=1,INDEX(Parameter!$B$10:$AB$10,MATCH(C975,Parameter!$B$9:$AB$9,0))+9,"")</f>
        <v/>
      </c>
      <c r="J975" s="65" t="str">
        <f t="array" aca="1" ref="J975" ca="1">IF(H975=1,MATCH(1,(OFFSET(Data!$DY$1:$IB$1,B975-1,0))*(Data!$DY$90:$IB$90=C975),0),"")</f>
        <v/>
      </c>
      <c r="K975" s="65" t="str">
        <f t="array" aca="1" ref="K975" ca="1">IF(H975=1,MATCH(I975,OFFSET(Data!$DX$91:$DX$190,0,Specials!J975)*(Data!$AM$91:$AM$190&gt;Parameter!$B$33)*(Data!$DW$91:$DW$190="W"),0),"")</f>
        <v/>
      </c>
      <c r="L975" s="65" t="str">
        <f ca="1">IF(H975=1,INDEX(Data!$DT$91:$DT$190,$K975)&amp;" / "&amp;OFFSET(Data!$DX$89,0,Specials!J975),"")</f>
        <v/>
      </c>
      <c r="M975" s="65" t="s">
        <v>16</v>
      </c>
      <c r="N975" s="65" t="s">
        <v>255</v>
      </c>
      <c r="O975" s="65" t="e">
        <f t="shared" ca="1" si="64"/>
        <v>#VALUE!</v>
      </c>
      <c r="P975" s="65" t="str">
        <f t="shared" ca="1" si="65"/>
        <v/>
      </c>
    </row>
    <row r="976" spans="1:16" s="65" customFormat="1" hidden="1" x14ac:dyDescent="0.25">
      <c r="A976" s="289" t="str">
        <f>"# Oh dear Women Rating &gt; "&amp;Parameter!$B$33</f>
        <v># Oh dear Women Rating &gt; 600</v>
      </c>
      <c r="B976" s="294">
        <f>MATCH(A976,Data!$DT:$DT,0)</f>
        <v>18</v>
      </c>
      <c r="C976" s="65">
        <f>INDEX(Parameter!$9:$9,,MATCH(2,Parameter!$8:$8,0))</f>
        <v>2</v>
      </c>
      <c r="D976" s="65">
        <f>INDEX(Parameter!$B$10:$AB$10,MATCH(C976,Parameter!$B$9:$AB$9,0))</f>
        <v>3</v>
      </c>
      <c r="H976" s="65">
        <f ca="1">INDEX(OFFSET(Data!$CS$1:$DS$1,B976-1,0),MATCH("Total/"&amp;C976,Data!$CS$1:$DS$1,0))</f>
        <v>0</v>
      </c>
      <c r="I976" s="65" t="str">
        <f ca="1">IF(H976=1,INDEX(Parameter!$B$10:$AB$10,MATCH(C976,Parameter!$B$9:$AB$9,0))+9,"")</f>
        <v/>
      </c>
      <c r="J976" s="65" t="str">
        <f t="array" aca="1" ref="J976" ca="1">IF(H976=1,MATCH(1,(OFFSET(Data!$DY$1:$IB$1,B976-1,0))*(Data!$DY$90:$IB$90=C976),0),"")</f>
        <v/>
      </c>
      <c r="K976" s="65" t="str">
        <f t="array" aca="1" ref="K976" ca="1">IF(H976=1,MATCH(I976,OFFSET(Data!$DX$91:$DX$190,0,Specials!J976)*(Data!$AM$91:$AM$190&gt;Parameter!$B$33)*(Data!$DW$91:$DW$190="W"),0),"")</f>
        <v/>
      </c>
      <c r="L976" s="65" t="str">
        <f ca="1">IF(H976=1,INDEX(Data!$DT$91:$DT$190,$K976)&amp;" / "&amp;OFFSET(Data!$DX$89,0,Specials!J976),"")</f>
        <v/>
      </c>
      <c r="M976" s="65" t="s">
        <v>16</v>
      </c>
      <c r="N976" s="65" t="s">
        <v>255</v>
      </c>
      <c r="O976" s="65" t="e">
        <f t="shared" ca="1" si="64"/>
        <v>#VALUE!</v>
      </c>
      <c r="P976" s="65" t="str">
        <f t="shared" ca="1" si="65"/>
        <v/>
      </c>
    </row>
    <row r="977" spans="1:16" s="65" customFormat="1" hidden="1" x14ac:dyDescent="0.25">
      <c r="A977" s="289" t="str">
        <f>"# Oh dear Women Rating &gt; "&amp;Parameter!$B$33</f>
        <v># Oh dear Women Rating &gt; 600</v>
      </c>
      <c r="B977" s="294">
        <f>MATCH(A977,Data!$DT:$DT,0)</f>
        <v>18</v>
      </c>
      <c r="C977" s="65">
        <f>INDEX(Parameter!$9:$9,,MATCH(3,Parameter!$8:$8,0))</f>
        <v>3</v>
      </c>
      <c r="D977" s="65">
        <f>INDEX(Parameter!$B$10:$AB$10,MATCH(C977,Parameter!$B$9:$AB$9,0))</f>
        <v>3</v>
      </c>
      <c r="H977" s="65">
        <f ca="1">INDEX(OFFSET(Data!$CS$1:$DS$1,B977-1,0),MATCH("Total/"&amp;C977,Data!$CS$1:$DS$1,0))</f>
        <v>0</v>
      </c>
      <c r="I977" s="65" t="str">
        <f ca="1">IF(H977=1,INDEX(Parameter!$B$10:$AB$10,MATCH(C977,Parameter!$B$9:$AB$9,0))+9,"")</f>
        <v/>
      </c>
      <c r="J977" s="65" t="str">
        <f t="array" aca="1" ref="J977" ca="1">IF(H977=1,MATCH(1,(OFFSET(Data!$DY$1:$IB$1,B977-1,0))*(Data!$DY$90:$IB$90=C977),0),"")</f>
        <v/>
      </c>
      <c r="K977" s="65" t="str">
        <f t="array" aca="1" ref="K977" ca="1">IF(H977=1,MATCH(I977,OFFSET(Data!$DX$91:$DX$190,0,Specials!J977)*(Data!$AM$91:$AM$190&gt;Parameter!$B$33)*(Data!$DW$91:$DW$190="W"),0),"")</f>
        <v/>
      </c>
      <c r="L977" s="65" t="str">
        <f ca="1">IF(H977=1,INDEX(Data!$DT$91:$DT$190,$K977)&amp;" / "&amp;OFFSET(Data!$DX$89,0,Specials!J977),"")</f>
        <v/>
      </c>
      <c r="M977" s="65" t="s">
        <v>16</v>
      </c>
      <c r="N977" s="65" t="s">
        <v>255</v>
      </c>
      <c r="O977" s="65" t="e">
        <f t="shared" ca="1" si="64"/>
        <v>#VALUE!</v>
      </c>
      <c r="P977" s="65" t="str">
        <f t="shared" ca="1" si="65"/>
        <v/>
      </c>
    </row>
    <row r="978" spans="1:16" s="65" customFormat="1" hidden="1" x14ac:dyDescent="0.25">
      <c r="A978" s="289" t="str">
        <f>"# Oh dear Women Rating &gt; "&amp;Parameter!$B$33</f>
        <v># Oh dear Women Rating &gt; 600</v>
      </c>
      <c r="B978" s="294">
        <f>MATCH(A978,Data!$DT:$DT,0)</f>
        <v>18</v>
      </c>
      <c r="C978" s="65">
        <f>INDEX(Parameter!$9:$9,,MATCH(4,Parameter!$8:$8,0))</f>
        <v>4</v>
      </c>
      <c r="D978" s="65">
        <f>INDEX(Parameter!$B$10:$AB$10,MATCH(C978,Parameter!$B$9:$AB$9,0))</f>
        <v>3</v>
      </c>
      <c r="H978" s="65">
        <f ca="1">INDEX(OFFSET(Data!$CS$1:$DS$1,B978-1,0),MATCH("Total/"&amp;C978,Data!$CS$1:$DS$1,0))</f>
        <v>0</v>
      </c>
      <c r="I978" s="65" t="str">
        <f ca="1">IF(H978=1,INDEX(Parameter!$B$10:$AB$10,MATCH(C978,Parameter!$B$9:$AB$9,0))+9,"")</f>
        <v/>
      </c>
      <c r="J978" s="65" t="str">
        <f t="array" aca="1" ref="J978" ca="1">IF(H978=1,MATCH(1,(OFFSET(Data!$DY$1:$IB$1,B978-1,0))*(Data!$DY$90:$IB$90=C978),0),"")</f>
        <v/>
      </c>
      <c r="K978" s="65" t="str">
        <f t="array" aca="1" ref="K978" ca="1">IF(H978=1,MATCH(I978,OFFSET(Data!$DX$91:$DX$190,0,Specials!J978)*(Data!$AM$91:$AM$190&gt;Parameter!$B$33)*(Data!$DW$91:$DW$190="W"),0),"")</f>
        <v/>
      </c>
      <c r="L978" s="65" t="str">
        <f ca="1">IF(H978=1,INDEX(Data!$DT$91:$DT$190,$K978)&amp;" / "&amp;OFFSET(Data!$DX$89,0,Specials!J978),"")</f>
        <v/>
      </c>
      <c r="M978" s="65" t="s">
        <v>16</v>
      </c>
      <c r="N978" s="65" t="s">
        <v>255</v>
      </c>
      <c r="O978" s="65" t="e">
        <f t="shared" ca="1" si="64"/>
        <v>#VALUE!</v>
      </c>
      <c r="P978" s="65" t="str">
        <f t="shared" ca="1" si="65"/>
        <v/>
      </c>
    </row>
    <row r="979" spans="1:16" s="65" customFormat="1" hidden="1" x14ac:dyDescent="0.25">
      <c r="A979" s="289" t="str">
        <f>"# Oh dear Women Rating &gt; "&amp;Parameter!$B$33</f>
        <v># Oh dear Women Rating &gt; 600</v>
      </c>
      <c r="B979" s="294">
        <f>MATCH(A979,Data!$DT:$DT,0)</f>
        <v>18</v>
      </c>
      <c r="C979" s="65">
        <f>INDEX(Parameter!$9:$9,,MATCH(5,Parameter!$8:$8,0))</f>
        <v>5</v>
      </c>
      <c r="D979" s="65">
        <f>INDEX(Parameter!$B$10:$AB$10,MATCH(C979,Parameter!$B$9:$AB$9,0))</f>
        <v>4</v>
      </c>
      <c r="H979" s="65">
        <f ca="1">INDEX(OFFSET(Data!$CS$1:$DS$1,B979-1,0),MATCH("Total/"&amp;C979,Data!$CS$1:$DS$1,0))</f>
        <v>0</v>
      </c>
      <c r="I979" s="65" t="str">
        <f ca="1">IF(H979=1,INDEX(Parameter!$B$10:$AB$10,MATCH(C979,Parameter!$B$9:$AB$9,0))+9,"")</f>
        <v/>
      </c>
      <c r="J979" s="65" t="str">
        <f t="array" aca="1" ref="J979" ca="1">IF(H979=1,MATCH(1,(OFFSET(Data!$DY$1:$IB$1,B979-1,0))*(Data!$DY$90:$IB$90=C979),0),"")</f>
        <v/>
      </c>
      <c r="K979" s="65" t="str">
        <f t="array" aca="1" ref="K979" ca="1">IF(H979=1,MATCH(I979,OFFSET(Data!$DX$91:$DX$190,0,Specials!J979)*(Data!$AM$91:$AM$190&gt;Parameter!$B$33)*(Data!$DW$91:$DW$190="W"),0),"")</f>
        <v/>
      </c>
      <c r="L979" s="65" t="str">
        <f ca="1">IF(H979=1,INDEX(Data!$DT$91:$DT$190,$K979)&amp;" / "&amp;OFFSET(Data!$DX$89,0,Specials!J979),"")</f>
        <v/>
      </c>
      <c r="M979" s="65" t="s">
        <v>16</v>
      </c>
      <c r="N979" s="65" t="s">
        <v>255</v>
      </c>
      <c r="O979" s="65" t="e">
        <f t="shared" ca="1" si="64"/>
        <v>#VALUE!</v>
      </c>
      <c r="P979" s="65" t="str">
        <f t="shared" ca="1" si="65"/>
        <v/>
      </c>
    </row>
    <row r="980" spans="1:16" s="65" customFormat="1" hidden="1" x14ac:dyDescent="0.25">
      <c r="A980" s="289" t="str">
        <f>"# Oh dear Women Rating &gt; "&amp;Parameter!$B$33</f>
        <v># Oh dear Women Rating &gt; 600</v>
      </c>
      <c r="B980" s="294">
        <f>MATCH(A980,Data!$DT:$DT,0)</f>
        <v>18</v>
      </c>
      <c r="C980" s="65">
        <f>INDEX(Parameter!$9:$9,,MATCH(6,Parameter!$8:$8,0))</f>
        <v>6</v>
      </c>
      <c r="D980" s="65">
        <f>INDEX(Parameter!$B$10:$AB$10,MATCH(C980,Parameter!$B$9:$AB$9,0))</f>
        <v>3</v>
      </c>
      <c r="H980" s="65">
        <f ca="1">INDEX(OFFSET(Data!$CS$1:$DS$1,B980-1,0),MATCH("Total/"&amp;C980,Data!$CS$1:$DS$1,0))</f>
        <v>0</v>
      </c>
      <c r="I980" s="65" t="str">
        <f ca="1">IF(H980=1,INDEX(Parameter!$B$10:$AB$10,MATCH(C980,Parameter!$B$9:$AB$9,0))+9,"")</f>
        <v/>
      </c>
      <c r="J980" s="65" t="str">
        <f t="array" aca="1" ref="J980" ca="1">IF(H980=1,MATCH(1,(OFFSET(Data!$DY$1:$IB$1,B980-1,0))*(Data!$DY$90:$IB$90=C980),0),"")</f>
        <v/>
      </c>
      <c r="K980" s="65" t="str">
        <f t="array" aca="1" ref="K980" ca="1">IF(H980=1,MATCH(I980,OFFSET(Data!$DX$91:$DX$190,0,Specials!J980)*(Data!$AM$91:$AM$190&gt;Parameter!$B$33)*(Data!$DW$91:$DW$190="W"),0),"")</f>
        <v/>
      </c>
      <c r="L980" s="65" t="str">
        <f ca="1">IF(H980=1,INDEX(Data!$DT$91:$DT$190,$K980)&amp;" / "&amp;OFFSET(Data!$DX$89,0,Specials!J980),"")</f>
        <v/>
      </c>
      <c r="M980" s="65" t="s">
        <v>16</v>
      </c>
      <c r="N980" s="65" t="s">
        <v>255</v>
      </c>
      <c r="O980" s="65" t="e">
        <f t="shared" ca="1" si="64"/>
        <v>#VALUE!</v>
      </c>
      <c r="P980" s="65" t="str">
        <f t="shared" ca="1" si="65"/>
        <v/>
      </c>
    </row>
    <row r="981" spans="1:16" s="65" customFormat="1" hidden="1" x14ac:dyDescent="0.25">
      <c r="A981" s="289" t="str">
        <f>"# Oh dear Women Rating &gt; "&amp;Parameter!$B$33</f>
        <v># Oh dear Women Rating &gt; 600</v>
      </c>
      <c r="B981" s="294">
        <f>MATCH(A981,Data!$DT:$DT,0)</f>
        <v>18</v>
      </c>
      <c r="C981" s="65">
        <f>INDEX(Parameter!$9:$9,,MATCH(7,Parameter!$8:$8,0))</f>
        <v>7</v>
      </c>
      <c r="D981" s="65">
        <f>INDEX(Parameter!$B$10:$AB$10,MATCH(C981,Parameter!$B$9:$AB$9,0))</f>
        <v>3</v>
      </c>
      <c r="H981" s="65">
        <f ca="1">INDEX(OFFSET(Data!$CS$1:$DS$1,B981-1,0),MATCH("Total/"&amp;C981,Data!$CS$1:$DS$1,0))</f>
        <v>0</v>
      </c>
      <c r="I981" s="65" t="str">
        <f ca="1">IF(H981=1,INDEX(Parameter!$B$10:$AB$10,MATCH(C981,Parameter!$B$9:$AB$9,0))+9,"")</f>
        <v/>
      </c>
      <c r="J981" s="65" t="str">
        <f t="array" aca="1" ref="J981" ca="1">IF(H981=1,MATCH(1,(OFFSET(Data!$DY$1:$IB$1,B981-1,0))*(Data!$DY$90:$IB$90=C981),0),"")</f>
        <v/>
      </c>
      <c r="K981" s="65" t="str">
        <f t="array" aca="1" ref="K981" ca="1">IF(H981=1,MATCH(I981,OFFSET(Data!$DX$91:$DX$190,0,Specials!J981)*(Data!$AM$91:$AM$190&gt;Parameter!$B$33)*(Data!$DW$91:$DW$190="W"),0),"")</f>
        <v/>
      </c>
      <c r="L981" s="65" t="str">
        <f ca="1">IF(H981=1,INDEX(Data!$DT$91:$DT$190,$K981)&amp;" / "&amp;OFFSET(Data!$DX$89,0,Specials!J981),"")</f>
        <v/>
      </c>
      <c r="M981" s="65" t="s">
        <v>16</v>
      </c>
      <c r="N981" s="65" t="s">
        <v>255</v>
      </c>
      <c r="O981" s="65" t="e">
        <f t="shared" ca="1" si="64"/>
        <v>#VALUE!</v>
      </c>
      <c r="P981" s="65" t="str">
        <f t="shared" ca="1" si="65"/>
        <v/>
      </c>
    </row>
    <row r="982" spans="1:16" s="65" customFormat="1" hidden="1" x14ac:dyDescent="0.25">
      <c r="A982" s="289" t="str">
        <f>"# Oh dear Women Rating &gt; "&amp;Parameter!$B$33</f>
        <v># Oh dear Women Rating &gt; 600</v>
      </c>
      <c r="B982" s="294">
        <f>MATCH(A982,Data!$DT:$DT,0)</f>
        <v>18</v>
      </c>
      <c r="C982" s="65">
        <f>INDEX(Parameter!$9:$9,,MATCH(8,Parameter!$8:$8,0))</f>
        <v>8</v>
      </c>
      <c r="D982" s="65">
        <f>INDEX(Parameter!$B$10:$AB$10,MATCH(C982,Parameter!$B$9:$AB$9,0))</f>
        <v>3</v>
      </c>
      <c r="H982" s="65">
        <f ca="1">INDEX(OFFSET(Data!$CS$1:$DS$1,B982-1,0),MATCH("Total/"&amp;C982,Data!$CS$1:$DS$1,0))</f>
        <v>0</v>
      </c>
      <c r="I982" s="65" t="str">
        <f ca="1">IF(H982=1,INDEX(Parameter!$B$10:$AB$10,MATCH(C982,Parameter!$B$9:$AB$9,0))+9,"")</f>
        <v/>
      </c>
      <c r="J982" s="65" t="str">
        <f t="array" aca="1" ref="J982" ca="1">IF(H982=1,MATCH(1,(OFFSET(Data!$DY$1:$IB$1,B982-1,0))*(Data!$DY$90:$IB$90=C982),0),"")</f>
        <v/>
      </c>
      <c r="K982" s="65" t="str">
        <f t="array" aca="1" ref="K982" ca="1">IF(H982=1,MATCH(I982,OFFSET(Data!$DX$91:$DX$190,0,Specials!J982)*(Data!$AM$91:$AM$190&gt;Parameter!$B$33)*(Data!$DW$91:$DW$190="W"),0),"")</f>
        <v/>
      </c>
      <c r="L982" s="65" t="str">
        <f ca="1">IF(H982=1,INDEX(Data!$DT$91:$DT$190,$K982)&amp;" / "&amp;OFFSET(Data!$DX$89,0,Specials!J982),"")</f>
        <v/>
      </c>
      <c r="M982" s="65" t="s">
        <v>16</v>
      </c>
      <c r="N982" s="65" t="s">
        <v>255</v>
      </c>
      <c r="O982" s="65" t="e">
        <f t="shared" ca="1" si="64"/>
        <v>#VALUE!</v>
      </c>
      <c r="P982" s="65" t="str">
        <f t="shared" ca="1" si="65"/>
        <v/>
      </c>
    </row>
    <row r="983" spans="1:16" s="65" customFormat="1" hidden="1" x14ac:dyDescent="0.25">
      <c r="A983" s="289" t="str">
        <f>"# Oh dear Women Rating &gt; "&amp;Parameter!$B$33</f>
        <v># Oh dear Women Rating &gt; 600</v>
      </c>
      <c r="B983" s="294">
        <f>MATCH(A983,Data!$DT:$DT,0)</f>
        <v>18</v>
      </c>
      <c r="C983" s="65">
        <f>INDEX(Parameter!$9:$9,,MATCH(9,Parameter!$8:$8,0))</f>
        <v>9</v>
      </c>
      <c r="D983" s="65">
        <f>INDEX(Parameter!$B$10:$AB$10,MATCH(C983,Parameter!$B$9:$AB$9,0))</f>
        <v>4</v>
      </c>
      <c r="H983" s="65">
        <f ca="1">INDEX(OFFSET(Data!$CS$1:$DS$1,B983-1,0),MATCH("Total/"&amp;C983,Data!$CS$1:$DS$1,0))</f>
        <v>0</v>
      </c>
      <c r="I983" s="65" t="str">
        <f ca="1">IF(H983=1,INDEX(Parameter!$B$10:$AB$10,MATCH(C983,Parameter!$B$9:$AB$9,0))+9,"")</f>
        <v/>
      </c>
      <c r="J983" s="65" t="str">
        <f t="array" aca="1" ref="J983" ca="1">IF(H983=1,MATCH(1,(OFFSET(Data!$DY$1:$IB$1,B983-1,0))*(Data!$DY$90:$IB$90=C983),0),"")</f>
        <v/>
      </c>
      <c r="K983" s="65" t="str">
        <f t="array" aca="1" ref="K983" ca="1">IF(H983=1,MATCH(I983,OFFSET(Data!$DX$91:$DX$190,0,Specials!J983)*(Data!$AM$91:$AM$190&gt;Parameter!$B$33)*(Data!$DW$91:$DW$190="W"),0),"")</f>
        <v/>
      </c>
      <c r="L983" s="65" t="str">
        <f ca="1">IF(H983=1,INDEX(Data!$DT$91:$DT$190,$K983)&amp;" / "&amp;OFFSET(Data!$DX$89,0,Specials!J983),"")</f>
        <v/>
      </c>
      <c r="M983" s="65" t="s">
        <v>16</v>
      </c>
      <c r="N983" s="65" t="s">
        <v>255</v>
      </c>
      <c r="O983" s="65" t="e">
        <f t="shared" ca="1" si="64"/>
        <v>#VALUE!</v>
      </c>
      <c r="P983" s="65" t="str">
        <f t="shared" ca="1" si="65"/>
        <v/>
      </c>
    </row>
    <row r="984" spans="1:16" s="65" customFormat="1" hidden="1" x14ac:dyDescent="0.25">
      <c r="A984" s="289" t="str">
        <f>"# Oh dear Women Rating &gt; "&amp;Parameter!$B$33</f>
        <v># Oh dear Women Rating &gt; 600</v>
      </c>
      <c r="B984" s="294">
        <f>MATCH(A984,Data!$DT:$DT,0)</f>
        <v>18</v>
      </c>
      <c r="C984" s="65">
        <f>INDEX(Parameter!$9:$9,,MATCH(10,Parameter!$8:$8,0))</f>
        <v>10</v>
      </c>
      <c r="D984" s="65">
        <f>INDEX(Parameter!$B$10:$AB$10,MATCH(C984,Parameter!$B$9:$AB$9,0))</f>
        <v>4</v>
      </c>
      <c r="H984" s="65">
        <f ca="1">INDEX(OFFSET(Data!$CS$1:$DS$1,B984-1,0),MATCH("Total/"&amp;C984,Data!$CS$1:$DS$1,0))</f>
        <v>0</v>
      </c>
      <c r="I984" s="65" t="str">
        <f ca="1">IF(H984=1,INDEX(Parameter!$B$10:$AB$10,MATCH(C984,Parameter!$B$9:$AB$9,0))+9,"")</f>
        <v/>
      </c>
      <c r="J984" s="65" t="str">
        <f t="array" aca="1" ref="J984" ca="1">IF(H984=1,MATCH(1,(OFFSET(Data!$DY$1:$IB$1,B984-1,0))*(Data!$DY$90:$IB$90=C984),0),"")</f>
        <v/>
      </c>
      <c r="K984" s="65" t="str">
        <f t="array" aca="1" ref="K984" ca="1">IF(H984=1,MATCH(I984,OFFSET(Data!$DX$91:$DX$190,0,Specials!J984)*(Data!$AM$91:$AM$190&gt;Parameter!$B$33)*(Data!$DW$91:$DW$190="W"),0),"")</f>
        <v/>
      </c>
      <c r="L984" s="65" t="str">
        <f ca="1">IF(H984=1,INDEX(Data!$DT$91:$DT$190,$K984)&amp;" / "&amp;OFFSET(Data!$DX$89,0,Specials!J984),"")</f>
        <v/>
      </c>
      <c r="M984" s="65" t="s">
        <v>16</v>
      </c>
      <c r="N984" s="65" t="s">
        <v>255</v>
      </c>
      <c r="O984" s="65" t="e">
        <f t="shared" ca="1" si="64"/>
        <v>#VALUE!</v>
      </c>
      <c r="P984" s="65" t="str">
        <f t="shared" ca="1" si="65"/>
        <v/>
      </c>
    </row>
    <row r="985" spans="1:16" s="65" customFormat="1" hidden="1" x14ac:dyDescent="0.25">
      <c r="A985" s="289" t="str">
        <f>"# Oh dear Women Rating &gt; "&amp;Parameter!$B$33</f>
        <v># Oh dear Women Rating &gt; 600</v>
      </c>
      <c r="B985" s="294">
        <f>MATCH(A985,Data!$DT:$DT,0)</f>
        <v>18</v>
      </c>
      <c r="C985" s="65">
        <f>INDEX(Parameter!$9:$9,,MATCH(11,Parameter!$8:$8,0))</f>
        <v>11</v>
      </c>
      <c r="D985" s="65">
        <f>INDEX(Parameter!$B$10:$AB$10,MATCH(C985,Parameter!$B$9:$AB$9,0))</f>
        <v>4</v>
      </c>
      <c r="H985" s="65">
        <f ca="1">INDEX(OFFSET(Data!$CS$1:$DS$1,B985-1,0),MATCH("Total/"&amp;C985,Data!$CS$1:$DS$1,0))</f>
        <v>0</v>
      </c>
      <c r="I985" s="65" t="str">
        <f ca="1">IF(H985=1,INDEX(Parameter!$B$10:$AB$10,MATCH(C985,Parameter!$B$9:$AB$9,0))+9,"")</f>
        <v/>
      </c>
      <c r="J985" s="65" t="str">
        <f t="array" aca="1" ref="J985" ca="1">IF(H985=1,MATCH(1,(OFFSET(Data!$DY$1:$IB$1,B985-1,0))*(Data!$DY$90:$IB$90=C985),0),"")</f>
        <v/>
      </c>
      <c r="K985" s="65" t="str">
        <f t="array" aca="1" ref="K985" ca="1">IF(H985=1,MATCH(I985,OFFSET(Data!$DX$91:$DX$190,0,Specials!J985)*(Data!$AM$91:$AM$190&gt;Parameter!$B$33)*(Data!$DW$91:$DW$190="W"),0),"")</f>
        <v/>
      </c>
      <c r="L985" s="65" t="str">
        <f ca="1">IF(H985=1,INDEX(Data!$DT$91:$DT$190,$K985)&amp;" / "&amp;OFFSET(Data!$DX$89,0,Specials!J985),"")</f>
        <v/>
      </c>
      <c r="M985" s="65" t="s">
        <v>16</v>
      </c>
      <c r="N985" s="65" t="s">
        <v>255</v>
      </c>
      <c r="O985" s="65" t="e">
        <f t="shared" ca="1" si="64"/>
        <v>#VALUE!</v>
      </c>
      <c r="P985" s="65" t="str">
        <f t="shared" ca="1" si="65"/>
        <v/>
      </c>
    </row>
    <row r="986" spans="1:16" s="65" customFormat="1" hidden="1" x14ac:dyDescent="0.25">
      <c r="A986" s="289" t="str">
        <f>"# Oh dear Women Rating &gt; "&amp;Parameter!$B$33</f>
        <v># Oh dear Women Rating &gt; 600</v>
      </c>
      <c r="B986" s="294">
        <f>MATCH(A986,Data!$DT:$DT,0)</f>
        <v>18</v>
      </c>
      <c r="C986" s="65" t="str">
        <f>INDEX(Parameter!$9:$9,,MATCH(12,Parameter!$8:$8,0))</f>
        <v>11b</v>
      </c>
      <c r="D986" s="65">
        <f>INDEX(Parameter!$B$10:$AB$10,MATCH(C986,Parameter!$B$9:$AB$9,0))</f>
        <v>3</v>
      </c>
      <c r="H986" s="65">
        <f ca="1">INDEX(OFFSET(Data!$CS$1:$DS$1,B986-1,0),MATCH("Total/"&amp;C986,Data!$CS$1:$DS$1,0))</f>
        <v>0</v>
      </c>
      <c r="I986" s="65" t="str">
        <f ca="1">IF(H986=1,INDEX(Parameter!$B$10:$AB$10,MATCH(C986,Parameter!$B$9:$AB$9,0))+9,"")</f>
        <v/>
      </c>
      <c r="J986" s="65" t="str">
        <f t="array" aca="1" ref="J986" ca="1">IF(H986=1,MATCH(1,(OFFSET(Data!$DY$1:$IB$1,B986-1,0))*(Data!$DY$90:$IB$90=C986),0),"")</f>
        <v/>
      </c>
      <c r="K986" s="65" t="str">
        <f t="array" aca="1" ref="K986" ca="1">IF(H986=1,MATCH(I986,OFFSET(Data!$DX$91:$DX$190,0,Specials!J986)*(Data!$AM$91:$AM$190&gt;Parameter!$B$33)*(Data!$DW$91:$DW$190="W"),0),"")</f>
        <v/>
      </c>
      <c r="L986" s="65" t="str">
        <f ca="1">IF(H986=1,INDEX(Data!$DT$91:$DT$190,$K986)&amp;" / "&amp;OFFSET(Data!$DX$89,0,Specials!J986),"")</f>
        <v/>
      </c>
      <c r="M986" s="65" t="s">
        <v>16</v>
      </c>
      <c r="N986" s="65" t="s">
        <v>255</v>
      </c>
      <c r="O986" s="65" t="e">
        <f t="shared" ca="1" si="64"/>
        <v>#VALUE!</v>
      </c>
      <c r="P986" s="65" t="str">
        <f t="shared" ca="1" si="65"/>
        <v/>
      </c>
    </row>
    <row r="987" spans="1:16" s="65" customFormat="1" hidden="1" x14ac:dyDescent="0.25">
      <c r="A987" s="289" t="str">
        <f>"# Oh dear Women Rating &gt; "&amp;Parameter!$B$33</f>
        <v># Oh dear Women Rating &gt; 600</v>
      </c>
      <c r="B987" s="294">
        <f>MATCH(A987,Data!$DT:$DT,0)</f>
        <v>18</v>
      </c>
      <c r="C987" s="65">
        <f>INDEX(Parameter!$9:$9,,MATCH(13,Parameter!$8:$8,0))</f>
        <v>12</v>
      </c>
      <c r="D987" s="65">
        <f>INDEX(Parameter!$B$10:$AB$10,MATCH(C987,Parameter!$B$9:$AB$9,0))</f>
        <v>3</v>
      </c>
      <c r="H987" s="65">
        <f ca="1">INDEX(OFFSET(Data!$CS$1:$DS$1,B987-1,0),MATCH("Total/"&amp;C987,Data!$CS$1:$DS$1,0))</f>
        <v>0</v>
      </c>
      <c r="I987" s="65" t="str">
        <f ca="1">IF(H987=1,INDEX(Parameter!$B$10:$AB$10,MATCH(C987,Parameter!$B$9:$AB$9,0))+9,"")</f>
        <v/>
      </c>
      <c r="J987" s="65" t="str">
        <f t="array" aca="1" ref="J987" ca="1">IF(H987=1,MATCH(1,(OFFSET(Data!$DY$1:$IB$1,B987-1,0))*(Data!$DY$90:$IB$90=C987),0),"")</f>
        <v/>
      </c>
      <c r="K987" s="65" t="str">
        <f t="array" aca="1" ref="K987" ca="1">IF(H987=1,MATCH(I987,OFFSET(Data!$DX$91:$DX$190,0,Specials!J987)*(Data!$AM$91:$AM$190&gt;Parameter!$B$33)*(Data!$DW$91:$DW$190="W"),0),"")</f>
        <v/>
      </c>
      <c r="L987" s="65" t="str">
        <f ca="1">IF(H987=1,INDEX(Data!$DT$91:$DT$190,$K987)&amp;" / "&amp;OFFSET(Data!$DX$89,0,Specials!J987),"")</f>
        <v/>
      </c>
      <c r="M987" s="65" t="s">
        <v>16</v>
      </c>
      <c r="N987" s="65" t="s">
        <v>255</v>
      </c>
      <c r="O987" s="65" t="e">
        <f t="shared" ca="1" si="64"/>
        <v>#VALUE!</v>
      </c>
      <c r="P987" s="65" t="str">
        <f t="shared" ca="1" si="65"/>
        <v/>
      </c>
    </row>
    <row r="988" spans="1:16" s="65" customFormat="1" hidden="1" x14ac:dyDescent="0.25">
      <c r="A988" s="289" t="str">
        <f>"# Oh dear Women Rating &gt; "&amp;Parameter!$B$33</f>
        <v># Oh dear Women Rating &gt; 600</v>
      </c>
      <c r="B988" s="294">
        <f>MATCH(A988,Data!$DT:$DT,0)</f>
        <v>18</v>
      </c>
      <c r="C988" s="65">
        <f>INDEX(Parameter!$9:$9,,MATCH(14,Parameter!$8:$8,0))</f>
        <v>13</v>
      </c>
      <c r="D988" s="65">
        <f>INDEX(Parameter!$B$10:$AB$10,MATCH(C988,Parameter!$B$9:$AB$9,0))</f>
        <v>3</v>
      </c>
      <c r="H988" s="65">
        <f ca="1">INDEX(OFFSET(Data!$CS$1:$DS$1,B988-1,0),MATCH("Total/"&amp;C988,Data!$CS$1:$DS$1,0))</f>
        <v>0</v>
      </c>
      <c r="I988" s="65" t="str">
        <f ca="1">IF(H988=1,INDEX(Parameter!$B$10:$AB$10,MATCH(C988,Parameter!$B$9:$AB$9,0))+9,"")</f>
        <v/>
      </c>
      <c r="J988" s="65" t="str">
        <f t="array" aca="1" ref="J988" ca="1">IF(H988=1,MATCH(1,(OFFSET(Data!$DY$1:$IB$1,B988-1,0))*(Data!$DY$90:$IB$90=C988),0),"")</f>
        <v/>
      </c>
      <c r="K988" s="65" t="str">
        <f t="array" aca="1" ref="K988" ca="1">IF(H988=1,MATCH(I988,OFFSET(Data!$DX$91:$DX$190,0,Specials!J988)*(Data!$AM$91:$AM$190&gt;Parameter!$B$33)*(Data!$DW$91:$DW$190="W"),0),"")</f>
        <v/>
      </c>
      <c r="L988" s="65" t="str">
        <f ca="1">IF(H988=1,INDEX(Data!$DT$91:$DT$190,$K988)&amp;" / "&amp;OFFSET(Data!$DX$89,0,Specials!J988),"")</f>
        <v/>
      </c>
      <c r="M988" s="65" t="s">
        <v>16</v>
      </c>
      <c r="N988" s="65" t="s">
        <v>255</v>
      </c>
      <c r="O988" s="65" t="e">
        <f t="shared" ca="1" si="64"/>
        <v>#VALUE!</v>
      </c>
      <c r="P988" s="65" t="str">
        <f t="shared" ca="1" si="65"/>
        <v/>
      </c>
    </row>
    <row r="989" spans="1:16" s="65" customFormat="1" hidden="1" x14ac:dyDescent="0.25">
      <c r="A989" s="289" t="str">
        <f>"# Oh dear Women Rating &gt; "&amp;Parameter!$B$33</f>
        <v># Oh dear Women Rating &gt; 600</v>
      </c>
      <c r="B989" s="294">
        <f>MATCH(A989,Data!$DT:$DT,0)</f>
        <v>18</v>
      </c>
      <c r="C989" s="65">
        <f>INDEX(Parameter!$9:$9,,MATCH(15,Parameter!$8:$8,0))</f>
        <v>14</v>
      </c>
      <c r="D989" s="65">
        <f>INDEX(Parameter!$B$10:$AB$10,MATCH(C989,Parameter!$B$9:$AB$9,0))</f>
        <v>3</v>
      </c>
      <c r="H989" s="65">
        <f ca="1">INDEX(OFFSET(Data!$CS$1:$DS$1,B989-1,0),MATCH("Total/"&amp;C989,Data!$CS$1:$DS$1,0))</f>
        <v>0</v>
      </c>
      <c r="I989" s="65" t="str">
        <f ca="1">IF(H989=1,INDEX(Parameter!$B$10:$AB$10,MATCH(C989,Parameter!$B$9:$AB$9,0))+9,"")</f>
        <v/>
      </c>
      <c r="J989" s="65" t="str">
        <f t="array" aca="1" ref="J989" ca="1">IF(H989=1,MATCH(1,(OFFSET(Data!$DY$1:$IB$1,B989-1,0))*(Data!$DY$90:$IB$90=C989),0),"")</f>
        <v/>
      </c>
      <c r="K989" s="65" t="str">
        <f t="array" aca="1" ref="K989" ca="1">IF(H989=1,MATCH(I989,OFFSET(Data!$DX$91:$DX$190,0,Specials!J989)*(Data!$AM$91:$AM$190&gt;Parameter!$B$33)*(Data!$DW$91:$DW$190="W"),0),"")</f>
        <v/>
      </c>
      <c r="L989" s="65" t="str">
        <f ca="1">IF(H989=1,INDEX(Data!$DT$91:$DT$190,$K989)&amp;" / "&amp;OFFSET(Data!$DX$89,0,Specials!J989),"")</f>
        <v/>
      </c>
      <c r="M989" s="65" t="s">
        <v>16</v>
      </c>
      <c r="N989" s="65" t="s">
        <v>255</v>
      </c>
      <c r="O989" s="65" t="e">
        <f t="shared" ca="1" si="64"/>
        <v>#VALUE!</v>
      </c>
      <c r="P989" s="65" t="str">
        <f t="shared" ca="1" si="65"/>
        <v/>
      </c>
    </row>
    <row r="990" spans="1:16" s="65" customFormat="1" hidden="1" x14ac:dyDescent="0.25">
      <c r="A990" s="289" t="str">
        <f>"# Oh dear Women Rating &gt; "&amp;Parameter!$B$33</f>
        <v># Oh dear Women Rating &gt; 600</v>
      </c>
      <c r="B990" s="294">
        <f>MATCH(A990,Data!$DT:$DT,0)</f>
        <v>18</v>
      </c>
      <c r="C990" s="65">
        <f>INDEX(Parameter!$9:$9,,MATCH(16,Parameter!$8:$8,0))</f>
        <v>15</v>
      </c>
      <c r="D990" s="65">
        <f>INDEX(Parameter!$B$10:$AB$10,MATCH(C990,Parameter!$B$9:$AB$9,0))</f>
        <v>3</v>
      </c>
      <c r="H990" s="65">
        <f ca="1">INDEX(OFFSET(Data!$CS$1:$DS$1,B990-1,0),MATCH("Total/"&amp;C990,Data!$CS$1:$DS$1,0))</f>
        <v>0</v>
      </c>
      <c r="I990" s="65" t="str">
        <f ca="1">IF(H990=1,INDEX(Parameter!$B$10:$AB$10,MATCH(C990,Parameter!$B$9:$AB$9,0))+9,"")</f>
        <v/>
      </c>
      <c r="J990" s="65" t="str">
        <f t="array" aca="1" ref="J990" ca="1">IF(H990=1,MATCH(1,(OFFSET(Data!$DY$1:$IB$1,B990-1,0))*(Data!$DY$90:$IB$90=C990),0),"")</f>
        <v/>
      </c>
      <c r="K990" s="65" t="str">
        <f t="array" aca="1" ref="K990" ca="1">IF(H990=1,MATCH(I990,OFFSET(Data!$DX$91:$DX$190,0,Specials!J990)*(Data!$AM$91:$AM$190&gt;Parameter!$B$33)*(Data!$DW$91:$DW$190="W"),0),"")</f>
        <v/>
      </c>
      <c r="L990" s="65" t="str">
        <f ca="1">IF(H990=1,INDEX(Data!$DT$91:$DT$190,$K990)&amp;" / "&amp;OFFSET(Data!$DX$89,0,Specials!J990),"")</f>
        <v/>
      </c>
      <c r="M990" s="65" t="s">
        <v>16</v>
      </c>
      <c r="N990" s="65" t="s">
        <v>255</v>
      </c>
      <c r="O990" s="65" t="e">
        <f t="shared" ca="1" si="64"/>
        <v>#VALUE!</v>
      </c>
      <c r="P990" s="65" t="str">
        <f t="shared" ca="1" si="65"/>
        <v/>
      </c>
    </row>
    <row r="991" spans="1:16" s="65" customFormat="1" hidden="1" x14ac:dyDescent="0.25">
      <c r="A991" s="289" t="str">
        <f>"# Oh dear Women Rating &gt; "&amp;Parameter!$B$33</f>
        <v># Oh dear Women Rating &gt; 600</v>
      </c>
      <c r="B991" s="294">
        <f>MATCH(A991,Data!$DT:$DT,0)</f>
        <v>18</v>
      </c>
      <c r="C991" s="65">
        <f>INDEX(Parameter!$9:$9,,MATCH(17,Parameter!$8:$8,0))</f>
        <v>16</v>
      </c>
      <c r="D991" s="65">
        <f>INDEX(Parameter!$B$10:$AB$10,MATCH(C991,Parameter!$B$9:$AB$9,0))</f>
        <v>3</v>
      </c>
      <c r="H991" s="65">
        <f ca="1">INDEX(OFFSET(Data!$CS$1:$DS$1,B991-1,0),MATCH("Total/"&amp;C991,Data!$CS$1:$DS$1,0))</f>
        <v>0</v>
      </c>
      <c r="I991" s="65" t="str">
        <f ca="1">IF(H991=1,INDEX(Parameter!$B$10:$AB$10,MATCH(C991,Parameter!$B$9:$AB$9,0))+9,"")</f>
        <v/>
      </c>
      <c r="J991" s="65" t="str">
        <f t="array" aca="1" ref="J991" ca="1">IF(H991=1,MATCH(1,(OFFSET(Data!$DY$1:$IB$1,B991-1,0))*(Data!$DY$90:$IB$90=C991),0),"")</f>
        <v/>
      </c>
      <c r="K991" s="65" t="str">
        <f t="array" aca="1" ref="K991" ca="1">IF(H991=1,MATCH(I991,OFFSET(Data!$DX$91:$DX$190,0,Specials!J991)*(Data!$AM$91:$AM$190&gt;Parameter!$B$33)*(Data!$DW$91:$DW$190="W"),0),"")</f>
        <v/>
      </c>
      <c r="L991" s="65" t="str">
        <f ca="1">IF(H991=1,INDEX(Data!$DT$91:$DT$190,$K991)&amp;" / "&amp;OFFSET(Data!$DX$89,0,Specials!J991),"")</f>
        <v/>
      </c>
      <c r="M991" s="65" t="s">
        <v>16</v>
      </c>
      <c r="N991" s="65" t="s">
        <v>255</v>
      </c>
      <c r="O991" s="65" t="e">
        <f t="shared" ca="1" si="64"/>
        <v>#VALUE!</v>
      </c>
      <c r="P991" s="65" t="str">
        <f t="shared" ca="1" si="65"/>
        <v/>
      </c>
    </row>
    <row r="992" spans="1:16" s="65" customFormat="1" hidden="1" x14ac:dyDescent="0.25">
      <c r="A992" s="289" t="str">
        <f>"# Oh dear Women Rating &gt; "&amp;Parameter!$B$33</f>
        <v># Oh dear Women Rating &gt; 600</v>
      </c>
      <c r="B992" s="294">
        <f>MATCH(A992,Data!$DT:$DT,0)</f>
        <v>18</v>
      </c>
      <c r="C992" s="65">
        <f>INDEX(Parameter!$9:$9,,MATCH(18,Parameter!$8:$8,0))</f>
        <v>17</v>
      </c>
      <c r="D992" s="65">
        <f>INDEX(Parameter!$B$10:$AB$10,MATCH(C992,Parameter!$B$9:$AB$9,0))</f>
        <v>3</v>
      </c>
      <c r="H992" s="65">
        <f ca="1">INDEX(OFFSET(Data!$CS$1:$DS$1,B992-1,0),MATCH("Total/"&amp;C992,Data!$CS$1:$DS$1,0))</f>
        <v>0</v>
      </c>
      <c r="I992" s="65" t="str">
        <f ca="1">IF(H992=1,INDEX(Parameter!$B$10:$AB$10,MATCH(C992,Parameter!$B$9:$AB$9,0))+9,"")</f>
        <v/>
      </c>
      <c r="J992" s="65" t="str">
        <f t="array" aca="1" ref="J992" ca="1">IF(H992=1,MATCH(1,(OFFSET(Data!$DY$1:$IB$1,B992-1,0))*(Data!$DY$90:$IB$90=C992),0),"")</f>
        <v/>
      </c>
      <c r="K992" s="65" t="str">
        <f t="array" aca="1" ref="K992" ca="1">IF(H992=1,MATCH(I992,OFFSET(Data!$DX$91:$DX$190,0,Specials!J992)*(Data!$AM$91:$AM$190&gt;Parameter!$B$33)*(Data!$DW$91:$DW$190="W"),0),"")</f>
        <v/>
      </c>
      <c r="L992" s="65" t="str">
        <f ca="1">IF(H992=1,INDEX(Data!$DT$91:$DT$190,$K992)&amp;" / "&amp;OFFSET(Data!$DX$89,0,Specials!J992),"")</f>
        <v/>
      </c>
      <c r="M992" s="65" t="s">
        <v>16</v>
      </c>
      <c r="N992" s="65" t="s">
        <v>255</v>
      </c>
      <c r="O992" s="65" t="e">
        <f t="shared" ca="1" si="64"/>
        <v>#VALUE!</v>
      </c>
      <c r="P992" s="65" t="str">
        <f t="shared" ca="1" si="65"/>
        <v/>
      </c>
    </row>
    <row r="993" spans="1:16" s="65" customFormat="1" hidden="1" x14ac:dyDescent="0.25">
      <c r="A993" s="289" t="str">
        <f>"# Oh dear Women Rating &gt; "&amp;Parameter!$B$33</f>
        <v># Oh dear Women Rating &gt; 600</v>
      </c>
      <c r="B993" s="294">
        <f>MATCH(A993,Data!$DT:$DT,0)</f>
        <v>18</v>
      </c>
      <c r="C993" s="65">
        <f>INDEX(Parameter!$9:$9,,MATCH(19,Parameter!$8:$8,0))</f>
        <v>18</v>
      </c>
      <c r="D993" s="65">
        <f>INDEX(Parameter!$B$10:$AB$10,MATCH(C993,Parameter!$B$9:$AB$9,0))</f>
        <v>3</v>
      </c>
      <c r="H993" s="65">
        <f ca="1">INDEX(OFFSET(Data!$CS$1:$DS$1,B993-1,0),MATCH("Total/"&amp;C993,Data!$CS$1:$DS$1,0))</f>
        <v>0</v>
      </c>
      <c r="I993" s="65" t="str">
        <f ca="1">IF(H993=1,INDEX(Parameter!$B$10:$AB$10,MATCH(C993,Parameter!$B$9:$AB$9,0))+9,"")</f>
        <v/>
      </c>
      <c r="J993" s="65" t="str">
        <f t="array" aca="1" ref="J993" ca="1">IF(H993=1,MATCH(1,(OFFSET(Data!$DY$1:$IB$1,B993-1,0))*(Data!$DY$90:$IB$90=C993),0),"")</f>
        <v/>
      </c>
      <c r="K993" s="65" t="str">
        <f t="array" aca="1" ref="K993" ca="1">IF(H993=1,MATCH(I993,OFFSET(Data!$DX$91:$DX$190,0,Specials!J993)*(Data!$AM$91:$AM$190&gt;Parameter!$B$33)*(Data!$DW$91:$DW$190="W"),0),"")</f>
        <v/>
      </c>
      <c r="L993" s="65" t="str">
        <f ca="1">IF(H993=1,INDEX(Data!$DT$91:$DT$190,$K993)&amp;" / "&amp;OFFSET(Data!$DX$89,0,Specials!J993),"")</f>
        <v/>
      </c>
      <c r="M993" s="65" t="s">
        <v>16</v>
      </c>
      <c r="N993" s="65" t="s">
        <v>255</v>
      </c>
      <c r="O993" s="65" t="e">
        <f t="shared" ca="1" si="64"/>
        <v>#VALUE!</v>
      </c>
      <c r="P993" s="65" t="str">
        <f t="shared" ca="1" si="65"/>
        <v/>
      </c>
    </row>
    <row r="994" spans="1:16" s="65" customFormat="1" hidden="1" x14ac:dyDescent="0.25">
      <c r="A994" s="289" t="str">
        <f>"# Oh dear Women Rating &gt; "&amp;Parameter!$B$33</f>
        <v># Oh dear Women Rating &gt; 600</v>
      </c>
      <c r="B994" s="294">
        <f>MATCH(A994,Data!$DT:$DT,0)</f>
        <v>18</v>
      </c>
      <c r="C994" s="65">
        <f>INDEX(Parameter!$9:$9,,MATCH(20,Parameter!$8:$8,0))</f>
        <v>20</v>
      </c>
      <c r="D994" s="65" t="str">
        <f>INDEX(Parameter!$B$10:$AB$10,MATCH(C994,Parameter!$B$9:$AB$9,0))</f>
        <v>no</v>
      </c>
      <c r="H994" s="65">
        <f ca="1">INDEX(OFFSET(Data!$CS$1:$DS$1,B994-1,0),MATCH("Total/"&amp;C994,Data!$CS$1:$DS$1,0))</f>
        <v>0</v>
      </c>
      <c r="I994" s="65" t="str">
        <f ca="1">IF(H994=1,INDEX(Parameter!$B$10:$AB$10,MATCH(C994,Parameter!$B$9:$AB$9,0))+9,"")</f>
        <v/>
      </c>
      <c r="J994" s="65" t="str">
        <f t="array" aca="1" ref="J994" ca="1">IF(H994=1,MATCH(1,(OFFSET(Data!$DY$1:$IB$1,B994-1,0))*(Data!$DY$90:$IB$90=C994),0),"")</f>
        <v/>
      </c>
      <c r="K994" s="65" t="str">
        <f t="array" aca="1" ref="K994" ca="1">IF(H994=1,MATCH(I994,OFFSET(Data!$DX$91:$DX$190,0,Specials!J994)*(Data!$AM$91:$AM$190&gt;Parameter!$B$33)*(Data!$DW$91:$DW$190="W"),0),"")</f>
        <v/>
      </c>
      <c r="L994" s="65" t="str">
        <f ca="1">IF(H994=1,INDEX(Data!$DT$91:$DT$190,$K994)&amp;" / "&amp;OFFSET(Data!$DX$89,0,Specials!J994),"")</f>
        <v/>
      </c>
      <c r="M994" s="65" t="s">
        <v>16</v>
      </c>
      <c r="N994" s="65" t="s">
        <v>255</v>
      </c>
      <c r="O994" s="65" t="e">
        <f t="shared" ca="1" si="64"/>
        <v>#VALUE!</v>
      </c>
      <c r="P994" s="65" t="str">
        <f t="shared" ca="1" si="65"/>
        <v/>
      </c>
    </row>
    <row r="995" spans="1:16" s="65" customFormat="1" hidden="1" x14ac:dyDescent="0.25">
      <c r="A995" s="289" t="str">
        <f>"# Oh dear Women Rating &gt; "&amp;Parameter!$B$33</f>
        <v># Oh dear Women Rating &gt; 600</v>
      </c>
      <c r="B995" s="294">
        <f>MATCH(A995,Data!$DT:$DT,0)</f>
        <v>18</v>
      </c>
      <c r="C995" s="65">
        <f>INDEX(Parameter!$9:$9,,MATCH(21,Parameter!$8:$8,0))</f>
        <v>21</v>
      </c>
      <c r="D995" s="65" t="str">
        <f>INDEX(Parameter!$B$10:$AB$10,MATCH(C995,Parameter!$B$9:$AB$9,0))</f>
        <v>no</v>
      </c>
      <c r="H995" s="65">
        <f ca="1">INDEX(OFFSET(Data!$CS$1:$DS$1,B995-1,0),MATCH("Total/"&amp;C995,Data!$CS$1:$DS$1,0))</f>
        <v>0</v>
      </c>
      <c r="I995" s="65" t="str">
        <f ca="1">IF(H995=1,INDEX(Parameter!$B$10:$AB$10,MATCH(C995,Parameter!$B$9:$AB$9,0))+9,"")</f>
        <v/>
      </c>
      <c r="J995" s="65" t="str">
        <f t="array" aca="1" ref="J995" ca="1">IF(H995=1,MATCH(1,(OFFSET(Data!$DY$1:$IB$1,B995-1,0))*(Data!$DY$90:$IB$90=C995),0),"")</f>
        <v/>
      </c>
      <c r="K995" s="65" t="str">
        <f t="array" aca="1" ref="K995" ca="1">IF(H995=1,MATCH(I995,OFFSET(Data!$DX$91:$DX$190,0,Specials!J995)*(Data!$AM$91:$AM$190&gt;Parameter!$B$33)*(Data!$DW$91:$DW$190="W"),0),"")</f>
        <v/>
      </c>
      <c r="L995" s="65" t="str">
        <f ca="1">IF(H995=1,INDEX(Data!$DT$91:$DT$190,$K995)&amp;" / "&amp;OFFSET(Data!$DX$89,0,Specials!J995),"")</f>
        <v/>
      </c>
      <c r="M995" s="65" t="s">
        <v>16</v>
      </c>
      <c r="N995" s="65" t="s">
        <v>255</v>
      </c>
      <c r="O995" s="65" t="e">
        <f t="shared" ca="1" si="64"/>
        <v>#VALUE!</v>
      </c>
      <c r="P995" s="65" t="str">
        <f t="shared" ca="1" si="65"/>
        <v/>
      </c>
    </row>
    <row r="996" spans="1:16" s="65" customFormat="1" hidden="1" x14ac:dyDescent="0.25">
      <c r="A996" s="289" t="str">
        <f>"# Oh dear Women Rating &gt; "&amp;Parameter!$B$33</f>
        <v># Oh dear Women Rating &gt; 600</v>
      </c>
      <c r="B996" s="294">
        <f>MATCH(A996,Data!$DT:$DT,0)</f>
        <v>18</v>
      </c>
      <c r="C996" s="65">
        <f>INDEX(Parameter!$9:$9,,MATCH(22,Parameter!$8:$8,0))</f>
        <v>22</v>
      </c>
      <c r="D996" s="65" t="str">
        <f>INDEX(Parameter!$B$10:$AB$10,MATCH(C996,Parameter!$B$9:$AB$9,0))</f>
        <v>no</v>
      </c>
      <c r="H996" s="65">
        <f ca="1">INDEX(OFFSET(Data!$CS$1:$DS$1,B996-1,0),MATCH("Total/"&amp;C996,Data!$CS$1:$DS$1,0))</f>
        <v>0</v>
      </c>
      <c r="I996" s="65" t="str">
        <f ca="1">IF(H996=1,INDEX(Parameter!$B$10:$AB$10,MATCH(C996,Parameter!$B$9:$AB$9,0))+9,"")</f>
        <v/>
      </c>
      <c r="J996" s="65" t="str">
        <f t="array" aca="1" ref="J996" ca="1">IF(H996=1,MATCH(1,(OFFSET(Data!$DY$1:$IB$1,B996-1,0))*(Data!$DY$90:$IB$90=C996),0),"")</f>
        <v/>
      </c>
      <c r="K996" s="65" t="str">
        <f t="array" aca="1" ref="K996" ca="1">IF(H996=1,MATCH(I996,OFFSET(Data!$DX$91:$DX$190,0,Specials!J996)*(Data!$AM$91:$AM$190&gt;Parameter!$B$33)*(Data!$DW$91:$DW$190="W"),0),"")</f>
        <v/>
      </c>
      <c r="L996" s="65" t="str">
        <f ca="1">IF(H996=1,INDEX(Data!$DT$91:$DT$190,$K996)&amp;" / "&amp;OFFSET(Data!$DX$89,0,Specials!J996),"")</f>
        <v/>
      </c>
      <c r="M996" s="65" t="s">
        <v>16</v>
      </c>
      <c r="N996" s="65" t="s">
        <v>255</v>
      </c>
      <c r="O996" s="65" t="e">
        <f t="shared" ca="1" si="64"/>
        <v>#VALUE!</v>
      </c>
      <c r="P996" s="65" t="str">
        <f t="shared" ca="1" si="65"/>
        <v/>
      </c>
    </row>
    <row r="997" spans="1:16" s="65" customFormat="1" hidden="1" x14ac:dyDescent="0.25">
      <c r="A997" s="289" t="str">
        <f>"# Oh dear Women Rating &gt; "&amp;Parameter!$B$33</f>
        <v># Oh dear Women Rating &gt; 600</v>
      </c>
      <c r="B997" s="294">
        <f>MATCH(A997,Data!$DT:$DT,0)</f>
        <v>18</v>
      </c>
      <c r="C997" s="65">
        <f>INDEX(Parameter!$9:$9,,MATCH(23,Parameter!$8:$8,0))</f>
        <v>23</v>
      </c>
      <c r="D997" s="65" t="str">
        <f>INDEX(Parameter!$B$10:$AB$10,MATCH(C997,Parameter!$B$9:$AB$9,0))</f>
        <v>no</v>
      </c>
      <c r="H997" s="65">
        <f ca="1">INDEX(OFFSET(Data!$CS$1:$DS$1,B997-1,0),MATCH("Total/"&amp;C997,Data!$CS$1:$DS$1,0))</f>
        <v>0</v>
      </c>
      <c r="I997" s="65" t="str">
        <f ca="1">IF(H997=1,INDEX(Parameter!$B$10:$AB$10,MATCH(C997,Parameter!$B$9:$AB$9,0))+9,"")</f>
        <v/>
      </c>
      <c r="J997" s="65" t="str">
        <f t="array" aca="1" ref="J997" ca="1">IF(H997=1,MATCH(1,(OFFSET(Data!$DY$1:$IB$1,B997-1,0))*(Data!$DY$90:$IB$90=C997),0),"")</f>
        <v/>
      </c>
      <c r="K997" s="65" t="str">
        <f t="array" aca="1" ref="K997" ca="1">IF(H997=1,MATCH(I997,OFFSET(Data!$DX$91:$DX$190,0,Specials!J997)*(Data!$AM$91:$AM$190&gt;Parameter!$B$33)*(Data!$DW$91:$DW$190="W"),0),"")</f>
        <v/>
      </c>
      <c r="L997" s="65" t="str">
        <f ca="1">IF(H997=1,INDEX(Data!$DT$91:$DT$190,$K997)&amp;" / "&amp;OFFSET(Data!$DX$89,0,Specials!J997),"")</f>
        <v/>
      </c>
      <c r="M997" s="65" t="s">
        <v>16</v>
      </c>
      <c r="N997" s="65" t="s">
        <v>255</v>
      </c>
      <c r="O997" s="65" t="e">
        <f t="shared" ca="1" si="64"/>
        <v>#VALUE!</v>
      </c>
      <c r="P997" s="65" t="str">
        <f t="shared" ca="1" si="65"/>
        <v/>
      </c>
    </row>
    <row r="998" spans="1:16" s="65" customFormat="1" hidden="1" x14ac:dyDescent="0.25">
      <c r="A998" s="289" t="str">
        <f>"# Oh dear Women Rating &gt; "&amp;Parameter!$B$33</f>
        <v># Oh dear Women Rating &gt; 600</v>
      </c>
      <c r="B998" s="294">
        <f>MATCH(A998,Data!$DT:$DT,0)</f>
        <v>18</v>
      </c>
      <c r="C998" s="65">
        <f>INDEX(Parameter!$9:$9,,MATCH(24,Parameter!$8:$8,0))</f>
        <v>24</v>
      </c>
      <c r="D998" s="65" t="str">
        <f>INDEX(Parameter!$B$10:$AB$10,MATCH(C998,Parameter!$B$9:$AB$9,0))</f>
        <v>no</v>
      </c>
      <c r="H998" s="65">
        <f ca="1">INDEX(OFFSET(Data!$CS$1:$DS$1,B998-1,0),MATCH("Total/"&amp;C998,Data!$CS$1:$DS$1,0))</f>
        <v>0</v>
      </c>
      <c r="I998" s="65" t="str">
        <f ca="1">IF(H998=1,INDEX(Parameter!$B$10:$AB$10,MATCH(C998,Parameter!$B$9:$AB$9,0))+9,"")</f>
        <v/>
      </c>
      <c r="J998" s="65" t="str">
        <f t="array" aca="1" ref="J998" ca="1">IF(H998=1,MATCH(1,(OFFSET(Data!$DY$1:$IB$1,B998-1,0))*(Data!$DY$90:$IB$90=C998),0),"")</f>
        <v/>
      </c>
      <c r="K998" s="65" t="str">
        <f t="array" aca="1" ref="K998" ca="1">IF(H998=1,MATCH(I998,OFFSET(Data!$DX$91:$DX$190,0,Specials!J998)*(Data!$AM$91:$AM$190&gt;Parameter!$B$33)*(Data!$DW$91:$DW$190="W"),0),"")</f>
        <v/>
      </c>
      <c r="L998" s="65" t="str">
        <f ca="1">IF(H998=1,INDEX(Data!$DT$91:$DT$190,$K998)&amp;" / "&amp;OFFSET(Data!$DX$89,0,Specials!J998),"")</f>
        <v/>
      </c>
      <c r="M998" s="65" t="s">
        <v>16</v>
      </c>
      <c r="N998" s="65" t="s">
        <v>255</v>
      </c>
      <c r="O998" s="65" t="e">
        <f t="shared" ca="1" si="64"/>
        <v>#VALUE!</v>
      </c>
      <c r="P998" s="65" t="str">
        <f t="shared" ca="1" si="65"/>
        <v/>
      </c>
    </row>
    <row r="999" spans="1:16" s="65" customFormat="1" hidden="1" x14ac:dyDescent="0.25">
      <c r="A999" s="289" t="str">
        <f>"# Oh dear Women Rating &gt; "&amp;Parameter!$B$33</f>
        <v># Oh dear Women Rating &gt; 600</v>
      </c>
      <c r="B999" s="294">
        <f>MATCH(A999,Data!$DT:$DT,0)</f>
        <v>18</v>
      </c>
      <c r="C999" s="65">
        <f>INDEX(Parameter!$9:$9,,MATCH(25,Parameter!$8:$8,0))</f>
        <v>25</v>
      </c>
      <c r="D999" s="65" t="str">
        <f>INDEX(Parameter!$B$10:$AB$10,MATCH(C999,Parameter!$B$9:$AB$9,0))</f>
        <v>no</v>
      </c>
      <c r="H999" s="65">
        <f ca="1">INDEX(OFFSET(Data!$CS$1:$DS$1,B999-1,0),MATCH("Total/"&amp;C999,Data!$CS$1:$DS$1,0))</f>
        <v>0</v>
      </c>
      <c r="I999" s="65" t="str">
        <f ca="1">IF(H999=1,INDEX(Parameter!$B$10:$AB$10,MATCH(C999,Parameter!$B$9:$AB$9,0))+9,"")</f>
        <v/>
      </c>
      <c r="J999" s="65" t="str">
        <f t="array" aca="1" ref="J999" ca="1">IF(H999=1,MATCH(1,(OFFSET(Data!$DY$1:$IB$1,B999-1,0))*(Data!$DY$90:$IB$90=C999),0),"")</f>
        <v/>
      </c>
      <c r="K999" s="65" t="str">
        <f t="array" aca="1" ref="K999" ca="1">IF(H999=1,MATCH(I999,OFFSET(Data!$DX$91:$DX$190,0,Specials!J999)*(Data!$AM$91:$AM$190&gt;Parameter!$B$33)*(Data!$DW$91:$DW$190="W"),0),"")</f>
        <v/>
      </c>
      <c r="L999" s="65" t="str">
        <f ca="1">IF(H999=1,INDEX(Data!$DT$91:$DT$190,$K999)&amp;" / "&amp;OFFSET(Data!$DX$89,0,Specials!J999),"")</f>
        <v/>
      </c>
      <c r="M999" s="65" t="s">
        <v>16</v>
      </c>
      <c r="N999" s="65" t="s">
        <v>255</v>
      </c>
      <c r="O999" s="65" t="e">
        <f t="shared" ca="1" si="64"/>
        <v>#VALUE!</v>
      </c>
      <c r="P999" s="65" t="str">
        <f t="shared" ca="1" si="65"/>
        <v/>
      </c>
    </row>
    <row r="1000" spans="1:16" s="65" customFormat="1" hidden="1" x14ac:dyDescent="0.25">
      <c r="A1000" s="289" t="str">
        <f>"# Oh dear Women Rating &gt; "&amp;Parameter!$B$33</f>
        <v># Oh dear Women Rating &gt; 600</v>
      </c>
      <c r="B1000" s="294">
        <f>MATCH(A1000,Data!$DT:$DT,0)</f>
        <v>18</v>
      </c>
      <c r="C1000" s="65">
        <f>INDEX(Parameter!$9:$9,,MATCH(26,Parameter!$8:$8,0))</f>
        <v>26</v>
      </c>
      <c r="D1000" s="65" t="str">
        <f>INDEX(Parameter!$B$10:$AB$10,MATCH(C1000,Parameter!$B$9:$AB$9,0))</f>
        <v>no</v>
      </c>
      <c r="H1000" s="65">
        <f ca="1">INDEX(OFFSET(Data!$CS$1:$DS$1,B1000-1,0),MATCH("Total/"&amp;C1000,Data!$CS$1:$DS$1,0))</f>
        <v>0</v>
      </c>
      <c r="I1000" s="65" t="str">
        <f ca="1">IF(H1000=1,INDEX(Parameter!$B$10:$AB$10,MATCH(C1000,Parameter!$B$9:$AB$9,0))+9,"")</f>
        <v/>
      </c>
      <c r="J1000" s="65" t="str">
        <f t="array" aca="1" ref="J1000" ca="1">IF(H1000=1,MATCH(1,(OFFSET(Data!$DY$1:$IB$1,B1000-1,0))*(Data!$DY$90:$IB$90=C1000),0),"")</f>
        <v/>
      </c>
      <c r="K1000" s="65" t="str">
        <f t="array" aca="1" ref="K1000" ca="1">IF(H1000=1,MATCH(I1000,OFFSET(Data!$DX$91:$DX$190,0,Specials!J1000)*(Data!$AM$91:$AM$190&gt;Parameter!$B$33)*(Data!$DW$91:$DW$190="W"),0),"")</f>
        <v/>
      </c>
      <c r="L1000" s="65" t="str">
        <f ca="1">IF(H1000=1,INDEX(Data!$DT$91:$DT$190,$K1000)&amp;" / "&amp;OFFSET(Data!$DX$89,0,Specials!J1000),"")</f>
        <v/>
      </c>
      <c r="M1000" s="65" t="s">
        <v>16</v>
      </c>
      <c r="N1000" s="65" t="s">
        <v>255</v>
      </c>
      <c r="O1000" s="65" t="e">
        <f t="shared" ca="1" si="64"/>
        <v>#VALUE!</v>
      </c>
      <c r="P1000" s="65" t="str">
        <f t="shared" ca="1" si="65"/>
        <v/>
      </c>
    </row>
    <row r="1001" spans="1:16" s="65" customFormat="1" hidden="1" x14ac:dyDescent="0.25">
      <c r="A1001" s="289" t="str">
        <f>"# Oh dear Women Rating &gt; "&amp;Parameter!$B$33</f>
        <v># Oh dear Women Rating &gt; 600</v>
      </c>
      <c r="B1001" s="294">
        <f>MATCH(A1001,Data!$DT:$DT,0)</f>
        <v>18</v>
      </c>
      <c r="C1001" s="65">
        <f>INDEX(Parameter!$9:$9,,MATCH(27,Parameter!$8:$8,0))</f>
        <v>27</v>
      </c>
      <c r="D1001" s="65" t="str">
        <f>INDEX(Parameter!$B$10:$AB$10,MATCH(C1001,Parameter!$B$9:$AB$9,0))</f>
        <v>no</v>
      </c>
      <c r="H1001" s="65">
        <f ca="1">INDEX(OFFSET(Data!$CS$1:$DS$1,B1001-1,0),MATCH("Total/"&amp;C1001,Data!$CS$1:$DS$1,0))</f>
        <v>0</v>
      </c>
      <c r="I1001" s="65" t="str">
        <f ca="1">IF(H1001=1,INDEX(Parameter!$B$10:$AB$10,MATCH(C1001,Parameter!$B$9:$AB$9,0))+9,"")</f>
        <v/>
      </c>
      <c r="J1001" s="65" t="str">
        <f t="array" aca="1" ref="J1001" ca="1">IF(H1001=1,MATCH(1,(OFFSET(Data!$DY$1:$IB$1,B1001-1,0))*(Data!$DY$90:$IB$90=C1001),0),"")</f>
        <v/>
      </c>
      <c r="K1001" s="65" t="str">
        <f t="array" aca="1" ref="K1001" ca="1">IF(H1001=1,MATCH(I1001,OFFSET(Data!$DX$91:$DX$190,0,Specials!J1001)*(Data!$AM$91:$AM$190&gt;Parameter!$B$33)*(Data!$DW$91:$DW$190="W"),0),"")</f>
        <v/>
      </c>
      <c r="L1001" s="65" t="str">
        <f ca="1">IF(H1001=1,INDEX(Data!$DT$91:$DT$190,$K1001)&amp;" / "&amp;OFFSET(Data!$DX$89,0,Specials!J1001),"")</f>
        <v/>
      </c>
      <c r="M1001" s="65" t="s">
        <v>16</v>
      </c>
      <c r="N1001" s="65" t="s">
        <v>255</v>
      </c>
      <c r="O1001" s="65" t="e">
        <f t="shared" ca="1" si="64"/>
        <v>#VALUE!</v>
      </c>
      <c r="P1001" s="65" t="str">
        <f t="shared" ca="1" si="65"/>
        <v/>
      </c>
    </row>
    <row r="1002" spans="1:16" s="65" customFormat="1" ht="15" hidden="1" customHeight="1" x14ac:dyDescent="0.25">
      <c r="A1002" s="289" t="str">
        <f>"# Oh dear Women Rating &gt; "&amp;Parameter!$B$33</f>
        <v># Oh dear Women Rating &gt; 600</v>
      </c>
      <c r="B1002" s="294">
        <f>MATCH(A1002,Data!$DT:$DT,0)</f>
        <v>18</v>
      </c>
      <c r="C1002" s="65">
        <f>INDEX(Parameter!$9:$9,,MATCH(1,Parameter!$8:$8,0))</f>
        <v>1</v>
      </c>
      <c r="D1002" s="65">
        <f>INDEX(Parameter!$B$10:$AB$10,MATCH(C1002,Parameter!$B$9:$AB$9,0))</f>
        <v>3</v>
      </c>
      <c r="H1002" s="65">
        <f ca="1">INDEX(OFFSET(Data!$CS$1:$DS$1,B1002-1,0),MATCH("Total/"&amp;C1002,Data!$CS$1:$DS$1,0))</f>
        <v>0</v>
      </c>
      <c r="I1002" s="65" t="str">
        <f ca="1">IF(H1002=1,INDEX(Parameter!$B$10:$AB$10,MATCH(C1002,Parameter!$B$9:$AB$9,0))+10,"")</f>
        <v/>
      </c>
      <c r="J1002" s="65" t="str">
        <f t="array" aca="1" ref="J1002" ca="1">IF(H1002=1,MATCH(1,(OFFSET(Data!$DY$1:$IB$1,B1002-1,0))*(Data!$DY$90:$IB$90=C1002),0),"")</f>
        <v/>
      </c>
      <c r="K1002" s="65" t="str">
        <f t="array" aca="1" ref="K1002" ca="1">IF(H1002=1,MATCH(I1002,OFFSET(Data!$DX$91:$DX$190,0,Specials!J1002)*(Data!$AM$91:$AM$190&gt;Parameter!$B$33)*(Data!$DW$91:$DW$190="W"),0),"")</f>
        <v/>
      </c>
      <c r="L1002" s="65" t="str">
        <f ca="1">IF(H1002=1,INDEX(Data!$DT$91:$DT$190,$K1002)&amp;" / "&amp;OFFSET(Data!$DX$89,0,Specials!J1002),"")</f>
        <v/>
      </c>
      <c r="M1002" s="65" t="s">
        <v>16</v>
      </c>
      <c r="N1002" s="65" t="s">
        <v>255</v>
      </c>
      <c r="O1002" s="65" t="e">
        <f t="shared" ca="1" si="64"/>
        <v>#VALUE!</v>
      </c>
      <c r="P1002" s="65" t="str">
        <f t="shared" ca="1" si="65"/>
        <v/>
      </c>
    </row>
    <row r="1003" spans="1:16" s="65" customFormat="1" hidden="1" x14ac:dyDescent="0.25">
      <c r="A1003" s="289" t="str">
        <f>"# Oh dear Women Rating &gt; "&amp;Parameter!$B$33</f>
        <v># Oh dear Women Rating &gt; 600</v>
      </c>
      <c r="B1003" s="294">
        <f>MATCH(A1003,Data!$DT:$DT,0)</f>
        <v>18</v>
      </c>
      <c r="C1003" s="65">
        <f>INDEX(Parameter!$9:$9,,MATCH(2,Parameter!$8:$8,0))</f>
        <v>2</v>
      </c>
      <c r="D1003" s="65">
        <f>INDEX(Parameter!$B$10:$AB$10,MATCH(C1003,Parameter!$B$9:$AB$9,0))</f>
        <v>3</v>
      </c>
      <c r="H1003" s="65">
        <f ca="1">INDEX(OFFSET(Data!$CS$1:$DS$1,B1003-1,0),MATCH("Total/"&amp;C1003,Data!$CS$1:$DS$1,0))</f>
        <v>0</v>
      </c>
      <c r="I1003" s="65" t="str">
        <f ca="1">IF(H1003=1,INDEX(Parameter!$B$10:$AB$10,MATCH(C1003,Parameter!$B$9:$AB$9,0))+10,"")</f>
        <v/>
      </c>
      <c r="J1003" s="65" t="str">
        <f t="array" aca="1" ref="J1003" ca="1">IF(H1003=1,MATCH(1,(OFFSET(Data!$DY$1:$IB$1,B1003-1,0))*(Data!$DY$90:$IB$90=C1003),0),"")</f>
        <v/>
      </c>
      <c r="K1003" s="65" t="str">
        <f t="array" aca="1" ref="K1003" ca="1">IF(H1003=1,MATCH(I1003,OFFSET(Data!$DX$91:$DX$190,0,Specials!J1003)*(Data!$AM$91:$AM$190&gt;Parameter!$B$33)*(Data!$DW$91:$DW$190="W"),0),"")</f>
        <v/>
      </c>
      <c r="L1003" s="65" t="str">
        <f ca="1">IF(H1003=1,INDEX(Data!$DT$91:$DT$190,$K1003)&amp;" / "&amp;OFFSET(Data!$DX$89,0,Specials!J1003),"")</f>
        <v/>
      </c>
      <c r="M1003" s="65" t="s">
        <v>16</v>
      </c>
      <c r="N1003" s="65" t="s">
        <v>255</v>
      </c>
      <c r="O1003" s="65" t="e">
        <f t="shared" ca="1" si="64"/>
        <v>#VALUE!</v>
      </c>
      <c r="P1003" s="65" t="str">
        <f t="shared" ca="1" si="65"/>
        <v/>
      </c>
    </row>
    <row r="1004" spans="1:16" s="65" customFormat="1" hidden="1" x14ac:dyDescent="0.25">
      <c r="A1004" s="289" t="str">
        <f>"# Oh dear Women Rating &gt; "&amp;Parameter!$B$33</f>
        <v># Oh dear Women Rating &gt; 600</v>
      </c>
      <c r="B1004" s="294">
        <f>MATCH(A1004,Data!$DT:$DT,0)</f>
        <v>18</v>
      </c>
      <c r="C1004" s="65">
        <f>INDEX(Parameter!$9:$9,,MATCH(3,Parameter!$8:$8,0))</f>
        <v>3</v>
      </c>
      <c r="D1004" s="65">
        <f>INDEX(Parameter!$B$10:$AB$10,MATCH(C1004,Parameter!$B$9:$AB$9,0))</f>
        <v>3</v>
      </c>
      <c r="H1004" s="65">
        <f ca="1">INDEX(OFFSET(Data!$CS$1:$DS$1,B1004-1,0),MATCH("Total/"&amp;C1004,Data!$CS$1:$DS$1,0))</f>
        <v>0</v>
      </c>
      <c r="I1004" s="65" t="str">
        <f ca="1">IF(H1004=1,INDEX(Parameter!$B$10:$AB$10,MATCH(C1004,Parameter!$B$9:$AB$9,0))+10,"")</f>
        <v/>
      </c>
      <c r="J1004" s="65" t="str">
        <f t="array" aca="1" ref="J1004" ca="1">IF(H1004=1,MATCH(1,(OFFSET(Data!$DY$1:$IB$1,B1004-1,0))*(Data!$DY$90:$IB$90=C1004),0),"")</f>
        <v/>
      </c>
      <c r="K1004" s="65" t="str">
        <f t="array" aca="1" ref="K1004" ca="1">IF(H1004=1,MATCH(I1004,OFFSET(Data!$DX$91:$DX$190,0,Specials!J1004)*(Data!$AM$91:$AM$190&gt;Parameter!$B$33)*(Data!$DW$91:$DW$190="W"),0),"")</f>
        <v/>
      </c>
      <c r="L1004" s="65" t="str">
        <f ca="1">IF(H1004=1,INDEX(Data!$DT$91:$DT$190,$K1004)&amp;" / "&amp;OFFSET(Data!$DX$89,0,Specials!J1004),"")</f>
        <v/>
      </c>
      <c r="M1004" s="65" t="s">
        <v>16</v>
      </c>
      <c r="N1004" s="65" t="s">
        <v>255</v>
      </c>
      <c r="O1004" s="65" t="e">
        <f t="shared" ca="1" si="64"/>
        <v>#VALUE!</v>
      </c>
      <c r="P1004" s="65" t="str">
        <f t="shared" ca="1" si="65"/>
        <v/>
      </c>
    </row>
    <row r="1005" spans="1:16" s="65" customFormat="1" hidden="1" x14ac:dyDescent="0.25">
      <c r="A1005" s="289" t="str">
        <f>"# Oh dear Women Rating &gt; "&amp;Parameter!$B$33</f>
        <v># Oh dear Women Rating &gt; 600</v>
      </c>
      <c r="B1005" s="294">
        <f>MATCH(A1005,Data!$DT:$DT,0)</f>
        <v>18</v>
      </c>
      <c r="C1005" s="65">
        <f>INDEX(Parameter!$9:$9,,MATCH(4,Parameter!$8:$8,0))</f>
        <v>4</v>
      </c>
      <c r="D1005" s="65">
        <f>INDEX(Parameter!$B$10:$AB$10,MATCH(C1005,Parameter!$B$9:$AB$9,0))</f>
        <v>3</v>
      </c>
      <c r="H1005" s="65">
        <f ca="1">INDEX(OFFSET(Data!$CS$1:$DS$1,B1005-1,0),MATCH("Total/"&amp;C1005,Data!$CS$1:$DS$1,0))</f>
        <v>0</v>
      </c>
      <c r="I1005" s="65" t="str">
        <f ca="1">IF(H1005=1,INDEX(Parameter!$B$10:$AB$10,MATCH(C1005,Parameter!$B$9:$AB$9,0))+10,"")</f>
        <v/>
      </c>
      <c r="J1005" s="65" t="str">
        <f t="array" aca="1" ref="J1005" ca="1">IF(H1005=1,MATCH(1,(OFFSET(Data!$DY$1:$IB$1,B1005-1,0))*(Data!$DY$90:$IB$90=C1005),0),"")</f>
        <v/>
      </c>
      <c r="K1005" s="65" t="str">
        <f t="array" aca="1" ref="K1005" ca="1">IF(H1005=1,MATCH(I1005,OFFSET(Data!$DX$91:$DX$190,0,Specials!J1005)*(Data!$AM$91:$AM$190&gt;Parameter!$B$33)*(Data!$DW$91:$DW$190="W"),0),"")</f>
        <v/>
      </c>
      <c r="L1005" s="65" t="str">
        <f ca="1">IF(H1005=1,INDEX(Data!$DT$91:$DT$190,$K1005)&amp;" / "&amp;OFFSET(Data!$DX$89,0,Specials!J1005),"")</f>
        <v/>
      </c>
      <c r="M1005" s="65" t="s">
        <v>16</v>
      </c>
      <c r="N1005" s="65" t="s">
        <v>255</v>
      </c>
      <c r="O1005" s="65" t="e">
        <f t="shared" ca="1" si="64"/>
        <v>#VALUE!</v>
      </c>
      <c r="P1005" s="65" t="str">
        <f t="shared" ca="1" si="65"/>
        <v/>
      </c>
    </row>
    <row r="1006" spans="1:16" s="65" customFormat="1" hidden="1" x14ac:dyDescent="0.25">
      <c r="A1006" s="289" t="str">
        <f>"# Oh dear Women Rating &gt; "&amp;Parameter!$B$33</f>
        <v># Oh dear Women Rating &gt; 600</v>
      </c>
      <c r="B1006" s="294">
        <f>MATCH(A1006,Data!$DT:$DT,0)</f>
        <v>18</v>
      </c>
      <c r="C1006" s="65">
        <f>INDEX(Parameter!$9:$9,,MATCH(5,Parameter!$8:$8,0))</f>
        <v>5</v>
      </c>
      <c r="D1006" s="65">
        <f>INDEX(Parameter!$B$10:$AB$10,MATCH(C1006,Parameter!$B$9:$AB$9,0))</f>
        <v>4</v>
      </c>
      <c r="H1006" s="65">
        <f ca="1">INDEX(OFFSET(Data!$CS$1:$DS$1,B1006-1,0),MATCH("Total/"&amp;C1006,Data!$CS$1:$DS$1,0))</f>
        <v>0</v>
      </c>
      <c r="I1006" s="65" t="str">
        <f ca="1">IF(H1006=1,INDEX(Parameter!$B$10:$AB$10,MATCH(C1006,Parameter!$B$9:$AB$9,0))+10,"")</f>
        <v/>
      </c>
      <c r="J1006" s="65" t="str">
        <f t="array" aca="1" ref="J1006" ca="1">IF(H1006=1,MATCH(1,(OFFSET(Data!$DY$1:$IB$1,B1006-1,0))*(Data!$DY$90:$IB$90=C1006),0),"")</f>
        <v/>
      </c>
      <c r="K1006" s="65" t="str">
        <f t="array" aca="1" ref="K1006" ca="1">IF(H1006=1,MATCH(I1006,OFFSET(Data!$DX$91:$DX$190,0,Specials!J1006)*(Data!$AM$91:$AM$190&gt;Parameter!$B$33)*(Data!$DW$91:$DW$190="W"),0),"")</f>
        <v/>
      </c>
      <c r="L1006" s="65" t="str">
        <f ca="1">IF(H1006=1,INDEX(Data!$DT$91:$DT$190,$K1006)&amp;" / "&amp;OFFSET(Data!$DX$89,0,Specials!J1006),"")</f>
        <v/>
      </c>
      <c r="M1006" s="65" t="s">
        <v>16</v>
      </c>
      <c r="N1006" s="65" t="s">
        <v>255</v>
      </c>
      <c r="O1006" s="65" t="e">
        <f t="shared" ca="1" si="64"/>
        <v>#VALUE!</v>
      </c>
      <c r="P1006" s="65" t="str">
        <f t="shared" ca="1" si="65"/>
        <v/>
      </c>
    </row>
    <row r="1007" spans="1:16" s="65" customFormat="1" hidden="1" x14ac:dyDescent="0.25">
      <c r="A1007" s="289" t="str">
        <f>"# Oh dear Women Rating &gt; "&amp;Parameter!$B$33</f>
        <v># Oh dear Women Rating &gt; 600</v>
      </c>
      <c r="B1007" s="294">
        <f>MATCH(A1007,Data!$DT:$DT,0)</f>
        <v>18</v>
      </c>
      <c r="C1007" s="65">
        <f>INDEX(Parameter!$9:$9,,MATCH(6,Parameter!$8:$8,0))</f>
        <v>6</v>
      </c>
      <c r="D1007" s="65">
        <f>INDEX(Parameter!$B$10:$AB$10,MATCH(C1007,Parameter!$B$9:$AB$9,0))</f>
        <v>3</v>
      </c>
      <c r="H1007" s="65">
        <f ca="1">INDEX(OFFSET(Data!$CS$1:$DS$1,B1007-1,0),MATCH("Total/"&amp;C1007,Data!$CS$1:$DS$1,0))</f>
        <v>0</v>
      </c>
      <c r="I1007" s="65" t="str">
        <f ca="1">IF(H1007=1,INDEX(Parameter!$B$10:$AB$10,MATCH(C1007,Parameter!$B$9:$AB$9,0))+10,"")</f>
        <v/>
      </c>
      <c r="J1007" s="65" t="str">
        <f t="array" aca="1" ref="J1007" ca="1">IF(H1007=1,MATCH(1,(OFFSET(Data!$DY$1:$IB$1,B1007-1,0))*(Data!$DY$90:$IB$90=C1007),0),"")</f>
        <v/>
      </c>
      <c r="K1007" s="65" t="str">
        <f t="array" aca="1" ref="K1007" ca="1">IF(H1007=1,MATCH(I1007,OFFSET(Data!$DX$91:$DX$190,0,Specials!J1007)*(Data!$AM$91:$AM$190&gt;Parameter!$B$33)*(Data!$DW$91:$DW$190="W"),0),"")</f>
        <v/>
      </c>
      <c r="L1007" s="65" t="str">
        <f ca="1">IF(H1007=1,INDEX(Data!$DT$91:$DT$190,$K1007)&amp;" / "&amp;OFFSET(Data!$DX$89,0,Specials!J1007),"")</f>
        <v/>
      </c>
      <c r="M1007" s="65" t="s">
        <v>16</v>
      </c>
      <c r="N1007" s="65" t="s">
        <v>255</v>
      </c>
      <c r="O1007" s="65" t="e">
        <f t="shared" ca="1" si="64"/>
        <v>#VALUE!</v>
      </c>
      <c r="P1007" s="65" t="str">
        <f t="shared" ca="1" si="65"/>
        <v/>
      </c>
    </row>
    <row r="1008" spans="1:16" s="65" customFormat="1" hidden="1" x14ac:dyDescent="0.25">
      <c r="A1008" s="289" t="str">
        <f>"# Oh dear Women Rating &gt; "&amp;Parameter!$B$33</f>
        <v># Oh dear Women Rating &gt; 600</v>
      </c>
      <c r="B1008" s="294">
        <f>MATCH(A1008,Data!$DT:$DT,0)</f>
        <v>18</v>
      </c>
      <c r="C1008" s="65">
        <f>INDEX(Parameter!$9:$9,,MATCH(7,Parameter!$8:$8,0))</f>
        <v>7</v>
      </c>
      <c r="D1008" s="65">
        <f>INDEX(Parameter!$B$10:$AB$10,MATCH(C1008,Parameter!$B$9:$AB$9,0))</f>
        <v>3</v>
      </c>
      <c r="H1008" s="65">
        <f ca="1">INDEX(OFFSET(Data!$CS$1:$DS$1,B1008-1,0),MATCH("Total/"&amp;C1008,Data!$CS$1:$DS$1,0))</f>
        <v>0</v>
      </c>
      <c r="I1008" s="65" t="str">
        <f ca="1">IF(H1008=1,INDEX(Parameter!$B$10:$AB$10,MATCH(C1008,Parameter!$B$9:$AB$9,0))+10,"")</f>
        <v/>
      </c>
      <c r="J1008" s="65" t="str">
        <f t="array" aca="1" ref="J1008" ca="1">IF(H1008=1,MATCH(1,(OFFSET(Data!$DY$1:$IB$1,B1008-1,0))*(Data!$DY$90:$IB$90=C1008),0),"")</f>
        <v/>
      </c>
      <c r="K1008" s="65" t="str">
        <f t="array" aca="1" ref="K1008" ca="1">IF(H1008=1,MATCH(I1008,OFFSET(Data!$DX$91:$DX$190,0,Specials!J1008)*(Data!$AM$91:$AM$190&gt;Parameter!$B$33)*(Data!$DW$91:$DW$190="W"),0),"")</f>
        <v/>
      </c>
      <c r="L1008" s="65" t="str">
        <f ca="1">IF(H1008=1,INDEX(Data!$DT$91:$DT$190,$K1008)&amp;" / "&amp;OFFSET(Data!$DX$89,0,Specials!J1008),"")</f>
        <v/>
      </c>
      <c r="M1008" s="65" t="s">
        <v>16</v>
      </c>
      <c r="N1008" s="65" t="s">
        <v>255</v>
      </c>
      <c r="O1008" s="65" t="e">
        <f t="shared" ca="1" si="64"/>
        <v>#VALUE!</v>
      </c>
      <c r="P1008" s="65" t="str">
        <f t="shared" ca="1" si="65"/>
        <v/>
      </c>
    </row>
    <row r="1009" spans="1:16" s="65" customFormat="1" hidden="1" x14ac:dyDescent="0.25">
      <c r="A1009" s="289" t="str">
        <f>"# Oh dear Women Rating &gt; "&amp;Parameter!$B$33</f>
        <v># Oh dear Women Rating &gt; 600</v>
      </c>
      <c r="B1009" s="294">
        <f>MATCH(A1009,Data!$DT:$DT,0)</f>
        <v>18</v>
      </c>
      <c r="C1009" s="65">
        <f>INDEX(Parameter!$9:$9,,MATCH(8,Parameter!$8:$8,0))</f>
        <v>8</v>
      </c>
      <c r="D1009" s="65">
        <f>INDEX(Parameter!$B$10:$AB$10,MATCH(C1009,Parameter!$B$9:$AB$9,0))</f>
        <v>3</v>
      </c>
      <c r="H1009" s="65">
        <f ca="1">INDEX(OFFSET(Data!$CS$1:$DS$1,B1009-1,0),MATCH("Total/"&amp;C1009,Data!$CS$1:$DS$1,0))</f>
        <v>0</v>
      </c>
      <c r="I1009" s="65" t="str">
        <f ca="1">IF(H1009=1,INDEX(Parameter!$B$10:$AB$10,MATCH(C1009,Parameter!$B$9:$AB$9,0))+10,"")</f>
        <v/>
      </c>
      <c r="J1009" s="65" t="str">
        <f t="array" aca="1" ref="J1009" ca="1">IF(H1009=1,MATCH(1,(OFFSET(Data!$DY$1:$IB$1,B1009-1,0))*(Data!$DY$90:$IB$90=C1009),0),"")</f>
        <v/>
      </c>
      <c r="K1009" s="65" t="str">
        <f t="array" aca="1" ref="K1009" ca="1">IF(H1009=1,MATCH(I1009,OFFSET(Data!$DX$91:$DX$190,0,Specials!J1009)*(Data!$AM$91:$AM$190&gt;Parameter!$B$33)*(Data!$DW$91:$DW$190="W"),0),"")</f>
        <v/>
      </c>
      <c r="L1009" s="65" t="str">
        <f ca="1">IF(H1009=1,INDEX(Data!$DT$91:$DT$190,$K1009)&amp;" / "&amp;OFFSET(Data!$DX$89,0,Specials!J1009),"")</f>
        <v/>
      </c>
      <c r="M1009" s="65" t="s">
        <v>16</v>
      </c>
      <c r="N1009" s="65" t="s">
        <v>255</v>
      </c>
      <c r="O1009" s="65" t="e">
        <f t="shared" ca="1" si="64"/>
        <v>#VALUE!</v>
      </c>
      <c r="P1009" s="65" t="str">
        <f t="shared" ca="1" si="65"/>
        <v/>
      </c>
    </row>
    <row r="1010" spans="1:16" s="65" customFormat="1" hidden="1" x14ac:dyDescent="0.25">
      <c r="A1010" s="289" t="str">
        <f>"# Oh dear Women Rating &gt; "&amp;Parameter!$B$33</f>
        <v># Oh dear Women Rating &gt; 600</v>
      </c>
      <c r="B1010" s="294">
        <f>MATCH(A1010,Data!$DT:$DT,0)</f>
        <v>18</v>
      </c>
      <c r="C1010" s="65">
        <f>INDEX(Parameter!$9:$9,,MATCH(9,Parameter!$8:$8,0))</f>
        <v>9</v>
      </c>
      <c r="D1010" s="65">
        <f>INDEX(Parameter!$B$10:$AB$10,MATCH(C1010,Parameter!$B$9:$AB$9,0))</f>
        <v>4</v>
      </c>
      <c r="H1010" s="65">
        <f ca="1">INDEX(OFFSET(Data!$CS$1:$DS$1,B1010-1,0),MATCH("Total/"&amp;C1010,Data!$CS$1:$DS$1,0))</f>
        <v>0</v>
      </c>
      <c r="I1010" s="65" t="str">
        <f ca="1">IF(H1010=1,INDEX(Parameter!$B$10:$AB$10,MATCH(C1010,Parameter!$B$9:$AB$9,0))+10,"")</f>
        <v/>
      </c>
      <c r="J1010" s="65" t="str">
        <f t="array" aca="1" ref="J1010" ca="1">IF(H1010=1,MATCH(1,(OFFSET(Data!$DY$1:$IB$1,B1010-1,0))*(Data!$DY$90:$IB$90=C1010),0),"")</f>
        <v/>
      </c>
      <c r="K1010" s="65" t="str">
        <f t="array" aca="1" ref="K1010" ca="1">IF(H1010=1,MATCH(I1010,OFFSET(Data!$DX$91:$DX$190,0,Specials!J1010)*(Data!$AM$91:$AM$190&gt;Parameter!$B$33)*(Data!$DW$91:$DW$190="W"),0),"")</f>
        <v/>
      </c>
      <c r="L1010" s="65" t="str">
        <f ca="1">IF(H1010=1,INDEX(Data!$DT$91:$DT$190,$K1010)&amp;" / "&amp;OFFSET(Data!$DX$89,0,Specials!J1010),"")</f>
        <v/>
      </c>
      <c r="M1010" s="65" t="s">
        <v>16</v>
      </c>
      <c r="N1010" s="65" t="s">
        <v>255</v>
      </c>
      <c r="O1010" s="65" t="e">
        <f t="shared" ca="1" si="64"/>
        <v>#VALUE!</v>
      </c>
      <c r="P1010" s="65" t="str">
        <f t="shared" ca="1" si="65"/>
        <v/>
      </c>
    </row>
    <row r="1011" spans="1:16" s="65" customFormat="1" hidden="1" x14ac:dyDescent="0.25">
      <c r="A1011" s="289" t="str">
        <f>"# Oh dear Women Rating &gt; "&amp;Parameter!$B$33</f>
        <v># Oh dear Women Rating &gt; 600</v>
      </c>
      <c r="B1011" s="294">
        <f>MATCH(A1011,Data!$DT:$DT,0)</f>
        <v>18</v>
      </c>
      <c r="C1011" s="65">
        <f>INDEX(Parameter!$9:$9,,MATCH(10,Parameter!$8:$8,0))</f>
        <v>10</v>
      </c>
      <c r="D1011" s="65">
        <f>INDEX(Parameter!$B$10:$AB$10,MATCH(C1011,Parameter!$B$9:$AB$9,0))</f>
        <v>4</v>
      </c>
      <c r="H1011" s="65">
        <f ca="1">INDEX(OFFSET(Data!$CS$1:$DS$1,B1011-1,0),MATCH("Total/"&amp;C1011,Data!$CS$1:$DS$1,0))</f>
        <v>0</v>
      </c>
      <c r="I1011" s="65" t="str">
        <f ca="1">IF(H1011=1,INDEX(Parameter!$B$10:$AB$10,MATCH(C1011,Parameter!$B$9:$AB$9,0))+10,"")</f>
        <v/>
      </c>
      <c r="J1011" s="65" t="str">
        <f t="array" aca="1" ref="J1011" ca="1">IF(H1011=1,MATCH(1,(OFFSET(Data!$DY$1:$IB$1,B1011-1,0))*(Data!$DY$90:$IB$90=C1011),0),"")</f>
        <v/>
      </c>
      <c r="K1011" s="65" t="str">
        <f t="array" aca="1" ref="K1011" ca="1">IF(H1011=1,MATCH(I1011,OFFSET(Data!$DX$91:$DX$190,0,Specials!J1011)*(Data!$AM$91:$AM$190&gt;Parameter!$B$33)*(Data!$DW$91:$DW$190="W"),0),"")</f>
        <v/>
      </c>
      <c r="L1011" s="65" t="str">
        <f ca="1">IF(H1011=1,INDEX(Data!$DT$91:$DT$190,$K1011)&amp;" / "&amp;OFFSET(Data!$DX$89,0,Specials!J1011),"")</f>
        <v/>
      </c>
      <c r="M1011" s="65" t="s">
        <v>16</v>
      </c>
      <c r="N1011" s="65" t="s">
        <v>255</v>
      </c>
      <c r="O1011" s="65" t="e">
        <f t="shared" ca="1" si="64"/>
        <v>#VALUE!</v>
      </c>
      <c r="P1011" s="65" t="str">
        <f t="shared" ca="1" si="65"/>
        <v/>
      </c>
    </row>
    <row r="1012" spans="1:16" s="65" customFormat="1" hidden="1" x14ac:dyDescent="0.25">
      <c r="A1012" s="289" t="str">
        <f>"# Oh dear Women Rating &gt; "&amp;Parameter!$B$33</f>
        <v># Oh dear Women Rating &gt; 600</v>
      </c>
      <c r="B1012" s="294">
        <f>MATCH(A1012,Data!$DT:$DT,0)</f>
        <v>18</v>
      </c>
      <c r="C1012" s="65">
        <f>INDEX(Parameter!$9:$9,,MATCH(11,Parameter!$8:$8,0))</f>
        <v>11</v>
      </c>
      <c r="D1012" s="65">
        <f>INDEX(Parameter!$B$10:$AB$10,MATCH(C1012,Parameter!$B$9:$AB$9,0))</f>
        <v>4</v>
      </c>
      <c r="H1012" s="65">
        <f ca="1">INDEX(OFFSET(Data!$CS$1:$DS$1,B1012-1,0),MATCH("Total/"&amp;C1012,Data!$CS$1:$DS$1,0))</f>
        <v>0</v>
      </c>
      <c r="I1012" s="65" t="str">
        <f ca="1">IF(H1012=1,INDEX(Parameter!$B$10:$AB$10,MATCH(C1012,Parameter!$B$9:$AB$9,0))+10,"")</f>
        <v/>
      </c>
      <c r="J1012" s="65" t="str">
        <f t="array" aca="1" ref="J1012" ca="1">IF(H1012=1,MATCH(1,(OFFSET(Data!$DY$1:$IB$1,B1012-1,0))*(Data!$DY$90:$IB$90=C1012),0),"")</f>
        <v/>
      </c>
      <c r="K1012" s="65" t="str">
        <f t="array" aca="1" ref="K1012" ca="1">IF(H1012=1,MATCH(I1012,OFFSET(Data!$DX$91:$DX$190,0,Specials!J1012)*(Data!$AM$91:$AM$190&gt;Parameter!$B$33)*(Data!$DW$91:$DW$190="W"),0),"")</f>
        <v/>
      </c>
      <c r="L1012" s="65" t="str">
        <f ca="1">IF(H1012=1,INDEX(Data!$DT$91:$DT$190,$K1012)&amp;" / "&amp;OFFSET(Data!$DX$89,0,Specials!J1012),"")</f>
        <v/>
      </c>
      <c r="M1012" s="65" t="s">
        <v>16</v>
      </c>
      <c r="N1012" s="65" t="s">
        <v>255</v>
      </c>
      <c r="O1012" s="65" t="e">
        <f t="shared" ca="1" si="64"/>
        <v>#VALUE!</v>
      </c>
      <c r="P1012" s="65" t="str">
        <f t="shared" ca="1" si="65"/>
        <v/>
      </c>
    </row>
    <row r="1013" spans="1:16" s="65" customFormat="1" hidden="1" x14ac:dyDescent="0.25">
      <c r="A1013" s="289" t="str">
        <f>"# Oh dear Women Rating &gt; "&amp;Parameter!$B$33</f>
        <v># Oh dear Women Rating &gt; 600</v>
      </c>
      <c r="B1013" s="294">
        <f>MATCH(A1013,Data!$DT:$DT,0)</f>
        <v>18</v>
      </c>
      <c r="C1013" s="65" t="str">
        <f>INDEX(Parameter!$9:$9,,MATCH(12,Parameter!$8:$8,0))</f>
        <v>11b</v>
      </c>
      <c r="D1013" s="65">
        <f>INDEX(Parameter!$B$10:$AB$10,MATCH(C1013,Parameter!$B$9:$AB$9,0))</f>
        <v>3</v>
      </c>
      <c r="H1013" s="65">
        <f ca="1">INDEX(OFFSET(Data!$CS$1:$DS$1,B1013-1,0),MATCH("Total/"&amp;C1013,Data!$CS$1:$DS$1,0))</f>
        <v>0</v>
      </c>
      <c r="I1013" s="65" t="str">
        <f ca="1">IF(H1013=1,INDEX(Parameter!$B$10:$AB$10,MATCH(C1013,Parameter!$B$9:$AB$9,0))+10,"")</f>
        <v/>
      </c>
      <c r="J1013" s="65" t="str">
        <f t="array" aca="1" ref="J1013" ca="1">IF(H1013=1,MATCH(1,(OFFSET(Data!$DY$1:$IB$1,B1013-1,0))*(Data!$DY$90:$IB$90=C1013),0),"")</f>
        <v/>
      </c>
      <c r="K1013" s="65" t="str">
        <f t="array" aca="1" ref="K1013" ca="1">IF(H1013=1,MATCH(I1013,OFFSET(Data!$DX$91:$DX$190,0,Specials!J1013)*(Data!$AM$91:$AM$190&gt;Parameter!$B$33)*(Data!$DW$91:$DW$190="W"),0),"")</f>
        <v/>
      </c>
      <c r="L1013" s="65" t="str">
        <f ca="1">IF(H1013=1,INDEX(Data!$DT$91:$DT$190,$K1013)&amp;" / "&amp;OFFSET(Data!$DX$89,0,Specials!J1013),"")</f>
        <v/>
      </c>
      <c r="M1013" s="65" t="s">
        <v>16</v>
      </c>
      <c r="N1013" s="65" t="s">
        <v>255</v>
      </c>
      <c r="O1013" s="65" t="e">
        <f t="shared" ca="1" si="64"/>
        <v>#VALUE!</v>
      </c>
      <c r="P1013" s="65" t="str">
        <f t="shared" ca="1" si="65"/>
        <v/>
      </c>
    </row>
    <row r="1014" spans="1:16" s="65" customFormat="1" hidden="1" x14ac:dyDescent="0.25">
      <c r="A1014" s="289" t="str">
        <f>"# Oh dear Women Rating &gt; "&amp;Parameter!$B$33</f>
        <v># Oh dear Women Rating &gt; 600</v>
      </c>
      <c r="B1014" s="294">
        <f>MATCH(A1014,Data!$DT:$DT,0)</f>
        <v>18</v>
      </c>
      <c r="C1014" s="65">
        <f>INDEX(Parameter!$9:$9,,MATCH(13,Parameter!$8:$8,0))</f>
        <v>12</v>
      </c>
      <c r="D1014" s="65">
        <f>INDEX(Parameter!$B$10:$AB$10,MATCH(C1014,Parameter!$B$9:$AB$9,0))</f>
        <v>3</v>
      </c>
      <c r="H1014" s="65">
        <f ca="1">INDEX(OFFSET(Data!$CS$1:$DS$1,B1014-1,0),MATCH("Total/"&amp;C1014,Data!$CS$1:$DS$1,0))</f>
        <v>0</v>
      </c>
      <c r="I1014" s="65" t="str">
        <f ca="1">IF(H1014=1,INDEX(Parameter!$B$10:$AB$10,MATCH(C1014,Parameter!$B$9:$AB$9,0))+10,"")</f>
        <v/>
      </c>
      <c r="J1014" s="65" t="str">
        <f t="array" aca="1" ref="J1014" ca="1">IF(H1014=1,MATCH(1,(OFFSET(Data!$DY$1:$IB$1,B1014-1,0))*(Data!$DY$90:$IB$90=C1014),0),"")</f>
        <v/>
      </c>
      <c r="K1014" s="65" t="str">
        <f t="array" aca="1" ref="K1014" ca="1">IF(H1014=1,MATCH(I1014,OFFSET(Data!$DX$91:$DX$190,0,Specials!J1014)*(Data!$AM$91:$AM$190&gt;Parameter!$B$33)*(Data!$DW$91:$DW$190="W"),0),"")</f>
        <v/>
      </c>
      <c r="L1014" s="65" t="str">
        <f ca="1">IF(H1014=1,INDEX(Data!$DT$91:$DT$190,$K1014)&amp;" / "&amp;OFFSET(Data!$DX$89,0,Specials!J1014),"")</f>
        <v/>
      </c>
      <c r="M1014" s="65" t="s">
        <v>16</v>
      </c>
      <c r="N1014" s="65" t="s">
        <v>255</v>
      </c>
      <c r="O1014" s="65" t="e">
        <f t="shared" ca="1" si="64"/>
        <v>#VALUE!</v>
      </c>
      <c r="P1014" s="65" t="str">
        <f t="shared" ca="1" si="65"/>
        <v/>
      </c>
    </row>
    <row r="1015" spans="1:16" s="65" customFormat="1" hidden="1" x14ac:dyDescent="0.25">
      <c r="A1015" s="289" t="str">
        <f>"# Oh dear Women Rating &gt; "&amp;Parameter!$B$33</f>
        <v># Oh dear Women Rating &gt; 600</v>
      </c>
      <c r="B1015" s="294">
        <f>MATCH(A1015,Data!$DT:$DT,0)</f>
        <v>18</v>
      </c>
      <c r="C1015" s="65">
        <f>INDEX(Parameter!$9:$9,,MATCH(14,Parameter!$8:$8,0))</f>
        <v>13</v>
      </c>
      <c r="D1015" s="65">
        <f>INDEX(Parameter!$B$10:$AB$10,MATCH(C1015,Parameter!$B$9:$AB$9,0))</f>
        <v>3</v>
      </c>
      <c r="H1015" s="65">
        <f ca="1">INDEX(OFFSET(Data!$CS$1:$DS$1,B1015-1,0),MATCH("Total/"&amp;C1015,Data!$CS$1:$DS$1,0))</f>
        <v>0</v>
      </c>
      <c r="I1015" s="65" t="str">
        <f ca="1">IF(H1015=1,INDEX(Parameter!$B$10:$AB$10,MATCH(C1015,Parameter!$B$9:$AB$9,0))+10,"")</f>
        <v/>
      </c>
      <c r="J1015" s="65" t="str">
        <f t="array" aca="1" ref="J1015" ca="1">IF(H1015=1,MATCH(1,(OFFSET(Data!$DY$1:$IB$1,B1015-1,0))*(Data!$DY$90:$IB$90=C1015),0),"")</f>
        <v/>
      </c>
      <c r="K1015" s="65" t="str">
        <f t="array" aca="1" ref="K1015" ca="1">IF(H1015=1,MATCH(I1015,OFFSET(Data!$DX$91:$DX$190,0,Specials!J1015)*(Data!$AM$91:$AM$190&gt;Parameter!$B$33)*(Data!$DW$91:$DW$190="W"),0),"")</f>
        <v/>
      </c>
      <c r="L1015" s="65" t="str">
        <f ca="1">IF(H1015=1,INDEX(Data!$DT$91:$DT$190,$K1015)&amp;" / "&amp;OFFSET(Data!$DX$89,0,Specials!J1015),"")</f>
        <v/>
      </c>
      <c r="M1015" s="65" t="s">
        <v>16</v>
      </c>
      <c r="N1015" s="65" t="s">
        <v>255</v>
      </c>
      <c r="O1015" s="65" t="e">
        <f t="shared" ca="1" si="64"/>
        <v>#VALUE!</v>
      </c>
      <c r="P1015" s="65" t="str">
        <f t="shared" ca="1" si="65"/>
        <v/>
      </c>
    </row>
    <row r="1016" spans="1:16" s="65" customFormat="1" hidden="1" x14ac:dyDescent="0.25">
      <c r="A1016" s="289" t="str">
        <f>"# Oh dear Women Rating &gt; "&amp;Parameter!$B$33</f>
        <v># Oh dear Women Rating &gt; 600</v>
      </c>
      <c r="B1016" s="294">
        <f>MATCH(A1016,Data!$DT:$DT,0)</f>
        <v>18</v>
      </c>
      <c r="C1016" s="65">
        <f>INDEX(Parameter!$9:$9,,MATCH(15,Parameter!$8:$8,0))</f>
        <v>14</v>
      </c>
      <c r="D1016" s="65">
        <f>INDEX(Parameter!$B$10:$AB$10,MATCH(C1016,Parameter!$B$9:$AB$9,0))</f>
        <v>3</v>
      </c>
      <c r="H1016" s="65">
        <f ca="1">INDEX(OFFSET(Data!$CS$1:$DS$1,B1016-1,0),MATCH("Total/"&amp;C1016,Data!$CS$1:$DS$1,0))</f>
        <v>0</v>
      </c>
      <c r="I1016" s="65" t="str">
        <f ca="1">IF(H1016=1,INDEX(Parameter!$B$10:$AB$10,MATCH(C1016,Parameter!$B$9:$AB$9,0))+10,"")</f>
        <v/>
      </c>
      <c r="J1016" s="65" t="str">
        <f t="array" aca="1" ref="J1016" ca="1">IF(H1016=1,MATCH(1,(OFFSET(Data!$DY$1:$IB$1,B1016-1,0))*(Data!$DY$90:$IB$90=C1016),0),"")</f>
        <v/>
      </c>
      <c r="K1016" s="65" t="str">
        <f t="array" aca="1" ref="K1016" ca="1">IF(H1016=1,MATCH(I1016,OFFSET(Data!$DX$91:$DX$190,0,Specials!J1016)*(Data!$AM$91:$AM$190&gt;Parameter!$B$33)*(Data!$DW$91:$DW$190="W"),0),"")</f>
        <v/>
      </c>
      <c r="L1016" s="65" t="str">
        <f ca="1">IF(H1016=1,INDEX(Data!$DT$91:$DT$190,$K1016)&amp;" / "&amp;OFFSET(Data!$DX$89,0,Specials!J1016),"")</f>
        <v/>
      </c>
      <c r="M1016" s="65" t="s">
        <v>16</v>
      </c>
      <c r="N1016" s="65" t="s">
        <v>255</v>
      </c>
      <c r="O1016" s="65" t="e">
        <f t="shared" ca="1" si="64"/>
        <v>#VALUE!</v>
      </c>
      <c r="P1016" s="65" t="str">
        <f t="shared" ca="1" si="65"/>
        <v/>
      </c>
    </row>
    <row r="1017" spans="1:16" s="65" customFormat="1" hidden="1" x14ac:dyDescent="0.25">
      <c r="A1017" s="289" t="str">
        <f>"# Oh dear Women Rating &gt; "&amp;Parameter!$B$33</f>
        <v># Oh dear Women Rating &gt; 600</v>
      </c>
      <c r="B1017" s="294">
        <f>MATCH(A1017,Data!$DT:$DT,0)</f>
        <v>18</v>
      </c>
      <c r="C1017" s="65">
        <f>INDEX(Parameter!$9:$9,,MATCH(16,Parameter!$8:$8,0))</f>
        <v>15</v>
      </c>
      <c r="D1017" s="65">
        <f>INDEX(Parameter!$B$10:$AB$10,MATCH(C1017,Parameter!$B$9:$AB$9,0))</f>
        <v>3</v>
      </c>
      <c r="H1017" s="65">
        <f ca="1">INDEX(OFFSET(Data!$CS$1:$DS$1,B1017-1,0),MATCH("Total/"&amp;C1017,Data!$CS$1:$DS$1,0))</f>
        <v>0</v>
      </c>
      <c r="I1017" s="65" t="str">
        <f ca="1">IF(H1017=1,INDEX(Parameter!$B$10:$AB$10,MATCH(C1017,Parameter!$B$9:$AB$9,0))+10,"")</f>
        <v/>
      </c>
      <c r="J1017" s="65" t="str">
        <f t="array" aca="1" ref="J1017" ca="1">IF(H1017=1,MATCH(1,(OFFSET(Data!$DY$1:$IB$1,B1017-1,0))*(Data!$DY$90:$IB$90=C1017),0),"")</f>
        <v/>
      </c>
      <c r="K1017" s="65" t="str">
        <f t="array" aca="1" ref="K1017" ca="1">IF(H1017=1,MATCH(I1017,OFFSET(Data!$DX$91:$DX$190,0,Specials!J1017)*(Data!$AM$91:$AM$190&gt;Parameter!$B$33)*(Data!$DW$91:$DW$190="W"),0),"")</f>
        <v/>
      </c>
      <c r="L1017" s="65" t="str">
        <f ca="1">IF(H1017=1,INDEX(Data!$DT$91:$DT$190,$K1017)&amp;" / "&amp;OFFSET(Data!$DX$89,0,Specials!J1017),"")</f>
        <v/>
      </c>
      <c r="M1017" s="65" t="s">
        <v>16</v>
      </c>
      <c r="N1017" s="65" t="s">
        <v>255</v>
      </c>
      <c r="O1017" s="65" t="e">
        <f t="shared" ca="1" si="64"/>
        <v>#VALUE!</v>
      </c>
      <c r="P1017" s="65" t="str">
        <f t="shared" ca="1" si="65"/>
        <v/>
      </c>
    </row>
    <row r="1018" spans="1:16" s="65" customFormat="1" hidden="1" x14ac:dyDescent="0.25">
      <c r="A1018" s="289" t="str">
        <f>"# Oh dear Women Rating &gt; "&amp;Parameter!$B$33</f>
        <v># Oh dear Women Rating &gt; 600</v>
      </c>
      <c r="B1018" s="294">
        <f>MATCH(A1018,Data!$DT:$DT,0)</f>
        <v>18</v>
      </c>
      <c r="C1018" s="65">
        <f>INDEX(Parameter!$9:$9,,MATCH(17,Parameter!$8:$8,0))</f>
        <v>16</v>
      </c>
      <c r="D1018" s="65">
        <f>INDEX(Parameter!$B$10:$AB$10,MATCH(C1018,Parameter!$B$9:$AB$9,0))</f>
        <v>3</v>
      </c>
      <c r="H1018" s="65">
        <f ca="1">INDEX(OFFSET(Data!$CS$1:$DS$1,B1018-1,0),MATCH("Total/"&amp;C1018,Data!$CS$1:$DS$1,0))</f>
        <v>0</v>
      </c>
      <c r="I1018" s="65" t="str">
        <f ca="1">IF(H1018=1,INDEX(Parameter!$B$10:$AB$10,MATCH(C1018,Parameter!$B$9:$AB$9,0))+10,"")</f>
        <v/>
      </c>
      <c r="J1018" s="65" t="str">
        <f t="array" aca="1" ref="J1018" ca="1">IF(H1018=1,MATCH(1,(OFFSET(Data!$DY$1:$IB$1,B1018-1,0))*(Data!$DY$90:$IB$90=C1018),0),"")</f>
        <v/>
      </c>
      <c r="K1018" s="65" t="str">
        <f t="array" aca="1" ref="K1018" ca="1">IF(H1018=1,MATCH(I1018,OFFSET(Data!$DX$91:$DX$190,0,Specials!J1018)*(Data!$AM$91:$AM$190&gt;Parameter!$B$33)*(Data!$DW$91:$DW$190="W"),0),"")</f>
        <v/>
      </c>
      <c r="L1018" s="65" t="str">
        <f ca="1">IF(H1018=1,INDEX(Data!$DT$91:$DT$190,$K1018)&amp;" / "&amp;OFFSET(Data!$DX$89,0,Specials!J1018),"")</f>
        <v/>
      </c>
      <c r="M1018" s="65" t="s">
        <v>16</v>
      </c>
      <c r="N1018" s="65" t="s">
        <v>255</v>
      </c>
      <c r="O1018" s="65" t="e">
        <f t="shared" ca="1" si="64"/>
        <v>#VALUE!</v>
      </c>
      <c r="P1018" s="65" t="str">
        <f t="shared" ca="1" si="65"/>
        <v/>
      </c>
    </row>
    <row r="1019" spans="1:16" s="65" customFormat="1" hidden="1" x14ac:dyDescent="0.25">
      <c r="A1019" s="289" t="str">
        <f>"# Oh dear Women Rating &gt; "&amp;Parameter!$B$33</f>
        <v># Oh dear Women Rating &gt; 600</v>
      </c>
      <c r="B1019" s="294">
        <f>MATCH(A1019,Data!$DT:$DT,0)</f>
        <v>18</v>
      </c>
      <c r="C1019" s="65">
        <f>INDEX(Parameter!$9:$9,,MATCH(18,Parameter!$8:$8,0))</f>
        <v>17</v>
      </c>
      <c r="D1019" s="65">
        <f>INDEX(Parameter!$B$10:$AB$10,MATCH(C1019,Parameter!$B$9:$AB$9,0))</f>
        <v>3</v>
      </c>
      <c r="H1019" s="65">
        <f ca="1">INDEX(OFFSET(Data!$CS$1:$DS$1,B1019-1,0),MATCH("Total/"&amp;C1019,Data!$CS$1:$DS$1,0))</f>
        <v>0</v>
      </c>
      <c r="I1019" s="65" t="str">
        <f ca="1">IF(H1019=1,INDEX(Parameter!$B$10:$AB$10,MATCH(C1019,Parameter!$B$9:$AB$9,0))+10,"")</f>
        <v/>
      </c>
      <c r="J1019" s="65" t="str">
        <f t="array" aca="1" ref="J1019" ca="1">IF(H1019=1,MATCH(1,(OFFSET(Data!$DY$1:$IB$1,B1019-1,0))*(Data!$DY$90:$IB$90=C1019),0),"")</f>
        <v/>
      </c>
      <c r="K1019" s="65" t="str">
        <f t="array" aca="1" ref="K1019" ca="1">IF(H1019=1,MATCH(I1019,OFFSET(Data!$DX$91:$DX$190,0,Specials!J1019)*(Data!$AM$91:$AM$190&gt;Parameter!$B$33)*(Data!$DW$91:$DW$190="W"),0),"")</f>
        <v/>
      </c>
      <c r="L1019" s="65" t="str">
        <f ca="1">IF(H1019=1,INDEX(Data!$DT$91:$DT$190,$K1019)&amp;" / "&amp;OFFSET(Data!$DX$89,0,Specials!J1019),"")</f>
        <v/>
      </c>
      <c r="M1019" s="65" t="s">
        <v>16</v>
      </c>
      <c r="N1019" s="65" t="s">
        <v>255</v>
      </c>
      <c r="O1019" s="65" t="e">
        <f t="shared" ca="1" si="64"/>
        <v>#VALUE!</v>
      </c>
      <c r="P1019" s="65" t="str">
        <f t="shared" ca="1" si="65"/>
        <v/>
      </c>
    </row>
    <row r="1020" spans="1:16" s="65" customFormat="1" hidden="1" x14ac:dyDescent="0.25">
      <c r="A1020" s="289" t="str">
        <f>"# Oh dear Women Rating &gt; "&amp;Parameter!$B$33</f>
        <v># Oh dear Women Rating &gt; 600</v>
      </c>
      <c r="B1020" s="294">
        <f>MATCH(A1020,Data!$DT:$DT,0)</f>
        <v>18</v>
      </c>
      <c r="C1020" s="65">
        <f>INDEX(Parameter!$9:$9,,MATCH(19,Parameter!$8:$8,0))</f>
        <v>18</v>
      </c>
      <c r="D1020" s="65">
        <f>INDEX(Parameter!$B$10:$AB$10,MATCH(C1020,Parameter!$B$9:$AB$9,0))</f>
        <v>3</v>
      </c>
      <c r="H1020" s="65">
        <f ca="1">INDEX(OFFSET(Data!$CS$1:$DS$1,B1020-1,0),MATCH("Total/"&amp;C1020,Data!$CS$1:$DS$1,0))</f>
        <v>0</v>
      </c>
      <c r="I1020" s="65" t="str">
        <f ca="1">IF(H1020=1,INDEX(Parameter!$B$10:$AB$10,MATCH(C1020,Parameter!$B$9:$AB$9,0))+10,"")</f>
        <v/>
      </c>
      <c r="J1020" s="65" t="str">
        <f t="array" aca="1" ref="J1020" ca="1">IF(H1020=1,MATCH(1,(OFFSET(Data!$DY$1:$IB$1,B1020-1,0))*(Data!$DY$90:$IB$90=C1020),0),"")</f>
        <v/>
      </c>
      <c r="K1020" s="65" t="str">
        <f t="array" aca="1" ref="K1020" ca="1">IF(H1020=1,MATCH(I1020,OFFSET(Data!$DX$91:$DX$190,0,Specials!J1020)*(Data!$AM$91:$AM$190&gt;Parameter!$B$33)*(Data!$DW$91:$DW$190="W"),0),"")</f>
        <v/>
      </c>
      <c r="L1020" s="65" t="str">
        <f ca="1">IF(H1020=1,INDEX(Data!$DT$91:$DT$190,$K1020)&amp;" / "&amp;OFFSET(Data!$DX$89,0,Specials!J1020),"")</f>
        <v/>
      </c>
      <c r="M1020" s="65" t="s">
        <v>16</v>
      </c>
      <c r="N1020" s="65" t="s">
        <v>255</v>
      </c>
      <c r="O1020" s="65" t="e">
        <f t="shared" ca="1" si="64"/>
        <v>#VALUE!</v>
      </c>
      <c r="P1020" s="65" t="str">
        <f t="shared" ca="1" si="65"/>
        <v/>
      </c>
    </row>
    <row r="1021" spans="1:16" s="65" customFormat="1" hidden="1" x14ac:dyDescent="0.25">
      <c r="A1021" s="289" t="str">
        <f>"# Oh dear Women Rating &gt; "&amp;Parameter!$B$33</f>
        <v># Oh dear Women Rating &gt; 600</v>
      </c>
      <c r="B1021" s="294">
        <f>MATCH(A1021,Data!$DT:$DT,0)</f>
        <v>18</v>
      </c>
      <c r="C1021" s="65">
        <f>INDEX(Parameter!$9:$9,,MATCH(20,Parameter!$8:$8,0))</f>
        <v>20</v>
      </c>
      <c r="D1021" s="65" t="str">
        <f>INDEX(Parameter!$B$10:$AB$10,MATCH(C1021,Parameter!$B$9:$AB$9,0))</f>
        <v>no</v>
      </c>
      <c r="H1021" s="65">
        <f ca="1">INDEX(OFFSET(Data!$CS$1:$DS$1,B1021-1,0),MATCH("Total/"&amp;C1021,Data!$CS$1:$DS$1,0))</f>
        <v>0</v>
      </c>
      <c r="I1021" s="65" t="str">
        <f ca="1">IF(H1021=1,INDEX(Parameter!$B$10:$AB$10,MATCH(C1021,Parameter!$B$9:$AB$9,0))+10,"")</f>
        <v/>
      </c>
      <c r="J1021" s="65" t="str">
        <f t="array" aca="1" ref="J1021" ca="1">IF(H1021=1,MATCH(1,(OFFSET(Data!$DY$1:$IB$1,B1021-1,0))*(Data!$DY$90:$IB$90=C1021),0),"")</f>
        <v/>
      </c>
      <c r="K1021" s="65" t="str">
        <f t="array" aca="1" ref="K1021" ca="1">IF(H1021=1,MATCH(I1021,OFFSET(Data!$DX$91:$DX$190,0,Specials!J1021)*(Data!$AM$91:$AM$190&gt;Parameter!$B$33)*(Data!$DW$91:$DW$190="W"),0),"")</f>
        <v/>
      </c>
      <c r="L1021" s="65" t="str">
        <f ca="1">IF(H1021=1,INDEX(Data!$DT$91:$DT$190,$K1021)&amp;" / "&amp;OFFSET(Data!$DX$89,0,Specials!J1021),"")</f>
        <v/>
      </c>
      <c r="M1021" s="65" t="s">
        <v>16</v>
      </c>
      <c r="N1021" s="65" t="s">
        <v>255</v>
      </c>
      <c r="O1021" s="65" t="e">
        <f t="shared" ca="1" si="64"/>
        <v>#VALUE!</v>
      </c>
      <c r="P1021" s="65" t="str">
        <f t="shared" ca="1" si="65"/>
        <v/>
      </c>
    </row>
    <row r="1022" spans="1:16" s="65" customFormat="1" hidden="1" x14ac:dyDescent="0.25">
      <c r="A1022" s="289" t="str">
        <f>"# Oh dear Women Rating &gt; "&amp;Parameter!$B$33</f>
        <v># Oh dear Women Rating &gt; 600</v>
      </c>
      <c r="B1022" s="294">
        <f>MATCH(A1022,Data!$DT:$DT,0)</f>
        <v>18</v>
      </c>
      <c r="C1022" s="65">
        <f>INDEX(Parameter!$9:$9,,MATCH(21,Parameter!$8:$8,0))</f>
        <v>21</v>
      </c>
      <c r="D1022" s="65" t="str">
        <f>INDEX(Parameter!$B$10:$AB$10,MATCH(C1022,Parameter!$B$9:$AB$9,0))</f>
        <v>no</v>
      </c>
      <c r="H1022" s="65">
        <f ca="1">INDEX(OFFSET(Data!$CS$1:$DS$1,B1022-1,0),MATCH("Total/"&amp;C1022,Data!$CS$1:$DS$1,0))</f>
        <v>0</v>
      </c>
      <c r="I1022" s="65" t="str">
        <f ca="1">IF(H1022=1,INDEX(Parameter!$B$10:$AB$10,MATCH(C1022,Parameter!$B$9:$AB$9,0))+10,"")</f>
        <v/>
      </c>
      <c r="J1022" s="65" t="str">
        <f t="array" aca="1" ref="J1022" ca="1">IF(H1022=1,MATCH(1,(OFFSET(Data!$DY$1:$IB$1,B1022-1,0))*(Data!$DY$90:$IB$90=C1022),0),"")</f>
        <v/>
      </c>
      <c r="K1022" s="65" t="str">
        <f t="array" aca="1" ref="K1022" ca="1">IF(H1022=1,MATCH(I1022,OFFSET(Data!$DX$91:$DX$190,0,Specials!J1022)*(Data!$AM$91:$AM$190&gt;Parameter!$B$33)*(Data!$DW$91:$DW$190="W"),0),"")</f>
        <v/>
      </c>
      <c r="L1022" s="65" t="str">
        <f ca="1">IF(H1022=1,INDEX(Data!$DT$91:$DT$190,$K1022)&amp;" / "&amp;OFFSET(Data!$DX$89,0,Specials!J1022),"")</f>
        <v/>
      </c>
      <c r="M1022" s="65" t="s">
        <v>16</v>
      </c>
      <c r="N1022" s="65" t="s">
        <v>255</v>
      </c>
      <c r="O1022" s="65" t="e">
        <f t="shared" ca="1" si="64"/>
        <v>#VALUE!</v>
      </c>
      <c r="P1022" s="65" t="str">
        <f t="shared" ca="1" si="65"/>
        <v/>
      </c>
    </row>
    <row r="1023" spans="1:16" s="65" customFormat="1" hidden="1" x14ac:dyDescent="0.25">
      <c r="A1023" s="289" t="str">
        <f>"# Oh dear Women Rating &gt; "&amp;Parameter!$B$33</f>
        <v># Oh dear Women Rating &gt; 600</v>
      </c>
      <c r="B1023" s="294">
        <f>MATCH(A1023,Data!$DT:$DT,0)</f>
        <v>18</v>
      </c>
      <c r="C1023" s="65">
        <f>INDEX(Parameter!$9:$9,,MATCH(22,Parameter!$8:$8,0))</f>
        <v>22</v>
      </c>
      <c r="D1023" s="65" t="str">
        <f>INDEX(Parameter!$B$10:$AB$10,MATCH(C1023,Parameter!$B$9:$AB$9,0))</f>
        <v>no</v>
      </c>
      <c r="H1023" s="65">
        <f ca="1">INDEX(OFFSET(Data!$CS$1:$DS$1,B1023-1,0),MATCH("Total/"&amp;C1023,Data!$CS$1:$DS$1,0))</f>
        <v>0</v>
      </c>
      <c r="I1023" s="65" t="str">
        <f ca="1">IF(H1023=1,INDEX(Parameter!$B$10:$AB$10,MATCH(C1023,Parameter!$B$9:$AB$9,0))+10,"")</f>
        <v/>
      </c>
      <c r="J1023" s="65" t="str">
        <f t="array" aca="1" ref="J1023" ca="1">IF(H1023=1,MATCH(1,(OFFSET(Data!$DY$1:$IB$1,B1023-1,0))*(Data!$DY$90:$IB$90=C1023),0),"")</f>
        <v/>
      </c>
      <c r="K1023" s="65" t="str">
        <f t="array" aca="1" ref="K1023" ca="1">IF(H1023=1,MATCH(I1023,OFFSET(Data!$DX$91:$DX$190,0,Specials!J1023)*(Data!$AM$91:$AM$190&gt;Parameter!$B$33)*(Data!$DW$91:$DW$190="W"),0),"")</f>
        <v/>
      </c>
      <c r="L1023" s="65" t="str">
        <f ca="1">IF(H1023=1,INDEX(Data!$DT$91:$DT$190,$K1023)&amp;" / "&amp;OFFSET(Data!$DX$89,0,Specials!J1023),"")</f>
        <v/>
      </c>
      <c r="M1023" s="65" t="s">
        <v>16</v>
      </c>
      <c r="N1023" s="65" t="s">
        <v>255</v>
      </c>
      <c r="O1023" s="65" t="e">
        <f t="shared" ca="1" si="64"/>
        <v>#VALUE!</v>
      </c>
      <c r="P1023" s="65" t="str">
        <f t="shared" ca="1" si="65"/>
        <v/>
      </c>
    </row>
    <row r="1024" spans="1:16" s="65" customFormat="1" hidden="1" x14ac:dyDescent="0.25">
      <c r="A1024" s="289" t="str">
        <f>"# Oh dear Women Rating &gt; "&amp;Parameter!$B$33</f>
        <v># Oh dear Women Rating &gt; 600</v>
      </c>
      <c r="B1024" s="294">
        <f>MATCH(A1024,Data!$DT:$DT,0)</f>
        <v>18</v>
      </c>
      <c r="C1024" s="65">
        <f>INDEX(Parameter!$9:$9,,MATCH(23,Parameter!$8:$8,0))</f>
        <v>23</v>
      </c>
      <c r="D1024" s="65" t="str">
        <f>INDEX(Parameter!$B$10:$AB$10,MATCH(C1024,Parameter!$B$9:$AB$9,0))</f>
        <v>no</v>
      </c>
      <c r="H1024" s="65">
        <f ca="1">INDEX(OFFSET(Data!$CS$1:$DS$1,B1024-1,0),MATCH("Total/"&amp;C1024,Data!$CS$1:$DS$1,0))</f>
        <v>0</v>
      </c>
      <c r="I1024" s="65" t="str">
        <f ca="1">IF(H1024=1,INDEX(Parameter!$B$10:$AB$10,MATCH(C1024,Parameter!$B$9:$AB$9,0))+10,"")</f>
        <v/>
      </c>
      <c r="J1024" s="65" t="str">
        <f t="array" aca="1" ref="J1024" ca="1">IF(H1024=1,MATCH(1,(OFFSET(Data!$DY$1:$IB$1,B1024-1,0))*(Data!$DY$90:$IB$90=C1024),0),"")</f>
        <v/>
      </c>
      <c r="K1024" s="65" t="str">
        <f t="array" aca="1" ref="K1024" ca="1">IF(H1024=1,MATCH(I1024,OFFSET(Data!$DX$91:$DX$190,0,Specials!J1024)*(Data!$AM$91:$AM$190&gt;Parameter!$B$33)*(Data!$DW$91:$DW$190="W"),0),"")</f>
        <v/>
      </c>
      <c r="L1024" s="65" t="str">
        <f ca="1">IF(H1024=1,INDEX(Data!$DT$91:$DT$190,$K1024)&amp;" / "&amp;OFFSET(Data!$DX$89,0,Specials!J1024),"")</f>
        <v/>
      </c>
      <c r="M1024" s="65" t="s">
        <v>16</v>
      </c>
      <c r="N1024" s="65" t="s">
        <v>255</v>
      </c>
      <c r="O1024" s="65" t="e">
        <f t="shared" ca="1" si="64"/>
        <v>#VALUE!</v>
      </c>
      <c r="P1024" s="65" t="str">
        <f t="shared" ca="1" si="65"/>
        <v/>
      </c>
    </row>
    <row r="1025" spans="1:16" s="65" customFormat="1" hidden="1" x14ac:dyDescent="0.25">
      <c r="A1025" s="289" t="str">
        <f>"# Oh dear Women Rating &gt; "&amp;Parameter!$B$33</f>
        <v># Oh dear Women Rating &gt; 600</v>
      </c>
      <c r="B1025" s="294">
        <f>MATCH(A1025,Data!$DT:$DT,0)</f>
        <v>18</v>
      </c>
      <c r="C1025" s="65">
        <f>INDEX(Parameter!$9:$9,,MATCH(24,Parameter!$8:$8,0))</f>
        <v>24</v>
      </c>
      <c r="D1025" s="65" t="str">
        <f>INDEX(Parameter!$B$10:$AB$10,MATCH(C1025,Parameter!$B$9:$AB$9,0))</f>
        <v>no</v>
      </c>
      <c r="H1025" s="65">
        <f ca="1">INDEX(OFFSET(Data!$CS$1:$DS$1,B1025-1,0),MATCH("Total/"&amp;C1025,Data!$CS$1:$DS$1,0))</f>
        <v>0</v>
      </c>
      <c r="I1025" s="65" t="str">
        <f ca="1">IF(H1025=1,INDEX(Parameter!$B$10:$AB$10,MATCH(C1025,Parameter!$B$9:$AB$9,0))+10,"")</f>
        <v/>
      </c>
      <c r="J1025" s="65" t="str">
        <f t="array" aca="1" ref="J1025" ca="1">IF(H1025=1,MATCH(1,(OFFSET(Data!$DY$1:$IB$1,B1025-1,0))*(Data!$DY$90:$IB$90=C1025),0),"")</f>
        <v/>
      </c>
      <c r="K1025" s="65" t="str">
        <f t="array" aca="1" ref="K1025" ca="1">IF(H1025=1,MATCH(I1025,OFFSET(Data!$DX$91:$DX$190,0,Specials!J1025)*(Data!$AM$91:$AM$190&gt;Parameter!$B$33)*(Data!$DW$91:$DW$190="W"),0),"")</f>
        <v/>
      </c>
      <c r="L1025" s="65" t="str">
        <f ca="1">IF(H1025=1,INDEX(Data!$DT$91:$DT$190,$K1025)&amp;" / "&amp;OFFSET(Data!$DX$89,0,Specials!J1025),"")</f>
        <v/>
      </c>
      <c r="M1025" s="65" t="s">
        <v>16</v>
      </c>
      <c r="N1025" s="65" t="s">
        <v>255</v>
      </c>
      <c r="O1025" s="65" t="e">
        <f t="shared" ca="1" si="64"/>
        <v>#VALUE!</v>
      </c>
      <c r="P1025" s="65" t="str">
        <f t="shared" ca="1" si="65"/>
        <v/>
      </c>
    </row>
    <row r="1026" spans="1:16" s="65" customFormat="1" hidden="1" x14ac:dyDescent="0.25">
      <c r="A1026" s="289" t="str">
        <f>"# Oh dear Women Rating &gt; "&amp;Parameter!$B$33</f>
        <v># Oh dear Women Rating &gt; 600</v>
      </c>
      <c r="B1026" s="294">
        <f>MATCH(A1026,Data!$DT:$DT,0)</f>
        <v>18</v>
      </c>
      <c r="C1026" s="65">
        <f>INDEX(Parameter!$9:$9,,MATCH(25,Parameter!$8:$8,0))</f>
        <v>25</v>
      </c>
      <c r="D1026" s="65" t="str">
        <f>INDEX(Parameter!$B$10:$AB$10,MATCH(C1026,Parameter!$B$9:$AB$9,0))</f>
        <v>no</v>
      </c>
      <c r="H1026" s="65">
        <f ca="1">INDEX(OFFSET(Data!$CS$1:$DS$1,B1026-1,0),MATCH("Total/"&amp;C1026,Data!$CS$1:$DS$1,0))</f>
        <v>0</v>
      </c>
      <c r="I1026" s="65" t="str">
        <f ca="1">IF(H1026=1,INDEX(Parameter!$B$10:$AB$10,MATCH(C1026,Parameter!$B$9:$AB$9,0))+10,"")</f>
        <v/>
      </c>
      <c r="J1026" s="65" t="str">
        <f t="array" aca="1" ref="J1026" ca="1">IF(H1026=1,MATCH(1,(OFFSET(Data!$DY$1:$IB$1,B1026-1,0))*(Data!$DY$90:$IB$90=C1026),0),"")</f>
        <v/>
      </c>
      <c r="K1026" s="65" t="str">
        <f t="array" aca="1" ref="K1026" ca="1">IF(H1026=1,MATCH(I1026,OFFSET(Data!$DX$91:$DX$190,0,Specials!J1026)*(Data!$AM$91:$AM$190&gt;Parameter!$B$33)*(Data!$DW$91:$DW$190="W"),0),"")</f>
        <v/>
      </c>
      <c r="L1026" s="65" t="str">
        <f ca="1">IF(H1026=1,INDEX(Data!$DT$91:$DT$190,$K1026)&amp;" / "&amp;OFFSET(Data!$DX$89,0,Specials!J1026),"")</f>
        <v/>
      </c>
      <c r="M1026" s="65" t="s">
        <v>16</v>
      </c>
      <c r="N1026" s="65" t="s">
        <v>255</v>
      </c>
      <c r="O1026" s="65" t="e">
        <f t="shared" ca="1" si="64"/>
        <v>#VALUE!</v>
      </c>
      <c r="P1026" s="65" t="str">
        <f t="shared" ca="1" si="65"/>
        <v/>
      </c>
    </row>
    <row r="1027" spans="1:16" s="65" customFormat="1" hidden="1" x14ac:dyDescent="0.25">
      <c r="A1027" s="289" t="str">
        <f>"# Oh dear Women Rating &gt; "&amp;Parameter!$B$33</f>
        <v># Oh dear Women Rating &gt; 600</v>
      </c>
      <c r="B1027" s="294">
        <f>MATCH(A1027,Data!$DT:$DT,0)</f>
        <v>18</v>
      </c>
      <c r="C1027" s="65">
        <f>INDEX(Parameter!$9:$9,,MATCH(26,Parameter!$8:$8,0))</f>
        <v>26</v>
      </c>
      <c r="D1027" s="65" t="str">
        <f>INDEX(Parameter!$B$10:$AB$10,MATCH(C1027,Parameter!$B$9:$AB$9,0))</f>
        <v>no</v>
      </c>
      <c r="H1027" s="65">
        <f ca="1">INDEX(OFFSET(Data!$CS$1:$DS$1,B1027-1,0),MATCH("Total/"&amp;C1027,Data!$CS$1:$DS$1,0))</f>
        <v>0</v>
      </c>
      <c r="I1027" s="65" t="str">
        <f ca="1">IF(H1027=1,INDEX(Parameter!$B$10:$AB$10,MATCH(C1027,Parameter!$B$9:$AB$9,0))+10,"")</f>
        <v/>
      </c>
      <c r="J1027" s="65" t="str">
        <f t="array" aca="1" ref="J1027" ca="1">IF(H1027=1,MATCH(1,(OFFSET(Data!$DY$1:$IB$1,B1027-1,0))*(Data!$DY$90:$IB$90=C1027),0),"")</f>
        <v/>
      </c>
      <c r="K1027" s="65" t="str">
        <f t="array" aca="1" ref="K1027" ca="1">IF(H1027=1,MATCH(I1027,OFFSET(Data!$DX$91:$DX$190,0,Specials!J1027)*(Data!$AM$91:$AM$190&gt;Parameter!$B$33)*(Data!$DW$91:$DW$190="W"),0),"")</f>
        <v/>
      </c>
      <c r="L1027" s="65" t="str">
        <f ca="1">IF(H1027=1,INDEX(Data!$DT$91:$DT$190,$K1027)&amp;" / "&amp;OFFSET(Data!$DX$89,0,Specials!J1027),"")</f>
        <v/>
      </c>
      <c r="M1027" s="65" t="s">
        <v>16</v>
      </c>
      <c r="N1027" s="65" t="s">
        <v>255</v>
      </c>
      <c r="O1027" s="65" t="e">
        <f t="shared" ca="1" si="64"/>
        <v>#VALUE!</v>
      </c>
      <c r="P1027" s="65" t="str">
        <f t="shared" ca="1" si="65"/>
        <v/>
      </c>
    </row>
    <row r="1028" spans="1:16" s="65" customFormat="1" hidden="1" x14ac:dyDescent="0.25">
      <c r="A1028" s="289" t="str">
        <f>"# Oh dear Women Rating &gt; "&amp;Parameter!$B$33</f>
        <v># Oh dear Women Rating &gt; 600</v>
      </c>
      <c r="B1028" s="294">
        <f>MATCH(A1028,Data!$DT:$DT,0)</f>
        <v>18</v>
      </c>
      <c r="C1028" s="65">
        <f>INDEX(Parameter!$9:$9,,MATCH(27,Parameter!$8:$8,0))</f>
        <v>27</v>
      </c>
      <c r="D1028" s="65" t="str">
        <f>INDEX(Parameter!$B$10:$AB$10,MATCH(C1028,Parameter!$B$9:$AB$9,0))</f>
        <v>no</v>
      </c>
      <c r="H1028" s="65">
        <f ca="1">INDEX(OFFSET(Data!$CS$1:$DS$1,B1028-1,0),MATCH("Total/"&amp;C1028,Data!$CS$1:$DS$1,0))</f>
        <v>0</v>
      </c>
      <c r="I1028" s="65" t="str">
        <f ca="1">IF(H1028=1,INDEX(Parameter!$B$10:$AB$10,MATCH(C1028,Parameter!$B$9:$AB$9,0))+10,"")</f>
        <v/>
      </c>
      <c r="J1028" s="65" t="str">
        <f t="array" aca="1" ref="J1028" ca="1">IF(H1028=1,MATCH(1,(OFFSET(Data!$DY$1:$IB$1,B1028-1,0))*(Data!$DY$90:$IB$90=C1028),0),"")</f>
        <v/>
      </c>
      <c r="K1028" s="65" t="str">
        <f t="array" aca="1" ref="K1028" ca="1">IF(H1028=1,MATCH(I1028,OFFSET(Data!$DX$91:$DX$190,0,Specials!J1028)*(Data!$AM$91:$AM$190&gt;Parameter!$B$33)*(Data!$DW$91:$DW$190="W"),0),"")</f>
        <v/>
      </c>
      <c r="L1028" s="65" t="str">
        <f ca="1">IF(H1028=1,INDEX(Data!$DT$91:$DT$190,$K1028)&amp;" / "&amp;OFFSET(Data!$DX$89,0,Specials!J1028),"")</f>
        <v/>
      </c>
      <c r="M1028" s="65" t="s">
        <v>16</v>
      </c>
      <c r="N1028" s="65" t="s">
        <v>255</v>
      </c>
      <c r="O1028" s="65" t="e">
        <f t="shared" ref="O1028:O1091" ca="1" si="66">IF(AND($P1028&lt;&gt;"",$N1028="yes"),O1027+1,O1027)</f>
        <v>#VALUE!</v>
      </c>
      <c r="P1028" s="65" t="str">
        <f t="shared" ca="1" si="65"/>
        <v/>
      </c>
    </row>
    <row r="1029" spans="1:16" s="78" customFormat="1" ht="15" hidden="1" customHeight="1" x14ac:dyDescent="0.25">
      <c r="A1029" s="78" t="str">
        <f>"Best/Worst-Difference Women Rating &gt; "&amp;Parameter!$B$33</f>
        <v>Best/Worst-Difference Women Rating &gt; 600</v>
      </c>
      <c r="B1029" s="297"/>
      <c r="C1029" s="78">
        <f>INDEX(Parameter!$9:$9,,MATCH(1,Parameter!$8:$8,0))</f>
        <v>1</v>
      </c>
      <c r="D1029" s="78">
        <f>INDEX(Parameter!$B$10:$AB$10,MATCH(C1029,Parameter!$B$9:$AB$9,0))</f>
        <v>3</v>
      </c>
      <c r="E1029" s="78">
        <f>COUNTIF(Data!$DY$90:$IB$90,Specials!C1029)</f>
        <v>2</v>
      </c>
      <c r="F1029" s="78">
        <f ca="1">OFFSET(Data!$CS$91,MATCH("W1",Data!$A$91:$A$190,0)-1,MATCH(C1029,Data!$CS$90:$DS$90,0)-1)</f>
        <v>7</v>
      </c>
      <c r="G1029" s="78">
        <f t="array" aca="1" ref="G1029" ca="1">LARGE(IF((Data!$AM$91:$AM$190&lt;&gt;0)*(Data!$DW$91:$DW$190="W")*(Data!$AM$91:$AM$190&gt;Parameter!$B$33),OFFSET(Data!$CS$91:$CS$190,,MATCH(C1029,Data!$CS$90:$DS$90,0)-1)),1)</f>
        <v>7</v>
      </c>
      <c r="H1029" s="78">
        <f t="array" aca="1" ref="H1029" ca="1">IF(AND(G1029&gt;=F1029+E1029*2,G1029&gt;0),SUM(IF((OFFSET(Data!$CS$91:$CS$190,,MATCH(C1029,Data!$CS$90:$DS$90,0)-1)=Specials!G1029)*(Data!$DW$91:$DW$190="W")*(Data!$AM$91:$AM$190&gt;Parameter!$B$33),1)),0)</f>
        <v>0</v>
      </c>
      <c r="K1029" s="78" t="str">
        <f t="array" aca="1" ref="K1029" ca="1">IF(H1029=1,INDEX(Data!$DT$91:$DT$190,MATCH(G1029,(OFFSET(Data!$CS$91:$CS$190,,MATCH(C1029,Data!$CS$90:$DS$90,0)-1))*(Data!$DW$91:$DW$190="W")*(Data!$AM$91:$AM$190&gt;Parameter!$B$33),0)),H1029&amp;" Players")</f>
        <v>0 Players</v>
      </c>
      <c r="L1029" s="78" t="str">
        <f ca="1">"Best women took only "&amp;F1029&amp;" throws"</f>
        <v>Best women took only 7 throws</v>
      </c>
      <c r="M1029" s="78" t="s">
        <v>16</v>
      </c>
      <c r="N1029" s="78" t="s">
        <v>255</v>
      </c>
      <c r="O1029" s="78" t="e">
        <f t="shared" ca="1" si="66"/>
        <v>#VALUE!</v>
      </c>
      <c r="P1029" s="78" t="str">
        <f t="shared" ref="P1029:P1055" ca="1" si="67">IF(H1029&gt;0,"On hole "&amp;C1029&amp;" (par "&amp;D1029&amp;") "&amp;K1029&amp;" took "&amp;G1029&amp;" throws in total ("&amp;$E1029&amp;" rounds)","")</f>
        <v/>
      </c>
    </row>
    <row r="1030" spans="1:16" s="78" customFormat="1" hidden="1" x14ac:dyDescent="0.25">
      <c r="A1030" s="78" t="str">
        <f>"Best/Worst-Difference Women Rating &gt; "&amp;Parameter!$B$33</f>
        <v>Best/Worst-Difference Women Rating &gt; 600</v>
      </c>
      <c r="B1030" s="297"/>
      <c r="C1030" s="78">
        <f>INDEX(Parameter!$9:$9,,MATCH(2,Parameter!$8:$8,0))</f>
        <v>2</v>
      </c>
      <c r="D1030" s="78">
        <f>INDEX(Parameter!$B$10:$AB$10,MATCH(C1030,Parameter!$B$9:$AB$9,0))</f>
        <v>3</v>
      </c>
      <c r="E1030" s="78">
        <f>COUNTIF(Data!$DY$90:$IB$90,Specials!C1030)</f>
        <v>2</v>
      </c>
      <c r="F1030" s="78">
        <f ca="1">OFFSET(Data!$CS$91,MATCH("W1",Data!$A$91:$A$190,0)-1,MATCH(C1030,Data!$CS$90:$DS$90,0)-1)</f>
        <v>6</v>
      </c>
      <c r="G1030" s="78">
        <f t="array" aca="1" ref="G1030" ca="1">LARGE(IF((Data!$AM$91:$AM$190&lt;&gt;0)*(Data!$DW$91:$DW$190="W")*(Data!$AM$91:$AM$190&gt;Parameter!$B$33),OFFSET(Data!$CS$91:$CS$190,,MATCH(C1030,Data!$CS$90:$DS$90,0)-1)),1)</f>
        <v>7</v>
      </c>
      <c r="H1030" s="78">
        <f t="array" aca="1" ref="H1030" ca="1">IF(AND(G1030&gt;=F1030+E1030*2,G1030&gt;0),SUM(IF((OFFSET(Data!$CS$91:$CS$190,,MATCH(C1030,Data!$CS$90:$DS$90,0)-1)=Specials!G1030)*(Data!$DW$91:$DW$190="W")*(Data!$AM$91:$AM$190&gt;Parameter!$B$33),1)),0)</f>
        <v>0</v>
      </c>
      <c r="K1030" s="78" t="str">
        <f t="array" aca="1" ref="K1030" ca="1">IF(H1030=1,INDEX(Data!$DT$91:$DT$190,MATCH(G1030,(OFFSET(Data!$CS$91:$CS$190,,MATCH(C1030,Data!$CS$90:$DS$90,0)-1))*(Data!$DW$91:$DW$190="W")*(Data!$AM$91:$AM$190&gt;Parameter!$B$33),0)),H1030&amp;" Players")</f>
        <v>0 Players</v>
      </c>
      <c r="L1030" s="78" t="str">
        <f t="shared" ref="L1030:L1055" ca="1" si="68">"Best women took only "&amp;F1030&amp;" throws"</f>
        <v>Best women took only 6 throws</v>
      </c>
      <c r="M1030" s="78" t="s">
        <v>16</v>
      </c>
      <c r="N1030" s="78" t="s">
        <v>255</v>
      </c>
      <c r="O1030" s="78" t="e">
        <f t="shared" ca="1" si="66"/>
        <v>#VALUE!</v>
      </c>
      <c r="P1030" s="78" t="str">
        <f t="shared" ca="1" si="67"/>
        <v/>
      </c>
    </row>
    <row r="1031" spans="1:16" s="78" customFormat="1" hidden="1" x14ac:dyDescent="0.25">
      <c r="A1031" s="78" t="str">
        <f>"Best/Worst-Difference Women Rating &gt; "&amp;Parameter!$B$33</f>
        <v>Best/Worst-Difference Women Rating &gt; 600</v>
      </c>
      <c r="B1031" s="297"/>
      <c r="C1031" s="78">
        <f>INDEX(Parameter!$9:$9,,MATCH(3,Parameter!$8:$8,0))</f>
        <v>3</v>
      </c>
      <c r="D1031" s="78">
        <f>INDEX(Parameter!$B$10:$AB$10,MATCH(C1031,Parameter!$B$9:$AB$9,0))</f>
        <v>3</v>
      </c>
      <c r="E1031" s="78">
        <f>COUNTIF(Data!$DY$90:$IB$90,Specials!C1031)</f>
        <v>2</v>
      </c>
      <c r="F1031" s="78">
        <f ca="1">OFFSET(Data!$CS$91,MATCH("W1",Data!$A$91:$A$190,0)-1,MATCH(C1031,Data!$CS$90:$DS$90,0)-1)</f>
        <v>8</v>
      </c>
      <c r="G1031" s="78">
        <f t="array" aca="1" ref="G1031" ca="1">LARGE(IF((Data!$AM$91:$AM$190&lt;&gt;0)*(Data!$DW$91:$DW$190="W")*(Data!$AM$91:$AM$190&gt;Parameter!$B$33),OFFSET(Data!$CS$91:$CS$190,,MATCH(C1031,Data!$CS$90:$DS$90,0)-1)),1)</f>
        <v>9</v>
      </c>
      <c r="H1031" s="78">
        <f t="array" aca="1" ref="H1031" ca="1">IF(AND(G1031&gt;=F1031+E1031*2,G1031&gt;0),SUM(IF((OFFSET(Data!$CS$91:$CS$190,,MATCH(C1031,Data!$CS$90:$DS$90,0)-1)=Specials!G1031)*(Data!$DW$91:$DW$190="W")*(Data!$AM$91:$AM$190&gt;Parameter!$B$33),1)),0)</f>
        <v>0</v>
      </c>
      <c r="K1031" s="78" t="str">
        <f t="array" aca="1" ref="K1031" ca="1">IF(H1031=1,INDEX(Data!$DT$91:$DT$190,MATCH(G1031,(OFFSET(Data!$CS$91:$CS$190,,MATCH(C1031,Data!$CS$90:$DS$90,0)-1))*(Data!$DW$91:$DW$190="W")*(Data!$AM$91:$AM$190&gt;Parameter!$B$33),0)),H1031&amp;" Players")</f>
        <v>0 Players</v>
      </c>
      <c r="L1031" s="78" t="str">
        <f t="shared" ca="1" si="68"/>
        <v>Best women took only 8 throws</v>
      </c>
      <c r="M1031" s="78" t="s">
        <v>16</v>
      </c>
      <c r="N1031" s="78" t="s">
        <v>255</v>
      </c>
      <c r="O1031" s="78" t="e">
        <f t="shared" ca="1" si="66"/>
        <v>#VALUE!</v>
      </c>
      <c r="P1031" s="78" t="str">
        <f t="shared" ca="1" si="67"/>
        <v/>
      </c>
    </row>
    <row r="1032" spans="1:16" s="78" customFormat="1" hidden="1" x14ac:dyDescent="0.25">
      <c r="A1032" s="78" t="str">
        <f>"Best/Worst-Difference Women Rating &gt; "&amp;Parameter!$B$33</f>
        <v>Best/Worst-Difference Women Rating &gt; 600</v>
      </c>
      <c r="B1032" s="297"/>
      <c r="C1032" s="78">
        <f>INDEX(Parameter!$9:$9,,MATCH(4,Parameter!$8:$8,0))</f>
        <v>4</v>
      </c>
      <c r="D1032" s="78">
        <f>INDEX(Parameter!$B$10:$AB$10,MATCH(C1032,Parameter!$B$9:$AB$9,0))</f>
        <v>3</v>
      </c>
      <c r="E1032" s="78">
        <f>COUNTIF(Data!$DY$90:$IB$90,Specials!C1032)</f>
        <v>2</v>
      </c>
      <c r="F1032" s="78">
        <f ca="1">OFFSET(Data!$CS$91,MATCH("W1",Data!$A$91:$A$190,0)-1,MATCH(C1032,Data!$CS$90:$DS$90,0)-1)</f>
        <v>7</v>
      </c>
      <c r="G1032" s="78">
        <f t="array" aca="1" ref="G1032" ca="1">LARGE(IF((Data!$AM$91:$AM$190&lt;&gt;0)*(Data!$DW$91:$DW$190="W")*(Data!$AM$91:$AM$190&gt;Parameter!$B$33),OFFSET(Data!$CS$91:$CS$190,,MATCH(C1032,Data!$CS$90:$DS$90,0)-1)),1)</f>
        <v>9</v>
      </c>
      <c r="H1032" s="78">
        <f t="array" aca="1" ref="H1032" ca="1">IF(AND(G1032&gt;=F1032+E1032*2,G1032&gt;0),SUM(IF((OFFSET(Data!$CS$91:$CS$190,,MATCH(C1032,Data!$CS$90:$DS$90,0)-1)=Specials!G1032)*(Data!$DW$91:$DW$190="W")*(Data!$AM$91:$AM$190&gt;Parameter!$B$33),1)),0)</f>
        <v>0</v>
      </c>
      <c r="K1032" s="78" t="str">
        <f t="array" aca="1" ref="K1032" ca="1">IF(H1032=1,INDEX(Data!$DT$91:$DT$190,MATCH(G1032,(OFFSET(Data!$CS$91:$CS$190,,MATCH(C1032,Data!$CS$90:$DS$90,0)-1))*(Data!$DW$91:$DW$190="W")*(Data!$AM$91:$AM$190&gt;Parameter!$B$33),0)),H1032&amp;" Players")</f>
        <v>0 Players</v>
      </c>
      <c r="L1032" s="78" t="str">
        <f t="shared" ca="1" si="68"/>
        <v>Best women took only 7 throws</v>
      </c>
      <c r="M1032" s="78" t="s">
        <v>16</v>
      </c>
      <c r="N1032" s="78" t="s">
        <v>255</v>
      </c>
      <c r="O1032" s="78" t="e">
        <f t="shared" ca="1" si="66"/>
        <v>#VALUE!</v>
      </c>
      <c r="P1032" s="78" t="str">
        <f t="shared" ca="1" si="67"/>
        <v/>
      </c>
    </row>
    <row r="1033" spans="1:16" s="78" customFormat="1" hidden="1" x14ac:dyDescent="0.25">
      <c r="A1033" s="78" t="str">
        <f>"Best/Worst-Difference Women Rating &gt; "&amp;Parameter!$B$33</f>
        <v>Best/Worst-Difference Women Rating &gt; 600</v>
      </c>
      <c r="B1033" s="297"/>
      <c r="C1033" s="78">
        <f>INDEX(Parameter!$9:$9,,MATCH(5,Parameter!$8:$8,0))</f>
        <v>5</v>
      </c>
      <c r="D1033" s="78">
        <f>INDEX(Parameter!$B$10:$AB$10,MATCH(C1033,Parameter!$B$9:$AB$9,0))</f>
        <v>4</v>
      </c>
      <c r="E1033" s="78">
        <f>COUNTIF(Data!$DY$90:$IB$90,Specials!C1033)</f>
        <v>2</v>
      </c>
      <c r="F1033" s="78">
        <f ca="1">OFFSET(Data!$CS$91,MATCH("W1",Data!$A$91:$A$190,0)-1,MATCH(C1033,Data!$CS$90:$DS$90,0)-1)</f>
        <v>8</v>
      </c>
      <c r="G1033" s="78">
        <f t="array" aca="1" ref="G1033" ca="1">LARGE(IF((Data!$AM$91:$AM$190&lt;&gt;0)*(Data!$DW$91:$DW$190="W")*(Data!$AM$91:$AM$190&gt;Parameter!$B$33),OFFSET(Data!$CS$91:$CS$190,,MATCH(C1033,Data!$CS$90:$DS$90,0)-1)),1)</f>
        <v>11</v>
      </c>
      <c r="H1033" s="78">
        <f t="array" aca="1" ref="H1033" ca="1">IF(AND(G1033&gt;=F1033+E1033*2,G1033&gt;0),SUM(IF((OFFSET(Data!$CS$91:$CS$190,,MATCH(C1033,Data!$CS$90:$DS$90,0)-1)=Specials!G1033)*(Data!$DW$91:$DW$190="W")*(Data!$AM$91:$AM$190&gt;Parameter!$B$33),1)),0)</f>
        <v>0</v>
      </c>
      <c r="K1033" s="78" t="str">
        <f t="array" aca="1" ref="K1033" ca="1">IF(H1033=1,INDEX(Data!$DT$91:$DT$190,MATCH(G1033,(OFFSET(Data!$CS$91:$CS$190,,MATCH(C1033,Data!$CS$90:$DS$90,0)-1))*(Data!$DW$91:$DW$190="W")*(Data!$AM$91:$AM$190&gt;Parameter!$B$33),0)),H1033&amp;" Players")</f>
        <v>0 Players</v>
      </c>
      <c r="L1033" s="78" t="str">
        <f t="shared" ca="1" si="68"/>
        <v>Best women took only 8 throws</v>
      </c>
      <c r="M1033" s="78" t="s">
        <v>16</v>
      </c>
      <c r="N1033" s="78" t="s">
        <v>255</v>
      </c>
      <c r="O1033" s="78" t="e">
        <f t="shared" ca="1" si="66"/>
        <v>#VALUE!</v>
      </c>
      <c r="P1033" s="78" t="str">
        <f t="shared" ca="1" si="67"/>
        <v/>
      </c>
    </row>
    <row r="1034" spans="1:16" s="78" customFormat="1" hidden="1" x14ac:dyDescent="0.25">
      <c r="A1034" s="78" t="str">
        <f>"Best/Worst-Difference Women Rating &gt; "&amp;Parameter!$B$33</f>
        <v>Best/Worst-Difference Women Rating &gt; 600</v>
      </c>
      <c r="B1034" s="297"/>
      <c r="C1034" s="78">
        <f>INDEX(Parameter!$9:$9,,MATCH(6,Parameter!$8:$8,0))</f>
        <v>6</v>
      </c>
      <c r="D1034" s="78">
        <f>INDEX(Parameter!$B$10:$AB$10,MATCH(C1034,Parameter!$B$9:$AB$9,0))</f>
        <v>3</v>
      </c>
      <c r="E1034" s="78">
        <f>COUNTIF(Data!$DY$90:$IB$90,Specials!C1034)</f>
        <v>2</v>
      </c>
      <c r="F1034" s="78">
        <f ca="1">OFFSET(Data!$CS$91,MATCH("W1",Data!$A$91:$A$190,0)-1,MATCH(C1034,Data!$CS$90:$DS$90,0)-1)</f>
        <v>7</v>
      </c>
      <c r="G1034" s="78">
        <f t="array" aca="1" ref="G1034" ca="1">LARGE(IF((Data!$AM$91:$AM$190&lt;&gt;0)*(Data!$DW$91:$DW$190="W")*(Data!$AM$91:$AM$190&gt;Parameter!$B$33),OFFSET(Data!$CS$91:$CS$190,,MATCH(C1034,Data!$CS$90:$DS$90,0)-1)),1)</f>
        <v>8</v>
      </c>
      <c r="H1034" s="78">
        <f t="array" aca="1" ref="H1034" ca="1">IF(AND(G1034&gt;=F1034+E1034*2,G1034&gt;0),SUM(IF((OFFSET(Data!$CS$91:$CS$190,,MATCH(C1034,Data!$CS$90:$DS$90,0)-1)=Specials!G1034)*(Data!$DW$91:$DW$190="W")*(Data!$AM$91:$AM$190&gt;Parameter!$B$33),1)),0)</f>
        <v>0</v>
      </c>
      <c r="K1034" s="78" t="str">
        <f t="array" aca="1" ref="K1034" ca="1">IF(H1034=1,INDEX(Data!$DT$91:$DT$190,MATCH(G1034,(OFFSET(Data!$CS$91:$CS$190,,MATCH(C1034,Data!$CS$90:$DS$90,0)-1))*(Data!$DW$91:$DW$190="W")*(Data!$AM$91:$AM$190&gt;Parameter!$B$33),0)),H1034&amp;" Players")</f>
        <v>0 Players</v>
      </c>
      <c r="L1034" s="78" t="str">
        <f t="shared" ca="1" si="68"/>
        <v>Best women took only 7 throws</v>
      </c>
      <c r="M1034" s="78" t="s">
        <v>16</v>
      </c>
      <c r="N1034" s="78" t="s">
        <v>255</v>
      </c>
      <c r="O1034" s="78" t="e">
        <f t="shared" ca="1" si="66"/>
        <v>#VALUE!</v>
      </c>
      <c r="P1034" s="78" t="str">
        <f t="shared" ca="1" si="67"/>
        <v/>
      </c>
    </row>
    <row r="1035" spans="1:16" s="78" customFormat="1" hidden="1" x14ac:dyDescent="0.25">
      <c r="A1035" s="78" t="str">
        <f>"Best/Worst-Difference Women Rating &gt; "&amp;Parameter!$B$33</f>
        <v>Best/Worst-Difference Women Rating &gt; 600</v>
      </c>
      <c r="B1035" s="297"/>
      <c r="C1035" s="78">
        <f>INDEX(Parameter!$9:$9,,MATCH(7,Parameter!$8:$8,0))</f>
        <v>7</v>
      </c>
      <c r="D1035" s="78">
        <f>INDEX(Parameter!$B$10:$AB$10,MATCH(C1035,Parameter!$B$9:$AB$9,0))</f>
        <v>3</v>
      </c>
      <c r="E1035" s="78">
        <f>COUNTIF(Data!$DY$90:$IB$90,Specials!C1035)</f>
        <v>2</v>
      </c>
      <c r="F1035" s="78">
        <f ca="1">OFFSET(Data!$CS$91,MATCH("W1",Data!$A$91:$A$190,0)-1,MATCH(C1035,Data!$CS$90:$DS$90,0)-1)</f>
        <v>6</v>
      </c>
      <c r="G1035" s="78">
        <f t="array" aca="1" ref="G1035" ca="1">LARGE(IF((Data!$AM$91:$AM$190&lt;&gt;0)*(Data!$DW$91:$DW$190="W")*(Data!$AM$91:$AM$190&gt;Parameter!$B$33),OFFSET(Data!$CS$91:$CS$190,,MATCH(C1035,Data!$CS$90:$DS$90,0)-1)),1)</f>
        <v>9</v>
      </c>
      <c r="H1035" s="78">
        <f t="array" aca="1" ref="H1035" ca="1">IF(AND(G1035&gt;=F1035+E1035*2,G1035&gt;0),SUM(IF((OFFSET(Data!$CS$91:$CS$190,,MATCH(C1035,Data!$CS$90:$DS$90,0)-1)=Specials!G1035)*(Data!$DW$91:$DW$190="W")*(Data!$AM$91:$AM$190&gt;Parameter!$B$33),1)),0)</f>
        <v>0</v>
      </c>
      <c r="K1035" s="78" t="str">
        <f t="array" aca="1" ref="K1035" ca="1">IF(H1035=1,INDEX(Data!$DT$91:$DT$190,MATCH(G1035,(OFFSET(Data!$CS$91:$CS$190,,MATCH(C1035,Data!$CS$90:$DS$90,0)-1))*(Data!$DW$91:$DW$190="W")*(Data!$AM$91:$AM$190&gt;Parameter!$B$33),0)),H1035&amp;" Players")</f>
        <v>0 Players</v>
      </c>
      <c r="L1035" s="78" t="str">
        <f t="shared" ca="1" si="68"/>
        <v>Best women took only 6 throws</v>
      </c>
      <c r="M1035" s="78" t="s">
        <v>16</v>
      </c>
      <c r="N1035" s="78" t="s">
        <v>255</v>
      </c>
      <c r="O1035" s="78" t="e">
        <f t="shared" ca="1" si="66"/>
        <v>#VALUE!</v>
      </c>
      <c r="P1035" s="78" t="str">
        <f t="shared" ca="1" si="67"/>
        <v/>
      </c>
    </row>
    <row r="1036" spans="1:16" s="78" customFormat="1" hidden="1" x14ac:dyDescent="0.25">
      <c r="A1036" s="78" t="str">
        <f>"Best/Worst-Difference Women Rating &gt; "&amp;Parameter!$B$33</f>
        <v>Best/Worst-Difference Women Rating &gt; 600</v>
      </c>
      <c r="B1036" s="297"/>
      <c r="C1036" s="78">
        <f>INDEX(Parameter!$9:$9,,MATCH(8,Parameter!$8:$8,0))</f>
        <v>8</v>
      </c>
      <c r="D1036" s="78">
        <f>INDEX(Parameter!$B$10:$AB$10,MATCH(C1036,Parameter!$B$9:$AB$9,0))</f>
        <v>3</v>
      </c>
      <c r="E1036" s="78">
        <f>COUNTIF(Data!$DY$90:$IB$90,Specials!C1036)</f>
        <v>2</v>
      </c>
      <c r="F1036" s="78">
        <f ca="1">OFFSET(Data!$CS$91,MATCH("W1",Data!$A$91:$A$190,0)-1,MATCH(C1036,Data!$CS$90:$DS$90,0)-1)</f>
        <v>6</v>
      </c>
      <c r="G1036" s="78">
        <f t="array" aca="1" ref="G1036" ca="1">LARGE(IF((Data!$AM$91:$AM$190&lt;&gt;0)*(Data!$DW$91:$DW$190="W")*(Data!$AM$91:$AM$190&gt;Parameter!$B$33),OFFSET(Data!$CS$91:$CS$190,,MATCH(C1036,Data!$CS$90:$DS$90,0)-1)),1)</f>
        <v>8</v>
      </c>
      <c r="H1036" s="78">
        <f t="array" aca="1" ref="H1036" ca="1">IF(AND(G1036&gt;=F1036+E1036*2,G1036&gt;0),SUM(IF((OFFSET(Data!$CS$91:$CS$190,,MATCH(C1036,Data!$CS$90:$DS$90,0)-1)=Specials!G1036)*(Data!$DW$91:$DW$190="W")*(Data!$AM$91:$AM$190&gt;Parameter!$B$33),1)),0)</f>
        <v>0</v>
      </c>
      <c r="K1036" s="78" t="str">
        <f t="array" aca="1" ref="K1036" ca="1">IF(H1036=1,INDEX(Data!$DT$91:$DT$190,MATCH(G1036,(OFFSET(Data!$CS$91:$CS$190,,MATCH(C1036,Data!$CS$90:$DS$90,0)-1))*(Data!$DW$91:$DW$190="W")*(Data!$AM$91:$AM$190&gt;Parameter!$B$33),0)),H1036&amp;" Players")</f>
        <v>0 Players</v>
      </c>
      <c r="L1036" s="78" t="str">
        <f t="shared" ca="1" si="68"/>
        <v>Best women took only 6 throws</v>
      </c>
      <c r="M1036" s="78" t="s">
        <v>16</v>
      </c>
      <c r="N1036" s="78" t="s">
        <v>255</v>
      </c>
      <c r="O1036" s="78" t="e">
        <f t="shared" ca="1" si="66"/>
        <v>#VALUE!</v>
      </c>
      <c r="P1036" s="78" t="str">
        <f t="shared" ca="1" si="67"/>
        <v/>
      </c>
    </row>
    <row r="1037" spans="1:16" s="78" customFormat="1" hidden="1" x14ac:dyDescent="0.25">
      <c r="A1037" s="78" t="str">
        <f>"Best/Worst-Difference Women Rating &gt; "&amp;Parameter!$B$33</f>
        <v>Best/Worst-Difference Women Rating &gt; 600</v>
      </c>
      <c r="B1037" s="297"/>
      <c r="C1037" s="78">
        <f>INDEX(Parameter!$9:$9,,MATCH(9,Parameter!$8:$8,0))</f>
        <v>9</v>
      </c>
      <c r="D1037" s="78">
        <f>INDEX(Parameter!$B$10:$AB$10,MATCH(C1037,Parameter!$B$9:$AB$9,0))</f>
        <v>4</v>
      </c>
      <c r="E1037" s="78">
        <f>COUNTIF(Data!$DY$90:$IB$90,Specials!C1037)</f>
        <v>2</v>
      </c>
      <c r="F1037" s="78">
        <f ca="1">OFFSET(Data!$CS$91,MATCH("W1",Data!$A$91:$A$190,0)-1,MATCH(C1037,Data!$CS$90:$DS$90,0)-1)</f>
        <v>9</v>
      </c>
      <c r="G1037" s="78">
        <f t="array" aca="1" ref="G1037" ca="1">LARGE(IF((Data!$AM$91:$AM$190&lt;&gt;0)*(Data!$DW$91:$DW$190="W")*(Data!$AM$91:$AM$190&gt;Parameter!$B$33),OFFSET(Data!$CS$91:$CS$190,,MATCH(C1037,Data!$CS$90:$DS$90,0)-1)),1)</f>
        <v>12</v>
      </c>
      <c r="H1037" s="78">
        <f t="array" aca="1" ref="H1037" ca="1">IF(AND(G1037&gt;=F1037+E1037*2,G1037&gt;0),SUM(IF((OFFSET(Data!$CS$91:$CS$190,,MATCH(C1037,Data!$CS$90:$DS$90,0)-1)=Specials!G1037)*(Data!$DW$91:$DW$190="W")*(Data!$AM$91:$AM$190&gt;Parameter!$B$33),1)),0)</f>
        <v>0</v>
      </c>
      <c r="K1037" s="78" t="str">
        <f t="array" aca="1" ref="K1037" ca="1">IF(H1037=1,INDEX(Data!$DT$91:$DT$190,MATCH(G1037,(OFFSET(Data!$CS$91:$CS$190,,MATCH(C1037,Data!$CS$90:$DS$90,0)-1))*(Data!$DW$91:$DW$190="W")*(Data!$AM$91:$AM$190&gt;Parameter!$B$33),0)),H1037&amp;" Players")</f>
        <v>0 Players</v>
      </c>
      <c r="L1037" s="78" t="str">
        <f t="shared" ca="1" si="68"/>
        <v>Best women took only 9 throws</v>
      </c>
      <c r="M1037" s="78" t="s">
        <v>16</v>
      </c>
      <c r="N1037" s="78" t="s">
        <v>255</v>
      </c>
      <c r="O1037" s="78" t="e">
        <f t="shared" ca="1" si="66"/>
        <v>#VALUE!</v>
      </c>
      <c r="P1037" s="78" t="str">
        <f t="shared" ca="1" si="67"/>
        <v/>
      </c>
    </row>
    <row r="1038" spans="1:16" s="78" customFormat="1" hidden="1" x14ac:dyDescent="0.25">
      <c r="A1038" s="78" t="str">
        <f>"Best/Worst-Difference Women Rating &gt; "&amp;Parameter!$B$33</f>
        <v>Best/Worst-Difference Women Rating &gt; 600</v>
      </c>
      <c r="B1038" s="297"/>
      <c r="C1038" s="78">
        <f>INDEX(Parameter!$9:$9,,MATCH(10,Parameter!$8:$8,0))</f>
        <v>10</v>
      </c>
      <c r="D1038" s="78">
        <f>INDEX(Parameter!$B$10:$AB$10,MATCH(C1038,Parameter!$B$9:$AB$9,0))</f>
        <v>4</v>
      </c>
      <c r="E1038" s="78">
        <f>COUNTIF(Data!$DY$90:$IB$90,Specials!C1038)</f>
        <v>2</v>
      </c>
      <c r="F1038" s="78">
        <f ca="1">OFFSET(Data!$CS$91,MATCH("W1",Data!$A$91:$A$190,0)-1,MATCH(C1038,Data!$CS$90:$DS$90,0)-1)</f>
        <v>8</v>
      </c>
      <c r="G1038" s="78">
        <f t="array" aca="1" ref="G1038" ca="1">LARGE(IF((Data!$AM$91:$AM$190&lt;&gt;0)*(Data!$DW$91:$DW$190="W")*(Data!$AM$91:$AM$190&gt;Parameter!$B$33),OFFSET(Data!$CS$91:$CS$190,,MATCH(C1038,Data!$CS$90:$DS$90,0)-1)),1)</f>
        <v>11</v>
      </c>
      <c r="H1038" s="78">
        <f t="array" aca="1" ref="H1038" ca="1">IF(AND(G1038&gt;=F1038+E1038*2,G1038&gt;0),SUM(IF((OFFSET(Data!$CS$91:$CS$190,,MATCH(C1038,Data!$CS$90:$DS$90,0)-1)=Specials!G1038)*(Data!$DW$91:$DW$190="W")*(Data!$AM$91:$AM$190&gt;Parameter!$B$33),1)),0)</f>
        <v>0</v>
      </c>
      <c r="K1038" s="78" t="str">
        <f t="array" aca="1" ref="K1038" ca="1">IF(H1038=1,INDEX(Data!$DT$91:$DT$190,MATCH(G1038,(OFFSET(Data!$CS$91:$CS$190,,MATCH(C1038,Data!$CS$90:$DS$90,0)-1))*(Data!$DW$91:$DW$190="W")*(Data!$AM$91:$AM$190&gt;Parameter!$B$33),0)),H1038&amp;" Players")</f>
        <v>0 Players</v>
      </c>
      <c r="L1038" s="78" t="str">
        <f t="shared" ca="1" si="68"/>
        <v>Best women took only 8 throws</v>
      </c>
      <c r="M1038" s="78" t="s">
        <v>16</v>
      </c>
      <c r="N1038" s="78" t="s">
        <v>255</v>
      </c>
      <c r="O1038" s="78" t="e">
        <f t="shared" ca="1" si="66"/>
        <v>#VALUE!</v>
      </c>
      <c r="P1038" s="78" t="str">
        <f t="shared" ca="1" si="67"/>
        <v/>
      </c>
    </row>
    <row r="1039" spans="1:16" s="78" customFormat="1" hidden="1" x14ac:dyDescent="0.25">
      <c r="A1039" s="78" t="str">
        <f>"Best/Worst-Difference Women Rating &gt; "&amp;Parameter!$B$33</f>
        <v>Best/Worst-Difference Women Rating &gt; 600</v>
      </c>
      <c r="B1039" s="297"/>
      <c r="C1039" s="78">
        <f>INDEX(Parameter!$9:$9,,MATCH(11,Parameter!$8:$8,0))</f>
        <v>11</v>
      </c>
      <c r="D1039" s="78">
        <f>INDEX(Parameter!$B$10:$AB$10,MATCH(C1039,Parameter!$B$9:$AB$9,0))</f>
        <v>4</v>
      </c>
      <c r="E1039" s="78">
        <f>COUNTIF(Data!$DY$90:$IB$90,Specials!C1039)</f>
        <v>2</v>
      </c>
      <c r="F1039" s="78">
        <f ca="1">OFFSET(Data!$CS$91,MATCH("W1",Data!$A$91:$A$190,0)-1,MATCH(C1039,Data!$CS$90:$DS$90,0)-1)</f>
        <v>10</v>
      </c>
      <c r="G1039" s="78">
        <f t="array" aca="1" ref="G1039" ca="1">LARGE(IF((Data!$AM$91:$AM$190&lt;&gt;0)*(Data!$DW$91:$DW$190="W")*(Data!$AM$91:$AM$190&gt;Parameter!$B$33),OFFSET(Data!$CS$91:$CS$190,,MATCH(C1039,Data!$CS$90:$DS$90,0)-1)),1)</f>
        <v>13</v>
      </c>
      <c r="H1039" s="78">
        <f t="array" aca="1" ref="H1039" ca="1">IF(AND(G1039&gt;=F1039+E1039*2,G1039&gt;0),SUM(IF((OFFSET(Data!$CS$91:$CS$190,,MATCH(C1039,Data!$CS$90:$DS$90,0)-1)=Specials!G1039)*(Data!$DW$91:$DW$190="W")*(Data!$AM$91:$AM$190&gt;Parameter!$B$33),1)),0)</f>
        <v>0</v>
      </c>
      <c r="K1039" s="78" t="str">
        <f t="array" aca="1" ref="K1039" ca="1">IF(H1039=1,INDEX(Data!$DT$91:$DT$190,MATCH(G1039,(OFFSET(Data!$CS$91:$CS$190,,MATCH(C1039,Data!$CS$90:$DS$90,0)-1))*(Data!$DW$91:$DW$190="W")*(Data!$AM$91:$AM$190&gt;Parameter!$B$33),0)),H1039&amp;" Players")</f>
        <v>0 Players</v>
      </c>
      <c r="L1039" s="78" t="str">
        <f t="shared" ca="1" si="68"/>
        <v>Best women took only 10 throws</v>
      </c>
      <c r="M1039" s="78" t="s">
        <v>16</v>
      </c>
      <c r="N1039" s="78" t="s">
        <v>255</v>
      </c>
      <c r="O1039" s="78" t="e">
        <f t="shared" ca="1" si="66"/>
        <v>#VALUE!</v>
      </c>
      <c r="P1039" s="78" t="str">
        <f t="shared" ca="1" si="67"/>
        <v/>
      </c>
    </row>
    <row r="1040" spans="1:16" s="78" customFormat="1" hidden="1" x14ac:dyDescent="0.25">
      <c r="A1040" s="78" t="str">
        <f>"Best/Worst-Difference Women Rating &gt; "&amp;Parameter!$B$33</f>
        <v>Best/Worst-Difference Women Rating &gt; 600</v>
      </c>
      <c r="B1040" s="297"/>
      <c r="C1040" s="78" t="str">
        <f>INDEX(Parameter!$9:$9,,MATCH(12,Parameter!$8:$8,0))</f>
        <v>11b</v>
      </c>
      <c r="D1040" s="78">
        <f>INDEX(Parameter!$B$10:$AB$10,MATCH(C1040,Parameter!$B$9:$AB$9,0))</f>
        <v>3</v>
      </c>
      <c r="E1040" s="78">
        <f>COUNTIF(Data!$DY$90:$IB$90,Specials!C1040)</f>
        <v>2</v>
      </c>
      <c r="F1040" s="78">
        <f ca="1">OFFSET(Data!$CS$91,MATCH("W1",Data!$A$91:$A$190,0)-1,MATCH(C1040,Data!$CS$90:$DS$90,0)-1)</f>
        <v>6</v>
      </c>
      <c r="G1040" s="78">
        <f t="array" aca="1" ref="G1040" ca="1">LARGE(IF((Data!$AM$91:$AM$190&lt;&gt;0)*(Data!$DW$91:$DW$190="W")*(Data!$AM$91:$AM$190&gt;Parameter!$B$33),OFFSET(Data!$CS$91:$CS$190,,MATCH(C1040,Data!$CS$90:$DS$90,0)-1)),1)</f>
        <v>8</v>
      </c>
      <c r="H1040" s="78">
        <f t="array" aca="1" ref="H1040" ca="1">IF(AND(G1040&gt;=F1040+E1040*2,G1040&gt;0),SUM(IF((OFFSET(Data!$CS$91:$CS$190,,MATCH(C1040,Data!$CS$90:$DS$90,0)-1)=Specials!G1040)*(Data!$DW$91:$DW$190="W")*(Data!$AM$91:$AM$190&gt;Parameter!$B$33),1)),0)</f>
        <v>0</v>
      </c>
      <c r="K1040" s="78" t="str">
        <f t="array" aca="1" ref="K1040" ca="1">IF(H1040=1,INDEX(Data!$DT$91:$DT$190,MATCH(G1040,(OFFSET(Data!$CS$91:$CS$190,,MATCH(C1040,Data!$CS$90:$DS$90,0)-1))*(Data!$DW$91:$DW$190="W")*(Data!$AM$91:$AM$190&gt;Parameter!$B$33),0)),H1040&amp;" Players")</f>
        <v>0 Players</v>
      </c>
      <c r="L1040" s="78" t="str">
        <f t="shared" ca="1" si="68"/>
        <v>Best women took only 6 throws</v>
      </c>
      <c r="M1040" s="78" t="s">
        <v>16</v>
      </c>
      <c r="N1040" s="78" t="s">
        <v>255</v>
      </c>
      <c r="O1040" s="78" t="e">
        <f t="shared" ca="1" si="66"/>
        <v>#VALUE!</v>
      </c>
      <c r="P1040" s="78" t="str">
        <f t="shared" ca="1" si="67"/>
        <v/>
      </c>
    </row>
    <row r="1041" spans="1:16" s="78" customFormat="1" hidden="1" x14ac:dyDescent="0.25">
      <c r="A1041" s="78" t="str">
        <f>"Best/Worst-Difference Women Rating &gt; "&amp;Parameter!$B$33</f>
        <v>Best/Worst-Difference Women Rating &gt; 600</v>
      </c>
      <c r="B1041" s="297"/>
      <c r="C1041" s="78">
        <f>INDEX(Parameter!$9:$9,,MATCH(13,Parameter!$8:$8,0))</f>
        <v>12</v>
      </c>
      <c r="D1041" s="78">
        <f>INDEX(Parameter!$B$10:$AB$10,MATCH(C1041,Parameter!$B$9:$AB$9,0))</f>
        <v>3</v>
      </c>
      <c r="E1041" s="78">
        <f>COUNTIF(Data!$DY$90:$IB$90,Specials!C1041)</f>
        <v>2</v>
      </c>
      <c r="F1041" s="78">
        <f ca="1">OFFSET(Data!$CS$91,MATCH("W1",Data!$A$91:$A$190,0)-1,MATCH(C1041,Data!$CS$90:$DS$90,0)-1)</f>
        <v>6</v>
      </c>
      <c r="G1041" s="78">
        <f t="array" aca="1" ref="G1041" ca="1">LARGE(IF((Data!$AM$91:$AM$190&lt;&gt;0)*(Data!$DW$91:$DW$190="W")*(Data!$AM$91:$AM$190&gt;Parameter!$B$33),OFFSET(Data!$CS$91:$CS$190,,MATCH(C1041,Data!$CS$90:$DS$90,0)-1)),1)</f>
        <v>10</v>
      </c>
      <c r="H1041" s="78">
        <f t="array" aca="1" ref="H1041" ca="1">IF(AND(G1041&gt;=F1041+E1041*2,G1041&gt;0),SUM(IF((OFFSET(Data!$CS$91:$CS$190,,MATCH(C1041,Data!$CS$90:$DS$90,0)-1)=Specials!G1041)*(Data!$DW$91:$DW$190="W")*(Data!$AM$91:$AM$190&gt;Parameter!$B$33),1)),0)</f>
        <v>1</v>
      </c>
      <c r="K1041" s="78" t="str">
        <f t="array" aca="1" ref="K1041" ca="1">IF(H1041=1,INDEX(Data!$DT$91:$DT$190,MATCH(G1041,(OFFSET(Data!$CS$91:$CS$190,,MATCH(C1041,Data!$CS$90:$DS$90,0)-1))*(Data!$DW$91:$DW$190="W")*(Data!$AM$91:$AM$190&gt;Parameter!$B$33),0)),H1041&amp;" Players")</f>
        <v>Irmgard Derschmidt</v>
      </c>
      <c r="L1041" s="78" t="str">
        <f t="shared" ca="1" si="68"/>
        <v>Best women took only 6 throws</v>
      </c>
      <c r="M1041" s="78" t="s">
        <v>16</v>
      </c>
      <c r="N1041" s="78" t="s">
        <v>255</v>
      </c>
      <c r="O1041" s="78" t="e">
        <f t="shared" ca="1" si="66"/>
        <v>#VALUE!</v>
      </c>
      <c r="P1041" s="78" t="str">
        <f t="shared" ca="1" si="67"/>
        <v>On hole 12 (par 3) Irmgard Derschmidt took 10 throws in total (2 rounds)</v>
      </c>
    </row>
    <row r="1042" spans="1:16" s="78" customFormat="1" hidden="1" x14ac:dyDescent="0.25">
      <c r="A1042" s="78" t="str">
        <f>"Best/Worst-Difference Women Rating &gt; "&amp;Parameter!$B$33</f>
        <v>Best/Worst-Difference Women Rating &gt; 600</v>
      </c>
      <c r="B1042" s="297"/>
      <c r="C1042" s="78">
        <f>INDEX(Parameter!$9:$9,,MATCH(14,Parameter!$8:$8,0))</f>
        <v>13</v>
      </c>
      <c r="D1042" s="78">
        <f>INDEX(Parameter!$B$10:$AB$10,MATCH(C1042,Parameter!$B$9:$AB$9,0))</f>
        <v>3</v>
      </c>
      <c r="E1042" s="78">
        <f>COUNTIF(Data!$DY$90:$IB$90,Specials!C1042)</f>
        <v>2</v>
      </c>
      <c r="F1042" s="78">
        <f ca="1">OFFSET(Data!$CS$91,MATCH("W1",Data!$A$91:$A$190,0)-1,MATCH(C1042,Data!$CS$90:$DS$90,0)-1)</f>
        <v>7</v>
      </c>
      <c r="G1042" s="78">
        <f t="array" aca="1" ref="G1042" ca="1">LARGE(IF((Data!$AM$91:$AM$190&lt;&gt;0)*(Data!$DW$91:$DW$190="W")*(Data!$AM$91:$AM$190&gt;Parameter!$B$33),OFFSET(Data!$CS$91:$CS$190,,MATCH(C1042,Data!$CS$90:$DS$90,0)-1)),1)</f>
        <v>8</v>
      </c>
      <c r="H1042" s="78">
        <f t="array" aca="1" ref="H1042" ca="1">IF(AND(G1042&gt;=F1042+E1042*2,G1042&gt;0),SUM(IF((OFFSET(Data!$CS$91:$CS$190,,MATCH(C1042,Data!$CS$90:$DS$90,0)-1)=Specials!G1042)*(Data!$DW$91:$DW$190="W")*(Data!$AM$91:$AM$190&gt;Parameter!$B$33),1)),0)</f>
        <v>0</v>
      </c>
      <c r="K1042" s="78" t="str">
        <f t="array" aca="1" ref="K1042" ca="1">IF(H1042=1,INDEX(Data!$DT$91:$DT$190,MATCH(G1042,(OFFSET(Data!$CS$91:$CS$190,,MATCH(C1042,Data!$CS$90:$DS$90,0)-1))*(Data!$DW$91:$DW$190="W")*(Data!$AM$91:$AM$190&gt;Parameter!$B$33),0)),H1042&amp;" Players")</f>
        <v>0 Players</v>
      </c>
      <c r="L1042" s="78" t="str">
        <f t="shared" ca="1" si="68"/>
        <v>Best women took only 7 throws</v>
      </c>
      <c r="M1042" s="78" t="s">
        <v>16</v>
      </c>
      <c r="N1042" s="78" t="s">
        <v>255</v>
      </c>
      <c r="O1042" s="78" t="e">
        <f t="shared" ca="1" si="66"/>
        <v>#VALUE!</v>
      </c>
      <c r="P1042" s="78" t="str">
        <f t="shared" ca="1" si="67"/>
        <v/>
      </c>
    </row>
    <row r="1043" spans="1:16" s="78" customFormat="1" hidden="1" x14ac:dyDescent="0.25">
      <c r="A1043" s="78" t="str">
        <f>"Best/Worst-Difference Women Rating &gt; "&amp;Parameter!$B$33</f>
        <v>Best/Worst-Difference Women Rating &gt; 600</v>
      </c>
      <c r="B1043" s="297"/>
      <c r="C1043" s="78">
        <f>INDEX(Parameter!$9:$9,,MATCH(15,Parameter!$8:$8,0))</f>
        <v>14</v>
      </c>
      <c r="D1043" s="78">
        <f>INDEX(Parameter!$B$10:$AB$10,MATCH(C1043,Parameter!$B$9:$AB$9,0))</f>
        <v>3</v>
      </c>
      <c r="E1043" s="78">
        <f>COUNTIF(Data!$DY$90:$IB$90,Specials!C1043)</f>
        <v>2</v>
      </c>
      <c r="F1043" s="78">
        <f ca="1">OFFSET(Data!$CS$91,MATCH("W1",Data!$A$91:$A$190,0)-1,MATCH(C1043,Data!$CS$90:$DS$90,0)-1)</f>
        <v>7</v>
      </c>
      <c r="G1043" s="78">
        <f t="array" aca="1" ref="G1043" ca="1">LARGE(IF((Data!$AM$91:$AM$190&lt;&gt;0)*(Data!$DW$91:$DW$190="W")*(Data!$AM$91:$AM$190&gt;Parameter!$B$33),OFFSET(Data!$CS$91:$CS$190,,MATCH(C1043,Data!$CS$90:$DS$90,0)-1)),1)</f>
        <v>8</v>
      </c>
      <c r="H1043" s="78">
        <f t="array" aca="1" ref="H1043" ca="1">IF(AND(G1043&gt;=F1043+E1043*2,G1043&gt;0),SUM(IF((OFFSET(Data!$CS$91:$CS$190,,MATCH(C1043,Data!$CS$90:$DS$90,0)-1)=Specials!G1043)*(Data!$DW$91:$DW$190="W")*(Data!$AM$91:$AM$190&gt;Parameter!$B$33),1)),0)</f>
        <v>0</v>
      </c>
      <c r="K1043" s="78" t="str">
        <f t="array" aca="1" ref="K1043" ca="1">IF(H1043=1,INDEX(Data!$DT$91:$DT$190,MATCH(G1043,(OFFSET(Data!$CS$91:$CS$190,,MATCH(C1043,Data!$CS$90:$DS$90,0)-1))*(Data!$DW$91:$DW$190="W")*(Data!$AM$91:$AM$190&gt;Parameter!$B$33),0)),H1043&amp;" Players")</f>
        <v>0 Players</v>
      </c>
      <c r="L1043" s="78" t="str">
        <f t="shared" ca="1" si="68"/>
        <v>Best women took only 7 throws</v>
      </c>
      <c r="M1043" s="78" t="s">
        <v>16</v>
      </c>
      <c r="N1043" s="78" t="s">
        <v>255</v>
      </c>
      <c r="O1043" s="78" t="e">
        <f t="shared" ca="1" si="66"/>
        <v>#VALUE!</v>
      </c>
      <c r="P1043" s="78" t="str">
        <f t="shared" ca="1" si="67"/>
        <v/>
      </c>
    </row>
    <row r="1044" spans="1:16" s="78" customFormat="1" hidden="1" x14ac:dyDescent="0.25">
      <c r="A1044" s="78" t="str">
        <f>"Best/Worst-Difference Women Rating &gt; "&amp;Parameter!$B$33</f>
        <v>Best/Worst-Difference Women Rating &gt; 600</v>
      </c>
      <c r="B1044" s="297"/>
      <c r="C1044" s="78">
        <f>INDEX(Parameter!$9:$9,,MATCH(16,Parameter!$8:$8,0))</f>
        <v>15</v>
      </c>
      <c r="D1044" s="78">
        <f>INDEX(Parameter!$B$10:$AB$10,MATCH(C1044,Parameter!$B$9:$AB$9,0))</f>
        <v>3</v>
      </c>
      <c r="E1044" s="78">
        <f>COUNTIF(Data!$DY$90:$IB$90,Specials!C1044)</f>
        <v>2</v>
      </c>
      <c r="F1044" s="78">
        <f ca="1">OFFSET(Data!$CS$91,MATCH("W1",Data!$A$91:$A$190,0)-1,MATCH(C1044,Data!$CS$90:$DS$90,0)-1)</f>
        <v>5</v>
      </c>
      <c r="G1044" s="78">
        <f t="array" aca="1" ref="G1044" ca="1">LARGE(IF((Data!$AM$91:$AM$190&lt;&gt;0)*(Data!$DW$91:$DW$190="W")*(Data!$AM$91:$AM$190&gt;Parameter!$B$33),OFFSET(Data!$CS$91:$CS$190,,MATCH(C1044,Data!$CS$90:$DS$90,0)-1)),1)</f>
        <v>7</v>
      </c>
      <c r="H1044" s="78">
        <f t="array" aca="1" ref="H1044" ca="1">IF(AND(G1044&gt;=F1044+E1044*2,G1044&gt;0),SUM(IF((OFFSET(Data!$CS$91:$CS$190,,MATCH(C1044,Data!$CS$90:$DS$90,0)-1)=Specials!G1044)*(Data!$DW$91:$DW$190="W")*(Data!$AM$91:$AM$190&gt;Parameter!$B$33),1)),0)</f>
        <v>0</v>
      </c>
      <c r="K1044" s="78" t="str">
        <f t="array" aca="1" ref="K1044" ca="1">IF(H1044=1,INDEX(Data!$DT$91:$DT$190,MATCH(G1044,(OFFSET(Data!$CS$91:$CS$190,,MATCH(C1044,Data!$CS$90:$DS$90,0)-1))*(Data!$DW$91:$DW$190="W")*(Data!$AM$91:$AM$190&gt;Parameter!$B$33),0)),H1044&amp;" Players")</f>
        <v>0 Players</v>
      </c>
      <c r="L1044" s="78" t="str">
        <f t="shared" ca="1" si="68"/>
        <v>Best women took only 5 throws</v>
      </c>
      <c r="M1044" s="78" t="s">
        <v>16</v>
      </c>
      <c r="N1044" s="78" t="s">
        <v>255</v>
      </c>
      <c r="O1044" s="78" t="e">
        <f t="shared" ca="1" si="66"/>
        <v>#VALUE!</v>
      </c>
      <c r="P1044" s="78" t="str">
        <f t="shared" ca="1" si="67"/>
        <v/>
      </c>
    </row>
    <row r="1045" spans="1:16" s="78" customFormat="1" hidden="1" x14ac:dyDescent="0.25">
      <c r="A1045" s="78" t="str">
        <f>"Best/Worst-Difference Women Rating &gt; "&amp;Parameter!$B$33</f>
        <v>Best/Worst-Difference Women Rating &gt; 600</v>
      </c>
      <c r="B1045" s="297"/>
      <c r="C1045" s="78">
        <f>INDEX(Parameter!$9:$9,,MATCH(17,Parameter!$8:$8,0))</f>
        <v>16</v>
      </c>
      <c r="D1045" s="78">
        <f>INDEX(Parameter!$B$10:$AB$10,MATCH(C1045,Parameter!$B$9:$AB$9,0))</f>
        <v>3</v>
      </c>
      <c r="E1045" s="78">
        <f>COUNTIF(Data!$DY$90:$IB$90,Specials!C1045)</f>
        <v>2</v>
      </c>
      <c r="F1045" s="78">
        <f ca="1">OFFSET(Data!$CS$91,MATCH("W1",Data!$A$91:$A$190,0)-1,MATCH(C1045,Data!$CS$90:$DS$90,0)-1)</f>
        <v>6</v>
      </c>
      <c r="G1045" s="78">
        <f t="array" aca="1" ref="G1045" ca="1">LARGE(IF((Data!$AM$91:$AM$190&lt;&gt;0)*(Data!$DW$91:$DW$190="W")*(Data!$AM$91:$AM$190&gt;Parameter!$B$33),OFFSET(Data!$CS$91:$CS$190,,MATCH(C1045,Data!$CS$90:$DS$90,0)-1)),1)</f>
        <v>8</v>
      </c>
      <c r="H1045" s="78">
        <f t="array" aca="1" ref="H1045" ca="1">IF(AND(G1045&gt;=F1045+E1045*2,G1045&gt;0),SUM(IF((OFFSET(Data!$CS$91:$CS$190,,MATCH(C1045,Data!$CS$90:$DS$90,0)-1)=Specials!G1045)*(Data!$DW$91:$DW$190="W")*(Data!$AM$91:$AM$190&gt;Parameter!$B$33),1)),0)</f>
        <v>0</v>
      </c>
      <c r="K1045" s="78" t="str">
        <f t="array" aca="1" ref="K1045" ca="1">IF(H1045=1,INDEX(Data!$DT$91:$DT$190,MATCH(G1045,(OFFSET(Data!$CS$91:$CS$190,,MATCH(C1045,Data!$CS$90:$DS$90,0)-1))*(Data!$DW$91:$DW$190="W")*(Data!$AM$91:$AM$190&gt;Parameter!$B$33),0)),H1045&amp;" Players")</f>
        <v>0 Players</v>
      </c>
      <c r="L1045" s="78" t="str">
        <f t="shared" ca="1" si="68"/>
        <v>Best women took only 6 throws</v>
      </c>
      <c r="M1045" s="78" t="s">
        <v>16</v>
      </c>
      <c r="N1045" s="78" t="s">
        <v>255</v>
      </c>
      <c r="O1045" s="78" t="e">
        <f t="shared" ca="1" si="66"/>
        <v>#VALUE!</v>
      </c>
      <c r="P1045" s="78" t="str">
        <f t="shared" ca="1" si="67"/>
        <v/>
      </c>
    </row>
    <row r="1046" spans="1:16" s="78" customFormat="1" hidden="1" x14ac:dyDescent="0.25">
      <c r="A1046" s="78" t="str">
        <f>"Best/Worst-Difference Women Rating &gt; "&amp;Parameter!$B$33</f>
        <v>Best/Worst-Difference Women Rating &gt; 600</v>
      </c>
      <c r="B1046" s="297"/>
      <c r="C1046" s="78">
        <f>INDEX(Parameter!$9:$9,,MATCH(18,Parameter!$8:$8,0))</f>
        <v>17</v>
      </c>
      <c r="D1046" s="78">
        <f>INDEX(Parameter!$B$10:$AB$10,MATCH(C1046,Parameter!$B$9:$AB$9,0))</f>
        <v>3</v>
      </c>
      <c r="E1046" s="78">
        <f>COUNTIF(Data!$DY$90:$IB$90,Specials!C1046)</f>
        <v>2</v>
      </c>
      <c r="F1046" s="78">
        <f ca="1">OFFSET(Data!$CS$91,MATCH("W1",Data!$A$91:$A$190,0)-1,MATCH(C1046,Data!$CS$90:$DS$90,0)-1)</f>
        <v>6</v>
      </c>
      <c r="G1046" s="78">
        <f t="array" aca="1" ref="G1046" ca="1">LARGE(IF((Data!$AM$91:$AM$190&lt;&gt;0)*(Data!$DW$91:$DW$190="W")*(Data!$AM$91:$AM$190&gt;Parameter!$B$33),OFFSET(Data!$CS$91:$CS$190,,MATCH(C1046,Data!$CS$90:$DS$90,0)-1)),1)</f>
        <v>12</v>
      </c>
      <c r="H1046" s="78">
        <f t="array" aca="1" ref="H1046" ca="1">IF(AND(G1046&gt;=F1046+E1046*2,G1046&gt;0),SUM(IF((OFFSET(Data!$CS$91:$CS$190,,MATCH(C1046,Data!$CS$90:$DS$90,0)-1)=Specials!G1046)*(Data!$DW$91:$DW$190="W")*(Data!$AM$91:$AM$190&gt;Parameter!$B$33),1)),0)</f>
        <v>1</v>
      </c>
      <c r="K1046" s="78" t="str">
        <f t="array" aca="1" ref="K1046" ca="1">IF(H1046=1,INDEX(Data!$DT$91:$DT$190,MATCH(G1046,(OFFSET(Data!$CS$91:$CS$190,,MATCH(C1046,Data!$CS$90:$DS$90,0)-1))*(Data!$DW$91:$DW$190="W")*(Data!$AM$91:$AM$190&gt;Parameter!$B$33),0)),H1046&amp;" Players")</f>
        <v>Wiltrud Derschmidt</v>
      </c>
      <c r="L1046" s="78" t="str">
        <f t="shared" ca="1" si="68"/>
        <v>Best women took only 6 throws</v>
      </c>
      <c r="M1046" s="78" t="s">
        <v>16</v>
      </c>
      <c r="N1046" s="78" t="s">
        <v>255</v>
      </c>
      <c r="O1046" s="78" t="e">
        <f t="shared" ca="1" si="66"/>
        <v>#VALUE!</v>
      </c>
      <c r="P1046" s="78" t="str">
        <f t="shared" ca="1" si="67"/>
        <v>On hole 17 (par 3) Wiltrud Derschmidt took 12 throws in total (2 rounds)</v>
      </c>
    </row>
    <row r="1047" spans="1:16" s="78" customFormat="1" hidden="1" x14ac:dyDescent="0.25">
      <c r="A1047" s="78" t="str">
        <f>"Best/Worst-Difference Women Rating &gt; "&amp;Parameter!$B$33</f>
        <v>Best/Worst-Difference Women Rating &gt; 600</v>
      </c>
      <c r="B1047" s="297"/>
      <c r="C1047" s="78">
        <f>INDEX(Parameter!$9:$9,,MATCH(19,Parameter!$8:$8,0))</f>
        <v>18</v>
      </c>
      <c r="D1047" s="78">
        <f>INDEX(Parameter!$B$10:$AB$10,MATCH(C1047,Parameter!$B$9:$AB$9,0))</f>
        <v>3</v>
      </c>
      <c r="E1047" s="78">
        <f>COUNTIF(Data!$DY$90:$IB$90,Specials!C1047)</f>
        <v>2</v>
      </c>
      <c r="F1047" s="78">
        <f ca="1">OFFSET(Data!$CS$91,MATCH("W1",Data!$A$91:$A$190,0)-1,MATCH(C1047,Data!$CS$90:$DS$90,0)-1)</f>
        <v>6</v>
      </c>
      <c r="G1047" s="78">
        <f t="array" aca="1" ref="G1047" ca="1">LARGE(IF((Data!$AM$91:$AM$190&lt;&gt;0)*(Data!$DW$91:$DW$190="W")*(Data!$AM$91:$AM$190&gt;Parameter!$B$33),OFFSET(Data!$CS$91:$CS$190,,MATCH(C1047,Data!$CS$90:$DS$90,0)-1)),1)</f>
        <v>9</v>
      </c>
      <c r="H1047" s="78">
        <f t="array" aca="1" ref="H1047" ca="1">IF(AND(G1047&gt;=F1047+E1047*2,G1047&gt;0),SUM(IF((OFFSET(Data!$CS$91:$CS$190,,MATCH(C1047,Data!$CS$90:$DS$90,0)-1)=Specials!G1047)*(Data!$DW$91:$DW$190="W")*(Data!$AM$91:$AM$190&gt;Parameter!$B$33),1)),0)</f>
        <v>0</v>
      </c>
      <c r="K1047" s="78" t="str">
        <f t="array" aca="1" ref="K1047" ca="1">IF(H1047=1,INDEX(Data!$DT$91:$DT$190,MATCH(G1047,(OFFSET(Data!$CS$91:$CS$190,,MATCH(C1047,Data!$CS$90:$DS$90,0)-1))*(Data!$DW$91:$DW$190="W")*(Data!$AM$91:$AM$190&gt;Parameter!$B$33),0)),H1047&amp;" Players")</f>
        <v>0 Players</v>
      </c>
      <c r="L1047" s="78" t="str">
        <f t="shared" ca="1" si="68"/>
        <v>Best women took only 6 throws</v>
      </c>
      <c r="M1047" s="78" t="s">
        <v>16</v>
      </c>
      <c r="N1047" s="78" t="s">
        <v>255</v>
      </c>
      <c r="O1047" s="78" t="e">
        <f t="shared" ca="1" si="66"/>
        <v>#VALUE!</v>
      </c>
      <c r="P1047" s="78" t="str">
        <f t="shared" ca="1" si="67"/>
        <v/>
      </c>
    </row>
    <row r="1048" spans="1:16" s="78" customFormat="1" hidden="1" x14ac:dyDescent="0.25">
      <c r="A1048" s="78" t="str">
        <f>"Best/Worst-Difference Women Rating &gt; "&amp;Parameter!$B$33</f>
        <v>Best/Worst-Difference Women Rating &gt; 600</v>
      </c>
      <c r="B1048" s="297"/>
      <c r="C1048" s="78">
        <f>INDEX(Parameter!$9:$9,,MATCH(20,Parameter!$8:$8,0))</f>
        <v>20</v>
      </c>
      <c r="D1048" s="78" t="str">
        <f>INDEX(Parameter!$B$10:$AB$10,MATCH(C1048,Parameter!$B$9:$AB$9,0))</f>
        <v>no</v>
      </c>
      <c r="E1048" s="78">
        <f>COUNTIF(Data!$DY$90:$IB$90,Specials!C1048)</f>
        <v>0</v>
      </c>
      <c r="F1048" s="78">
        <f ca="1">OFFSET(Data!$CS$91,MATCH("W1",Data!$A$91:$A$190,0)-1,MATCH(C1048,Data!$CS$90:$DS$90,0)-1)</f>
        <v>0</v>
      </c>
      <c r="G1048" s="78">
        <f t="array" aca="1" ref="G1048" ca="1">LARGE(IF((Data!$AM$91:$AM$190&lt;&gt;0)*(Data!$DW$91:$DW$190="W")*(Data!$AM$91:$AM$190&gt;Parameter!$B$33),OFFSET(Data!$CS$91:$CS$190,,MATCH(C1048,Data!$CS$90:$DS$90,0)-1)),1)</f>
        <v>0</v>
      </c>
      <c r="H1048" s="78">
        <f t="array" aca="1" ref="H1048" ca="1">IF(AND(G1048&gt;=F1048+E1048*2,G1048&gt;0),SUM(IF((OFFSET(Data!$CS$91:$CS$190,,MATCH(C1048,Data!$CS$90:$DS$90,0)-1)=Specials!G1048)*(Data!$DW$91:$DW$190="W")*(Data!$AM$91:$AM$190&gt;Parameter!$B$33),1)),0)</f>
        <v>0</v>
      </c>
      <c r="K1048" s="78" t="str">
        <f t="array" aca="1" ref="K1048" ca="1">IF(H1048=1,INDEX(Data!$DT$91:$DT$190,MATCH(G1048,(OFFSET(Data!$CS$91:$CS$190,,MATCH(C1048,Data!$CS$90:$DS$90,0)-1))*(Data!$DW$91:$DW$190="W")*(Data!$AM$91:$AM$190&gt;Parameter!$B$33),0)),H1048&amp;" Players")</f>
        <v>0 Players</v>
      </c>
      <c r="L1048" s="78" t="str">
        <f t="shared" ca="1" si="68"/>
        <v>Best women took only 0 throws</v>
      </c>
      <c r="M1048" s="78" t="s">
        <v>16</v>
      </c>
      <c r="N1048" s="78" t="s">
        <v>255</v>
      </c>
      <c r="O1048" s="78" t="e">
        <f t="shared" ca="1" si="66"/>
        <v>#VALUE!</v>
      </c>
      <c r="P1048" s="78" t="str">
        <f t="shared" ca="1" si="67"/>
        <v/>
      </c>
    </row>
    <row r="1049" spans="1:16" s="78" customFormat="1" hidden="1" x14ac:dyDescent="0.25">
      <c r="A1049" s="78" t="str">
        <f>"Best/Worst-Difference Women Rating &gt; "&amp;Parameter!$B$33</f>
        <v>Best/Worst-Difference Women Rating &gt; 600</v>
      </c>
      <c r="B1049" s="297"/>
      <c r="C1049" s="78">
        <f>INDEX(Parameter!$9:$9,,MATCH(21,Parameter!$8:$8,0))</f>
        <v>21</v>
      </c>
      <c r="D1049" s="78" t="str">
        <f>INDEX(Parameter!$B$10:$AB$10,MATCH(C1049,Parameter!$B$9:$AB$9,0))</f>
        <v>no</v>
      </c>
      <c r="E1049" s="78">
        <f>COUNTIF(Data!$DY$90:$IB$90,Specials!C1049)</f>
        <v>0</v>
      </c>
      <c r="F1049" s="78">
        <f ca="1">OFFSET(Data!$CS$91,MATCH("W1",Data!$A$91:$A$190,0)-1,MATCH(C1049,Data!$CS$90:$DS$90,0)-1)</f>
        <v>0</v>
      </c>
      <c r="G1049" s="78">
        <f t="array" aca="1" ref="G1049" ca="1">LARGE(IF((Data!$AM$91:$AM$190&lt;&gt;0)*(Data!$DW$91:$DW$190="W")*(Data!$AM$91:$AM$190&gt;Parameter!$B$33),OFFSET(Data!$CS$91:$CS$190,,MATCH(C1049,Data!$CS$90:$DS$90,0)-1)),1)</f>
        <v>0</v>
      </c>
      <c r="H1049" s="78">
        <f t="array" aca="1" ref="H1049" ca="1">IF(AND(G1049&gt;=F1049+E1049*2,G1049&gt;0),SUM(IF((OFFSET(Data!$CS$91:$CS$190,,MATCH(C1049,Data!$CS$90:$DS$90,0)-1)=Specials!G1049)*(Data!$DW$91:$DW$190="W")*(Data!$AM$91:$AM$190&gt;Parameter!$B$33),1)),0)</f>
        <v>0</v>
      </c>
      <c r="K1049" s="78" t="str">
        <f t="array" aca="1" ref="K1049" ca="1">IF(H1049=1,INDEX(Data!$DT$91:$DT$190,MATCH(G1049,(OFFSET(Data!$CS$91:$CS$190,,MATCH(C1049,Data!$CS$90:$DS$90,0)-1))*(Data!$DW$91:$DW$190="W")*(Data!$AM$91:$AM$190&gt;Parameter!$B$33),0)),H1049&amp;" Players")</f>
        <v>0 Players</v>
      </c>
      <c r="L1049" s="78" t="str">
        <f t="shared" ca="1" si="68"/>
        <v>Best women took only 0 throws</v>
      </c>
      <c r="M1049" s="78" t="s">
        <v>16</v>
      </c>
      <c r="N1049" s="78" t="s">
        <v>255</v>
      </c>
      <c r="O1049" s="78" t="e">
        <f t="shared" ca="1" si="66"/>
        <v>#VALUE!</v>
      </c>
      <c r="P1049" s="78" t="str">
        <f t="shared" ca="1" si="67"/>
        <v/>
      </c>
    </row>
    <row r="1050" spans="1:16" s="78" customFormat="1" hidden="1" x14ac:dyDescent="0.25">
      <c r="A1050" s="78" t="str">
        <f>"Best/Worst-Difference Women Rating &gt; "&amp;Parameter!$B$33</f>
        <v>Best/Worst-Difference Women Rating &gt; 600</v>
      </c>
      <c r="B1050" s="297"/>
      <c r="C1050" s="78">
        <f>INDEX(Parameter!$9:$9,,MATCH(22,Parameter!$8:$8,0))</f>
        <v>22</v>
      </c>
      <c r="D1050" s="78" t="str">
        <f>INDEX(Parameter!$B$10:$AB$10,MATCH(C1050,Parameter!$B$9:$AB$9,0))</f>
        <v>no</v>
      </c>
      <c r="E1050" s="78">
        <f>COUNTIF(Data!$DY$90:$IB$90,Specials!C1050)</f>
        <v>0</v>
      </c>
      <c r="F1050" s="78">
        <f ca="1">OFFSET(Data!$CS$91,MATCH("W1",Data!$A$91:$A$190,0)-1,MATCH(C1050,Data!$CS$90:$DS$90,0)-1)</f>
        <v>0</v>
      </c>
      <c r="G1050" s="78">
        <f t="array" aca="1" ref="G1050" ca="1">LARGE(IF((Data!$AM$91:$AM$190&lt;&gt;0)*(Data!$DW$91:$DW$190="W")*(Data!$AM$91:$AM$190&gt;Parameter!$B$33),OFFSET(Data!$CS$91:$CS$190,,MATCH(C1050,Data!$CS$90:$DS$90,0)-1)),1)</f>
        <v>0</v>
      </c>
      <c r="H1050" s="78">
        <f t="array" aca="1" ref="H1050" ca="1">IF(AND(G1050&gt;=F1050+E1050*2,G1050&gt;0),SUM(IF((OFFSET(Data!$CS$91:$CS$190,,MATCH(C1050,Data!$CS$90:$DS$90,0)-1)=Specials!G1050)*(Data!$DW$91:$DW$190="W")*(Data!$AM$91:$AM$190&gt;Parameter!$B$33),1)),0)</f>
        <v>0</v>
      </c>
      <c r="K1050" s="78" t="str">
        <f t="array" aca="1" ref="K1050" ca="1">IF(H1050=1,INDEX(Data!$DT$91:$DT$190,MATCH(G1050,(OFFSET(Data!$CS$91:$CS$190,,MATCH(C1050,Data!$CS$90:$DS$90,0)-1))*(Data!$DW$91:$DW$190="W")*(Data!$AM$91:$AM$190&gt;Parameter!$B$33),0)),H1050&amp;" Players")</f>
        <v>0 Players</v>
      </c>
      <c r="L1050" s="78" t="str">
        <f t="shared" ca="1" si="68"/>
        <v>Best women took only 0 throws</v>
      </c>
      <c r="M1050" s="78" t="s">
        <v>16</v>
      </c>
      <c r="N1050" s="78" t="s">
        <v>255</v>
      </c>
      <c r="O1050" s="78" t="e">
        <f t="shared" ca="1" si="66"/>
        <v>#VALUE!</v>
      </c>
      <c r="P1050" s="78" t="str">
        <f t="shared" ca="1" si="67"/>
        <v/>
      </c>
    </row>
    <row r="1051" spans="1:16" s="78" customFormat="1" hidden="1" x14ac:dyDescent="0.25">
      <c r="A1051" s="78" t="str">
        <f>"Best/Worst-Difference Women Rating &gt; "&amp;Parameter!$B$33</f>
        <v>Best/Worst-Difference Women Rating &gt; 600</v>
      </c>
      <c r="B1051" s="297"/>
      <c r="C1051" s="78">
        <f>INDEX(Parameter!$9:$9,,MATCH(23,Parameter!$8:$8,0))</f>
        <v>23</v>
      </c>
      <c r="D1051" s="78" t="str">
        <f>INDEX(Parameter!$B$10:$AB$10,MATCH(C1051,Parameter!$B$9:$AB$9,0))</f>
        <v>no</v>
      </c>
      <c r="E1051" s="78">
        <f>COUNTIF(Data!$DY$90:$IB$90,Specials!C1051)</f>
        <v>0</v>
      </c>
      <c r="F1051" s="78">
        <f ca="1">OFFSET(Data!$CS$91,MATCH("W1",Data!$A$91:$A$190,0)-1,MATCH(C1051,Data!$CS$90:$DS$90,0)-1)</f>
        <v>0</v>
      </c>
      <c r="G1051" s="78">
        <f t="array" aca="1" ref="G1051" ca="1">LARGE(IF((Data!$AM$91:$AM$190&lt;&gt;0)*(Data!$DW$91:$DW$190="W")*(Data!$AM$91:$AM$190&gt;Parameter!$B$33),OFFSET(Data!$CS$91:$CS$190,,MATCH(C1051,Data!$CS$90:$DS$90,0)-1)),1)</f>
        <v>0</v>
      </c>
      <c r="H1051" s="78">
        <f t="array" aca="1" ref="H1051" ca="1">IF(AND(G1051&gt;=F1051+E1051*2,G1051&gt;0),SUM(IF((OFFSET(Data!$CS$91:$CS$190,,MATCH(C1051,Data!$CS$90:$DS$90,0)-1)=Specials!G1051)*(Data!$DW$91:$DW$190="W")*(Data!$AM$91:$AM$190&gt;Parameter!$B$33),1)),0)</f>
        <v>0</v>
      </c>
      <c r="K1051" s="78" t="str">
        <f t="array" aca="1" ref="K1051" ca="1">IF(H1051=1,INDEX(Data!$DT$91:$DT$190,MATCH(G1051,(OFFSET(Data!$CS$91:$CS$190,,MATCH(C1051,Data!$CS$90:$DS$90,0)-1))*(Data!$DW$91:$DW$190="W")*(Data!$AM$91:$AM$190&gt;Parameter!$B$33),0)),H1051&amp;" Players")</f>
        <v>0 Players</v>
      </c>
      <c r="L1051" s="78" t="str">
        <f t="shared" ca="1" si="68"/>
        <v>Best women took only 0 throws</v>
      </c>
      <c r="M1051" s="78" t="s">
        <v>16</v>
      </c>
      <c r="N1051" s="78" t="s">
        <v>255</v>
      </c>
      <c r="O1051" s="78" t="e">
        <f t="shared" ca="1" si="66"/>
        <v>#VALUE!</v>
      </c>
      <c r="P1051" s="78" t="str">
        <f t="shared" ca="1" si="67"/>
        <v/>
      </c>
    </row>
    <row r="1052" spans="1:16" s="78" customFormat="1" hidden="1" x14ac:dyDescent="0.25">
      <c r="A1052" s="78" t="str">
        <f>"Best/Worst-Difference Women Rating &gt; "&amp;Parameter!$B$33</f>
        <v>Best/Worst-Difference Women Rating &gt; 600</v>
      </c>
      <c r="B1052" s="297"/>
      <c r="C1052" s="78">
        <f>INDEX(Parameter!$9:$9,,MATCH(24,Parameter!$8:$8,0))</f>
        <v>24</v>
      </c>
      <c r="D1052" s="78" t="str">
        <f>INDEX(Parameter!$B$10:$AB$10,MATCH(C1052,Parameter!$B$9:$AB$9,0))</f>
        <v>no</v>
      </c>
      <c r="E1052" s="78">
        <f>COUNTIF(Data!$DY$90:$IB$90,Specials!C1052)</f>
        <v>0</v>
      </c>
      <c r="F1052" s="78">
        <f ca="1">OFFSET(Data!$CS$91,MATCH("W1",Data!$A$91:$A$190,0)-1,MATCH(C1052,Data!$CS$90:$DS$90,0)-1)</f>
        <v>0</v>
      </c>
      <c r="G1052" s="78">
        <f t="array" aca="1" ref="G1052" ca="1">LARGE(IF((Data!$AM$91:$AM$190&lt;&gt;0)*(Data!$DW$91:$DW$190="W")*(Data!$AM$91:$AM$190&gt;Parameter!$B$33),OFFSET(Data!$CS$91:$CS$190,,MATCH(C1052,Data!$CS$90:$DS$90,0)-1)),1)</f>
        <v>0</v>
      </c>
      <c r="H1052" s="78">
        <f t="array" aca="1" ref="H1052" ca="1">IF(AND(G1052&gt;=F1052+E1052*2,G1052&gt;0),SUM(IF((OFFSET(Data!$CS$91:$CS$190,,MATCH(C1052,Data!$CS$90:$DS$90,0)-1)=Specials!G1052)*(Data!$DW$91:$DW$190="W")*(Data!$AM$91:$AM$190&gt;Parameter!$B$33),1)),0)</f>
        <v>0</v>
      </c>
      <c r="K1052" s="78" t="str">
        <f t="array" aca="1" ref="K1052" ca="1">IF(H1052=1,INDEX(Data!$DT$91:$DT$190,MATCH(G1052,(OFFSET(Data!$CS$91:$CS$190,,MATCH(C1052,Data!$CS$90:$DS$90,0)-1))*(Data!$DW$91:$DW$190="W")*(Data!$AM$91:$AM$190&gt;Parameter!$B$33),0)),H1052&amp;" Players")</f>
        <v>0 Players</v>
      </c>
      <c r="L1052" s="78" t="str">
        <f t="shared" ca="1" si="68"/>
        <v>Best women took only 0 throws</v>
      </c>
      <c r="M1052" s="78" t="s">
        <v>16</v>
      </c>
      <c r="N1052" s="78" t="s">
        <v>255</v>
      </c>
      <c r="O1052" s="78" t="e">
        <f t="shared" ca="1" si="66"/>
        <v>#VALUE!</v>
      </c>
      <c r="P1052" s="78" t="str">
        <f t="shared" ca="1" si="67"/>
        <v/>
      </c>
    </row>
    <row r="1053" spans="1:16" s="78" customFormat="1" hidden="1" x14ac:dyDescent="0.25">
      <c r="A1053" s="78" t="str">
        <f>"Best/Worst-Difference Women Rating &gt; "&amp;Parameter!$B$33</f>
        <v>Best/Worst-Difference Women Rating &gt; 600</v>
      </c>
      <c r="B1053" s="297"/>
      <c r="C1053" s="78">
        <f>INDEX(Parameter!$9:$9,,MATCH(25,Parameter!$8:$8,0))</f>
        <v>25</v>
      </c>
      <c r="D1053" s="78" t="str">
        <f>INDEX(Parameter!$B$10:$AB$10,MATCH(C1053,Parameter!$B$9:$AB$9,0))</f>
        <v>no</v>
      </c>
      <c r="E1053" s="78">
        <f>COUNTIF(Data!$DY$90:$IB$90,Specials!C1053)</f>
        <v>0</v>
      </c>
      <c r="F1053" s="78">
        <f ca="1">OFFSET(Data!$CS$91,MATCH("W1",Data!$A$91:$A$190,0)-1,MATCH(C1053,Data!$CS$90:$DS$90,0)-1)</f>
        <v>0</v>
      </c>
      <c r="G1053" s="78">
        <f t="array" aca="1" ref="G1053" ca="1">LARGE(IF((Data!$AM$91:$AM$190&lt;&gt;0)*(Data!$DW$91:$DW$190="W")*(Data!$AM$91:$AM$190&gt;Parameter!$B$33),OFFSET(Data!$CS$91:$CS$190,,MATCH(C1053,Data!$CS$90:$DS$90,0)-1)),1)</f>
        <v>0</v>
      </c>
      <c r="H1053" s="78">
        <f t="array" aca="1" ref="H1053" ca="1">IF(AND(G1053&gt;=F1053+E1053*2,G1053&gt;0),SUM(IF((OFFSET(Data!$CS$91:$CS$190,,MATCH(C1053,Data!$CS$90:$DS$90,0)-1)=Specials!G1053)*(Data!$DW$91:$DW$190="W")*(Data!$AM$91:$AM$190&gt;Parameter!$B$33),1)),0)</f>
        <v>0</v>
      </c>
      <c r="K1053" s="78" t="str">
        <f t="array" aca="1" ref="K1053" ca="1">IF(H1053=1,INDEX(Data!$DT$91:$DT$190,MATCH(G1053,(OFFSET(Data!$CS$91:$CS$190,,MATCH(C1053,Data!$CS$90:$DS$90,0)-1))*(Data!$DW$91:$DW$190="W")*(Data!$AM$91:$AM$190&gt;Parameter!$B$33),0)),H1053&amp;" Players")</f>
        <v>0 Players</v>
      </c>
      <c r="L1053" s="78" t="str">
        <f t="shared" ca="1" si="68"/>
        <v>Best women took only 0 throws</v>
      </c>
      <c r="M1053" s="78" t="s">
        <v>16</v>
      </c>
      <c r="N1053" s="78" t="s">
        <v>255</v>
      </c>
      <c r="O1053" s="78" t="e">
        <f t="shared" ca="1" si="66"/>
        <v>#VALUE!</v>
      </c>
      <c r="P1053" s="78" t="str">
        <f t="shared" ca="1" si="67"/>
        <v/>
      </c>
    </row>
    <row r="1054" spans="1:16" s="78" customFormat="1" hidden="1" x14ac:dyDescent="0.25">
      <c r="A1054" s="78" t="str">
        <f>"Best/Worst-Difference Women Rating &gt; "&amp;Parameter!$B$33</f>
        <v>Best/Worst-Difference Women Rating &gt; 600</v>
      </c>
      <c r="B1054" s="297"/>
      <c r="C1054" s="78">
        <f>INDEX(Parameter!$9:$9,,MATCH(26,Parameter!$8:$8,0))</f>
        <v>26</v>
      </c>
      <c r="D1054" s="78" t="str">
        <f>INDEX(Parameter!$B$10:$AB$10,MATCH(C1054,Parameter!$B$9:$AB$9,0))</f>
        <v>no</v>
      </c>
      <c r="E1054" s="78">
        <f>COUNTIF(Data!$DY$90:$IB$90,Specials!C1054)</f>
        <v>0</v>
      </c>
      <c r="F1054" s="78">
        <f ca="1">OFFSET(Data!$CS$91,MATCH("W1",Data!$A$91:$A$190,0)-1,MATCH(C1054,Data!$CS$90:$DS$90,0)-1)</f>
        <v>0</v>
      </c>
      <c r="G1054" s="78">
        <f t="array" aca="1" ref="G1054" ca="1">LARGE(IF((Data!$AM$91:$AM$190&lt;&gt;0)*(Data!$DW$91:$DW$190="W")*(Data!$AM$91:$AM$190&gt;Parameter!$B$33),OFFSET(Data!$CS$91:$CS$190,,MATCH(C1054,Data!$CS$90:$DS$90,0)-1)),1)</f>
        <v>0</v>
      </c>
      <c r="H1054" s="78">
        <f t="array" aca="1" ref="H1054" ca="1">IF(AND(G1054&gt;=F1054+E1054*2,G1054&gt;0),SUM(IF((OFFSET(Data!$CS$91:$CS$190,,MATCH(C1054,Data!$CS$90:$DS$90,0)-1)=Specials!G1054)*(Data!$DW$91:$DW$190="W")*(Data!$AM$91:$AM$190&gt;Parameter!$B$33),1)),0)</f>
        <v>0</v>
      </c>
      <c r="K1054" s="78" t="str">
        <f t="array" aca="1" ref="K1054" ca="1">IF(H1054=1,INDEX(Data!$DT$91:$DT$190,MATCH(G1054,(OFFSET(Data!$CS$91:$CS$190,,MATCH(C1054,Data!$CS$90:$DS$90,0)-1))*(Data!$DW$91:$DW$190="W")*(Data!$AM$91:$AM$190&gt;Parameter!$B$33),0)),H1054&amp;" Players")</f>
        <v>0 Players</v>
      </c>
      <c r="L1054" s="78" t="str">
        <f t="shared" ca="1" si="68"/>
        <v>Best women took only 0 throws</v>
      </c>
      <c r="M1054" s="78" t="s">
        <v>16</v>
      </c>
      <c r="N1054" s="78" t="s">
        <v>255</v>
      </c>
      <c r="O1054" s="78" t="e">
        <f t="shared" ca="1" si="66"/>
        <v>#VALUE!</v>
      </c>
      <c r="P1054" s="78" t="str">
        <f t="shared" ca="1" si="67"/>
        <v/>
      </c>
    </row>
    <row r="1055" spans="1:16" s="78" customFormat="1" hidden="1" x14ac:dyDescent="0.25">
      <c r="A1055" s="78" t="str">
        <f>"Best/Worst-Difference Women Rating &gt; "&amp;Parameter!$B$33</f>
        <v>Best/Worst-Difference Women Rating &gt; 600</v>
      </c>
      <c r="B1055" s="297"/>
      <c r="C1055" s="78">
        <f>INDEX(Parameter!$9:$9,,MATCH(27,Parameter!$8:$8,0))</f>
        <v>27</v>
      </c>
      <c r="D1055" s="78" t="str">
        <f>INDEX(Parameter!$B$10:$AB$10,MATCH(C1055,Parameter!$B$9:$AB$9,0))</f>
        <v>no</v>
      </c>
      <c r="E1055" s="78">
        <f>COUNTIF(Data!$DY$90:$IB$90,Specials!C1055)</f>
        <v>0</v>
      </c>
      <c r="F1055" s="78">
        <f ca="1">OFFSET(Data!$CS$91,MATCH("W1",Data!$A$91:$A$190,0)-1,MATCH(C1055,Data!$CS$90:$DS$90,0)-1)</f>
        <v>0</v>
      </c>
      <c r="G1055" s="78">
        <f t="array" aca="1" ref="G1055" ca="1">LARGE(IF((Data!$AM$91:$AM$190&lt;&gt;0)*(Data!$DW$91:$DW$190="W")*(Data!$AM$91:$AM$190&gt;Parameter!$B$33),OFFSET(Data!$CS$91:$CS$190,,MATCH(C1055,Data!$CS$90:$DS$90,0)-1)),1)</f>
        <v>0</v>
      </c>
      <c r="H1055" s="78">
        <f t="array" aca="1" ref="H1055" ca="1">IF(AND(G1055&gt;=F1055+E1055*2,G1055&gt;0),SUM(IF((OFFSET(Data!$CS$91:$CS$190,,MATCH(C1055,Data!$CS$90:$DS$90,0)-1)=Specials!G1055)*(Data!$DW$91:$DW$190="W")*(Data!$AM$91:$AM$190&gt;Parameter!$B$33),1)),0)</f>
        <v>0</v>
      </c>
      <c r="K1055" s="78" t="str">
        <f t="array" aca="1" ref="K1055" ca="1">IF(H1055=1,INDEX(Data!$DT$91:$DT$190,MATCH(G1055,(OFFSET(Data!$CS$91:$CS$190,,MATCH(C1055,Data!$CS$90:$DS$90,0)-1))*(Data!$DW$91:$DW$190="W")*(Data!$AM$91:$AM$190&gt;Parameter!$B$33),0)),H1055&amp;" Players")</f>
        <v>0 Players</v>
      </c>
      <c r="L1055" s="78" t="str">
        <f t="shared" ca="1" si="68"/>
        <v>Best women took only 0 throws</v>
      </c>
      <c r="M1055" s="78" t="s">
        <v>16</v>
      </c>
      <c r="N1055" s="78" t="s">
        <v>255</v>
      </c>
      <c r="O1055" s="78" t="e">
        <f t="shared" ca="1" si="66"/>
        <v>#VALUE!</v>
      </c>
      <c r="P1055" s="78" t="str">
        <f t="shared" ca="1" si="67"/>
        <v/>
      </c>
    </row>
    <row r="1056" spans="1:16" s="65" customFormat="1" hidden="1" x14ac:dyDescent="0.25">
      <c r="A1056" s="288" t="s">
        <v>259</v>
      </c>
      <c r="B1056" s="288"/>
      <c r="D1056" s="65">
        <f>LARGE(Data!$T$91:$T$190,1)</f>
        <v>0.57894736842105265</v>
      </c>
      <c r="H1056" s="65">
        <f>COUNTIF(Data!$T$91:$T$190,D1056)</f>
        <v>1</v>
      </c>
      <c r="I1056" s="65">
        <f>IF(H1056&gt;0,INDEX(Data!$S$91:$S$190,MATCH(D1056,Data!$T$91:$T$190,0)),"")</f>
        <v>67</v>
      </c>
      <c r="J1056" s="65">
        <f>IF(H1056&gt;0,INDEX(Data!$K$91:$K$190,MATCH(D1056,Data!$T$91:$T$190,0)),"")</f>
        <v>56</v>
      </c>
      <c r="K1056" s="65" t="str">
        <f>IF(H1056=1,INDEX(Data!$DT$91:$DT$190,MATCH(D1056,Data!$T$91:$T$190,0)),H1056&amp;" Players")</f>
        <v>Dinko Šimenc</v>
      </c>
      <c r="L1056" s="65" t="str">
        <f>IF(AND(H1056&gt;0,D1056&lt;&gt;0),IF(H1056=1,Specials!$K1056&amp;" ("&amp;Specials!$I1056&amp;" -&gt; "&amp;Specials!$J1056&amp;")",Specials!$K1056&amp;" ("&amp;ABS(I1056-J1056)&amp;" throws better)"),"No Improvements")</f>
        <v>Dinko Šimenc (67 -&gt; 56)</v>
      </c>
      <c r="M1056" s="65" t="s">
        <v>260</v>
      </c>
      <c r="N1056" s="65" t="s">
        <v>255</v>
      </c>
      <c r="O1056" s="65" t="e">
        <f t="shared" ca="1" si="66"/>
        <v>#VALUE!</v>
      </c>
    </row>
    <row r="1057" spans="1:15" s="65" customFormat="1" hidden="1" x14ac:dyDescent="0.25">
      <c r="A1057" s="288" t="s">
        <v>261</v>
      </c>
      <c r="B1057" s="288"/>
      <c r="D1057" s="65">
        <f>SMALL(Data!$T$91:$T$190,1)</f>
        <v>-0.84210526315789425</v>
      </c>
      <c r="H1057" s="65">
        <f>COUNTIF(Data!$T$91:$T$190,D1057)</f>
        <v>1</v>
      </c>
      <c r="I1057" s="65">
        <f>IF(H1057&gt;0,INDEX(Data!$S$91:$S$190,MATCH(D1057,Data!$T$91:$T$190,0)),"")</f>
        <v>74</v>
      </c>
      <c r="J1057" s="65">
        <f>IF(H1057&gt;0,INDEX(Data!$K$91:$K$190,MATCH(D1057,Data!$T$91:$T$190,0)),"")</f>
        <v>90</v>
      </c>
      <c r="K1057" s="65" t="str">
        <f>IF(H1057=1,INDEX(Data!$DT$91:$DT$190,MATCH(D1057,Data!$T$91:$T$190,0)),H1057&amp;" Players")</f>
        <v>Marton Metzger</v>
      </c>
      <c r="L1057" s="65" t="str">
        <f>IF(AND(H1057&gt;0,D1057&lt;&gt;0),IF(H1057=1,Specials!$K1057&amp;" ("&amp;Specials!$I1057&amp;" -&gt; "&amp;Specials!$J1057&amp;")",Specials!$K1057&amp;" ("&amp;ABS(I1057-J1057)&amp;" throws worse)"),"No Worsenings")</f>
        <v>Marton Metzger (74 -&gt; 90)</v>
      </c>
      <c r="M1057" s="65" t="s">
        <v>260</v>
      </c>
      <c r="N1057" s="65" t="s">
        <v>255</v>
      </c>
      <c r="O1057" s="65" t="e">
        <f t="shared" ca="1" si="66"/>
        <v>#VALUE!</v>
      </c>
    </row>
    <row r="1058" spans="1:15" s="65" customFormat="1" hidden="1" x14ac:dyDescent="0.25">
      <c r="A1058" s="288" t="s">
        <v>262</v>
      </c>
      <c r="B1058" s="288"/>
      <c r="D1058" s="65">
        <f t="array" ref="D1058">LARGE(IF(Data!$DW$91:$DW$190="M",Data!$T$91:$T$190,0),1)</f>
        <v>0.57894736842105265</v>
      </c>
      <c r="H1058" s="65">
        <f t="array" ref="H1058">SUM(IF((Data!$T$91:$T$190=D1058)*(Data!$DW$91:$DW$190="M"),1))</f>
        <v>1</v>
      </c>
      <c r="I1058" s="65">
        <f t="array" ref="I1058">IF(H1058&gt;0,INDEX(Data!$S$91:$S$190,MATCH(D1058,(Data!$T$91:$T$190)*(Data!$DW$91:$DW$190="M"),0)),"")</f>
        <v>67</v>
      </c>
      <c r="J1058" s="65">
        <f t="array" ref="J1058">IF(H1058&gt;0,INDEX(Data!$K$91:$K$190,MATCH(D1058,(Data!$T$91:$T$190)*(Data!$DW$91:$DW$190="M"),0)),"")</f>
        <v>56</v>
      </c>
      <c r="K1058" s="65" t="str">
        <f t="array" ref="K1058">IF(H1058=1,INDEX(Data!$DT$91:$DT$190,MATCH(D1058,(Data!$T$91:$T$190)*(Data!$DW$91:$DW$190="M"),0)),H1058&amp;" Players")</f>
        <v>Dinko Šimenc</v>
      </c>
      <c r="L1058" s="65" t="str">
        <f>IF(AND(H1058&gt;0,D1058&lt;&gt;0),IF(H1058=1,Specials!$K1058&amp;" ("&amp;Specials!$I1058&amp;" -&gt; "&amp;Specials!$J1058&amp;")",Specials!$K1058&amp;" ("&amp;ABS(I1058-J1058)&amp;" throws better)"),"No Improvements")</f>
        <v>Dinko Šimenc (67 -&gt; 56)</v>
      </c>
      <c r="M1058" s="65" t="s">
        <v>260</v>
      </c>
      <c r="N1058" s="65" t="s">
        <v>255</v>
      </c>
      <c r="O1058" s="65" t="e">
        <f t="shared" ca="1" si="66"/>
        <v>#VALUE!</v>
      </c>
    </row>
    <row r="1059" spans="1:15" s="65" customFormat="1" hidden="1" x14ac:dyDescent="0.25">
      <c r="A1059" s="288" t="s">
        <v>263</v>
      </c>
      <c r="B1059" s="288"/>
      <c r="D1059" s="65">
        <f t="array" ref="D1059">SMALL(IF(Data!$DW$91:$DW$190="M",Data!$T$91:$T$190,0),1)</f>
        <v>-0.84210526315789425</v>
      </c>
      <c r="H1059" s="65">
        <f t="array" ref="H1059">SUM(IF((Data!$T$91:$T$190=D1059)*(Data!$DW$91:$DW$190="M"),1))</f>
        <v>1</v>
      </c>
      <c r="I1059" s="65">
        <f t="array" ref="I1059">IF(H1059&gt;0,INDEX(Data!$S$91:$S$190,MATCH(D1059,(Data!$T$91:$T$190)*(Data!$DW$91:$DW$190="M"),0)),"")</f>
        <v>74</v>
      </c>
      <c r="J1059" s="65">
        <f t="array" ref="J1059">IF(H1059&gt;0,INDEX(Data!$K$91:$K$190,MATCH(D1059,(Data!$T$91:$T$190)*(Data!$DW$91:$DW$190="M"),0)),"")</f>
        <v>90</v>
      </c>
      <c r="K1059" s="65" t="str">
        <f t="array" ref="K1059">IF(H1059=1,INDEX(Data!$DT$91:$DT$190,MATCH(D1059,(Data!$T$91:$T$190)*(Data!$DW$91:$DW$190="M"),0)),H1059&amp;" Players")</f>
        <v>Marton Metzger</v>
      </c>
      <c r="L1059" s="65" t="str">
        <f>IF(AND(H1059&gt;0,D1059&lt;&gt;0),IF(H1059=1,Specials!$K1059&amp;" ("&amp;Specials!$I1059&amp;" -&gt; "&amp;Specials!$J1059&amp;")",Specials!$K1059&amp;" ("&amp;ABS(I1059-J1059)&amp;" throws worse)"),"No Worsenings")</f>
        <v>Marton Metzger (74 -&gt; 90)</v>
      </c>
      <c r="M1059" s="65" t="s">
        <v>260</v>
      </c>
      <c r="N1059" s="65" t="s">
        <v>255</v>
      </c>
      <c r="O1059" s="65" t="e">
        <f t="shared" ca="1" si="66"/>
        <v>#VALUE!</v>
      </c>
    </row>
    <row r="1060" spans="1:15" s="65" customFormat="1" hidden="1" x14ac:dyDescent="0.25">
      <c r="A1060" s="288" t="s">
        <v>264</v>
      </c>
      <c r="B1060" s="288"/>
      <c r="D1060" s="65">
        <f t="array" ref="D1060">LARGE(IF(Data!$DW$91:$DW$190="W",Data!$T$91:$T$190,0),1)</f>
        <v>0.42105263157894735</v>
      </c>
      <c r="H1060" s="65">
        <f t="array" ref="H1060">SUM(IF((Data!$T$91:$T$190=D1060)*(Data!$DW$91:$DW$190="W"),1))</f>
        <v>1</v>
      </c>
      <c r="I1060" s="65">
        <f t="array" ref="I1060">IF(H1060&gt;0,INDEX(Data!$S$91:$S$190,MATCH(D1060,(Data!$T$91:$T$190)*(Data!$DW$91:$DW$190="W"),0)),"")</f>
        <v>80</v>
      </c>
      <c r="J1060" s="65">
        <f t="array" ref="J1060">IF(H1060&gt;0,INDEX(Data!$K$91:$K$190,MATCH(D1060,(Data!$T$91:$T$190)*(Data!$DW$91:$DW$190="W"),0)),"")</f>
        <v>72</v>
      </c>
      <c r="K1060" s="65" t="str">
        <f t="array" ref="K1060">IF(H1060=1,INDEX(Data!$DT$91:$DT$190,MATCH(D1060,(Data!$T$91:$T$190)*(Data!$DW$91:$DW$190="W"),0)),H1060&amp;" Players")</f>
        <v>Wiltrud Derschmidt</v>
      </c>
      <c r="L1060" s="65" t="str">
        <f>IF(AND(H1060&gt;0,D1060&lt;&gt;0),IF(H1060=1,Specials!$K1060&amp;" ("&amp;Specials!$I1060&amp;" -&gt; "&amp;Specials!$J1060&amp;")",Specials!$K1060&amp;" ("&amp;ABS(I1060-J1060)&amp;" throws better)"),"No Improvements")</f>
        <v>Wiltrud Derschmidt (80 -&gt; 72)</v>
      </c>
      <c r="M1060" s="65" t="s">
        <v>260</v>
      </c>
      <c r="N1060" s="65" t="s">
        <v>255</v>
      </c>
      <c r="O1060" s="65" t="e">
        <f t="shared" ca="1" si="66"/>
        <v>#VALUE!</v>
      </c>
    </row>
    <row r="1061" spans="1:15" s="65" customFormat="1" hidden="1" x14ac:dyDescent="0.25">
      <c r="A1061" s="288" t="s">
        <v>265</v>
      </c>
      <c r="B1061" s="288"/>
      <c r="D1061" s="65">
        <f t="array" ref="D1061">SMALL(IF(Data!$DW$91:$DW$190="W",Data!$T$91:$T$190,0),1)</f>
        <v>-0.68421052631578982</v>
      </c>
      <c r="H1061" s="65">
        <f t="array" ref="H1061">SUM(IF((Data!$T$91:$T$190=D1061)*(Data!$DW$91:$DW$190="W"),1))</f>
        <v>1</v>
      </c>
      <c r="I1061" s="65">
        <f t="array" ref="I1061">IF(H1061&gt;0,INDEX(Data!$S$91:$S$190,MATCH(D1061,(Data!$T$91:$T$190)*(Data!$DW$91:$DW$190="W"),0)),"")</f>
        <v>65</v>
      </c>
      <c r="J1061" s="65">
        <f t="array" ref="J1061">IF(H1061&gt;0,INDEX(Data!$K$91:$K$190,MATCH(D1061,(Data!$T$91:$T$190)*(Data!$DW$91:$DW$190="W"),0)),"")</f>
        <v>78</v>
      </c>
      <c r="K1061" s="65" t="str">
        <f t="array" ref="K1061">IF(H1061=1,INDEX(Data!$DT$91:$DT$190,MATCH(D1061,(Data!$T$91:$T$190)*(Data!$DW$91:$DW$190="W"),0)),H1061&amp;" Players")</f>
        <v>Sonja Palmetshofer</v>
      </c>
      <c r="L1061" s="65" t="str">
        <f>IF(AND(H1061&gt;0,D1061&lt;&gt;0),IF(H1061=1,Specials!$K1061&amp;" ("&amp;Specials!$I1061&amp;" -&gt; "&amp;Specials!$J1061&amp;")",Specials!$K1061&amp;" ("&amp;ABS(I1061-J1061)&amp;" throws worse)"),"No Worsenings")</f>
        <v>Sonja Palmetshofer (65 -&gt; 78)</v>
      </c>
      <c r="M1061" s="65" t="s">
        <v>260</v>
      </c>
      <c r="N1061" s="65" t="s">
        <v>255</v>
      </c>
      <c r="O1061" s="65" t="e">
        <f t="shared" ca="1" si="66"/>
        <v>#VALUE!</v>
      </c>
    </row>
    <row r="1062" spans="1:15" s="65" customFormat="1" hidden="1" x14ac:dyDescent="0.25">
      <c r="A1062" s="288" t="str">
        <f>"Biggest Improvement Men Rating &gt; "&amp;Parameter!$B$32&amp;" Round 2"</f>
        <v>Biggest Improvement Men Rating &gt; 850 Round 2</v>
      </c>
      <c r="B1062" s="288"/>
      <c r="D1062" s="65">
        <f t="array" ref="D1062">LARGE(IF((Data!$DW$91:$DW$190="M")*(Data!$AM$91:$AM$190&gt;Parameter!$B$32),Data!$T$91:$T$190,0),1)</f>
        <v>0.57894736842105265</v>
      </c>
      <c r="H1062" s="65">
        <f t="array" ref="H1062">SUM(IF((Data!$T$91:$T$190=D1062)*(Data!$DW$91:$DW$190="M")*(Data!$AM$91:$AM$190&gt;Parameter!$B$32),1))</f>
        <v>1</v>
      </c>
      <c r="I1062" s="65">
        <f t="array" ref="I1062">IF(H1062&gt;0,INDEX(Data!$S$91:$S$190,MATCH(D1062,(Data!$T$91:$T$190)*(Data!$DW$91:$DW$190="M")*(Data!$AM$91:$AM$190&gt;Parameter!$B$32),0)),"")</f>
        <v>67</v>
      </c>
      <c r="J1062" s="65">
        <f t="array" ref="J1062">IF(H1062&gt;0,INDEX(Data!$K$91:$K$190,MATCH(D1062,(Data!$T$91:$T$190)*(Data!$DW$91:$DW$190="M")*(Data!$AM$91:$AM$190&gt;Parameter!$B$32),0)),"")</f>
        <v>56</v>
      </c>
      <c r="K1062" s="65" t="str">
        <f t="array" ref="K1062">IF(H1062=1,INDEX(Data!$DT$91:$DT$190,MATCH(D1062,(Data!$T$91:$T$190)*(Data!$DW$91:$DW$190="M")*(Data!$AM$91:$AM$190&gt;Parameter!$B$32),0)),H1062&amp;" Players")</f>
        <v>Dinko Šimenc</v>
      </c>
      <c r="L1062" s="65" t="str">
        <f>IF(AND(H1062&gt;0,D1062&lt;&gt;0),IF(H1062=1,Specials!$K1062&amp;" ("&amp;Specials!$I1062&amp;" -&gt; "&amp;Specials!$J1062&amp;")",Specials!$K1062&amp;" ("&amp;ABS(I1062-J1062)&amp;" throws better)"),"No Improvements")</f>
        <v>Dinko Šimenc (67 -&gt; 56)</v>
      </c>
      <c r="M1062" s="65" t="s">
        <v>260</v>
      </c>
      <c r="N1062" s="65" t="s">
        <v>255</v>
      </c>
      <c r="O1062" s="65" t="e">
        <f t="shared" ca="1" si="66"/>
        <v>#VALUE!</v>
      </c>
    </row>
    <row r="1063" spans="1:15" s="65" customFormat="1" hidden="1" x14ac:dyDescent="0.25">
      <c r="A1063" s="288" t="str">
        <f>"Biggest Worsening Men Rating &gt; "&amp;Parameter!$B$32&amp;" Round 2"</f>
        <v>Biggest Worsening Men Rating &gt; 850 Round 2</v>
      </c>
      <c r="B1063" s="288"/>
      <c r="D1063" s="65">
        <f t="array" ref="D1063">SMALL(IF((Data!$DW$91:$DW$190="M")*(Data!$AM$91:$AM$190&gt;Parameter!$B$32),Data!$T$91:$T$190,0),1)</f>
        <v>-0.63157894736842124</v>
      </c>
      <c r="H1063" s="65">
        <f t="array" ref="H1063">SUM(IF((Data!$T$91:$T$190=D1063)*(Data!$DW$91:$DW$190="M")*(Data!$AM$91:$AM$190&gt;Parameter!$B$32),1))</f>
        <v>1</v>
      </c>
      <c r="I1063" s="65">
        <f t="array" ref="I1063">IF(H1063&gt;0,INDEX(Data!$S$91:$S$190,MATCH(D1063,(Data!$T$91:$T$190)*(Data!$DW$91:$DW$190="M")*(Data!$AM$91:$AM$190&gt;Parameter!$B$32),0)),"")</f>
        <v>57</v>
      </c>
      <c r="J1063" s="65">
        <f t="array" ref="J1063">IF(H1063&gt;0,INDEX(Data!$K$91:$K$190,MATCH(D1063,(Data!$T$91:$T$190)*(Data!$DW$91:$DW$190="M")*(Data!$AM$91:$AM$190&gt;Parameter!$B$32),0)),"")</f>
        <v>69</v>
      </c>
      <c r="K1063" s="65" t="str">
        <f t="array" ref="K1063">IF(H1063=1,INDEX(Data!$DT$91:$DT$190,MATCH(D1063,(Data!$T$91:$T$190)*(Data!$DW$91:$DW$190="M")*(Data!$AM$91:$AM$190&gt;Parameter!$B$32),0)),H1063&amp;" Players")</f>
        <v>Jakub Matejka</v>
      </c>
      <c r="L1063" s="65" t="str">
        <f>IF(AND(H1063&gt;0,D1063&lt;&gt;0),IF(H1063=1,Specials!$K1063&amp;" ("&amp;Specials!$I1063&amp;" -&gt; "&amp;Specials!$J1063&amp;")",Specials!$K1063&amp;" ("&amp;ABS(I1063-J1063)&amp;" throws worse)"),"No Worsenings")</f>
        <v>Jakub Matejka (57 -&gt; 69)</v>
      </c>
      <c r="M1063" s="65" t="s">
        <v>260</v>
      </c>
      <c r="N1063" s="65" t="s">
        <v>255</v>
      </c>
      <c r="O1063" s="65" t="e">
        <f t="shared" ca="1" si="66"/>
        <v>#VALUE!</v>
      </c>
    </row>
    <row r="1064" spans="1:15" s="65" customFormat="1" hidden="1" x14ac:dyDescent="0.25">
      <c r="A1064" s="288" t="str">
        <f>"Biggest Improvement Women Rating &gt; "&amp;Parameter!$B$33&amp;" Round 2"</f>
        <v>Biggest Improvement Women Rating &gt; 600 Round 2</v>
      </c>
      <c r="B1064" s="288"/>
      <c r="D1064" s="65">
        <f t="array" ref="D1064">LARGE(IF((Data!$DW$91:$DW$190="W")*(Data!$AM$91:$AM$190&gt;Parameter!$B$33),Data!$T$91:$T$190,0),1)</f>
        <v>0.42105263157894735</v>
      </c>
      <c r="H1064" s="65">
        <f t="array" ref="H1064">SUM(IF((Data!$T$91:$T$190=D1064)*(Data!$DW$91:$DW$190="W")*(Data!$AM$91:$AM$190&gt;Parameter!$B$33),1))</f>
        <v>1</v>
      </c>
      <c r="I1064" s="65">
        <f t="array" ref="I1064">IF(H1064&gt;0,INDEX(Data!$S$91:$S$190,MATCH(D1064,(Data!$T$91:$T$190)*(Data!$DW$91:$DW$190="W")*(Data!$AM$91:$AM$190&gt;Parameter!$B$33),0)),"")</f>
        <v>80</v>
      </c>
      <c r="J1064" s="65">
        <f t="array" ref="J1064">IF(H1064&gt;0,INDEX(Data!$K$91:$K$190,MATCH(D1064,(Data!$T$91:$T$190)*(Data!$DW$91:$DW$190="W")*(Data!$AM$91:$AM$190&gt;Parameter!$B$33),0)),"")</f>
        <v>72</v>
      </c>
      <c r="K1064" s="65" t="str">
        <f t="array" ref="K1064">IF(H1064=1,INDEX(Data!$DT$91:$DT$190,MATCH(D1064,(Data!$T$91:$T$190)*(Data!$DW$91:$DW$190="W")*(Data!$AM$91:$AM$190&gt;Parameter!$B$33),0)),H1064&amp;" Players")</f>
        <v>Wiltrud Derschmidt</v>
      </c>
      <c r="L1064" s="65" t="str">
        <f>IF(AND(H1064&gt;0,D1064&lt;&gt;0),IF(H1064=1,Specials!$K1064&amp;" ("&amp;Specials!$I1064&amp;" -&gt; "&amp;Specials!$J1064&amp;")",Specials!$K1064&amp;" ("&amp;ABS(I1064-J1064)&amp;" throws better)"),"No Improvements")</f>
        <v>Wiltrud Derschmidt (80 -&gt; 72)</v>
      </c>
      <c r="M1064" s="65" t="s">
        <v>260</v>
      </c>
      <c r="N1064" s="65" t="s">
        <v>255</v>
      </c>
      <c r="O1064" s="65" t="e">
        <f t="shared" ca="1" si="66"/>
        <v>#VALUE!</v>
      </c>
    </row>
    <row r="1065" spans="1:15" s="65" customFormat="1" hidden="1" x14ac:dyDescent="0.25">
      <c r="A1065" s="288" t="str">
        <f>"Biggest Worsening Women Rating &gt; "&amp;Parameter!$B$33&amp;" Round 2"</f>
        <v>Biggest Worsening Women Rating &gt; 600 Round 2</v>
      </c>
      <c r="B1065" s="288"/>
      <c r="D1065" s="65">
        <f t="array" ref="D1065">SMALL(IF((Data!$DW$91:$DW$190="W")*(Data!$AM$91:$AM$190&gt;Parameter!$B$33),Data!$T$91:$T$190,0),1)</f>
        <v>-0.68421052631578982</v>
      </c>
      <c r="H1065" s="65">
        <f t="array" ref="H1065">SUM(IF((Data!$T$91:$T$190=D1065)*(Data!$DW$91:$DW$190="W")*(Data!$AM$91:$AM$190&gt;Parameter!$B$33),1))</f>
        <v>1</v>
      </c>
      <c r="I1065" s="65">
        <f t="array" ref="I1065">IF(H1065&gt;0,INDEX(Data!$S$91:$S$190,MATCH(D1065,(Data!$T$91:$T$190)*(Data!$DW$91:$DW$190="W")*(Data!$AM$91:$AM$190&gt;Parameter!$B$33),0)),"")</f>
        <v>65</v>
      </c>
      <c r="J1065" s="65">
        <f t="array" ref="J1065">IF(H1065&gt;0,INDEX(Data!$K$91:$K$190,MATCH(D1065,(Data!$T$91:$T$190)*(Data!$DW$91:$DW$190="W")*(Data!$AM$91:$AM$190&gt;Parameter!$B$33),0)),"")</f>
        <v>78</v>
      </c>
      <c r="K1065" s="65" t="str">
        <f t="array" ref="K1065">IF(H1065=1,INDEX(Data!$DT$91:$DT$190,MATCH(D1065,(Data!$T$91:$T$190)*(Data!$DW$91:$DW$190="W")*(Data!$AM$91:$AM$190&gt;Parameter!$B$33),0)),H1065&amp;" Players")</f>
        <v>Sonja Palmetshofer</v>
      </c>
      <c r="L1065" s="65" t="str">
        <f>IF(AND(H1065&gt;0,D1065&lt;&gt;0),IF(H1065=1,Specials!$K1065&amp;" ("&amp;Specials!$I1065&amp;" -&gt; "&amp;Specials!$J1065&amp;")",Specials!$K1065&amp;" ("&amp;ABS(I1065-J1065)&amp;" throws worse)"),"No Worsenings")</f>
        <v>Sonja Palmetshofer (65 -&gt; 78)</v>
      </c>
      <c r="M1065" s="65" t="s">
        <v>260</v>
      </c>
      <c r="N1065" s="65" t="s">
        <v>255</v>
      </c>
      <c r="O1065" s="65" t="e">
        <f t="shared" ca="1" si="66"/>
        <v>#VALUE!</v>
      </c>
    </row>
    <row r="1066" spans="1:15" s="78" customFormat="1" hidden="1" x14ac:dyDescent="0.25">
      <c r="A1066" s="290" t="s">
        <v>266</v>
      </c>
      <c r="B1066" s="291"/>
      <c r="D1066" s="78" t="e">
        <f>LARGE(Data!$V$91:$V$190,1)</f>
        <v>#DIV/0!</v>
      </c>
      <c r="H1066" s="78">
        <f>COUNTIF(Data!$V$91:$V$190,D1066)</f>
        <v>100</v>
      </c>
      <c r="I1066" s="78" t="e">
        <f>IF(H1066&gt;0,INDEX(Data!$U$91:$U$190,MATCH(D1066,Data!$V$91:$V$190,0)),"")</f>
        <v>#DIV/0!</v>
      </c>
      <c r="J1066" s="78" t="e">
        <f>IF(H1066&gt;0,INDEX(Data!$L$91:$L$190,MATCH(D1066,Data!$V$91:$V$190,0)),"")</f>
        <v>#DIV/0!</v>
      </c>
      <c r="K1066" s="78" t="str">
        <f>IF(H1066=1,INDEX(Data!$DT$91:$DT$190,MATCH(D1066,Data!$V$91:$V$190,0)),H1066&amp;" Players")</f>
        <v>100 Players</v>
      </c>
      <c r="L1066" s="78" t="e">
        <f>IF(AND(H1066&gt;0,D1066&lt;&gt;0),IF(H1066=1,Specials!$K1066&amp;" ("&amp;Specials!$I1066&amp;" -&gt; "&amp;Specials!$J1066&amp;")",Specials!$K1066&amp;" ("&amp;ABS(I1066-J1066)&amp;" throws better)"),"No Improvements")</f>
        <v>#DIV/0!</v>
      </c>
      <c r="M1066" s="78" t="s">
        <v>260</v>
      </c>
      <c r="N1066" s="78" t="s">
        <v>255</v>
      </c>
      <c r="O1066" s="78" t="e">
        <f t="shared" ca="1" si="66"/>
        <v>#VALUE!</v>
      </c>
    </row>
    <row r="1067" spans="1:15" s="78" customFormat="1" hidden="1" x14ac:dyDescent="0.25">
      <c r="A1067" s="291" t="s">
        <v>267</v>
      </c>
      <c r="B1067" s="291"/>
      <c r="D1067" s="78" t="e">
        <f>SMALL(Data!$V$91:$V$190,1)</f>
        <v>#DIV/0!</v>
      </c>
      <c r="H1067" s="78">
        <f>COUNTIF(Data!$V$91:$V$190,D1067)</f>
        <v>100</v>
      </c>
      <c r="I1067" s="78" t="e">
        <f>IF(H1067&gt;0,INDEX(Data!$U$91:$U$190,MATCH(D1067,Data!$V$91:$V$190,0)),"")</f>
        <v>#DIV/0!</v>
      </c>
      <c r="J1067" s="78" t="e">
        <f>IF(H1067&gt;0,INDEX(Data!$L$91:$L$190,MATCH(D1067,Data!$V$91:$V$190,0)),"")</f>
        <v>#DIV/0!</v>
      </c>
      <c r="K1067" s="78" t="str">
        <f>IF(H1067=1,INDEX(Data!$DT$91:$DT$190,MATCH(D1067,Data!$V$91:$V$190,0)),H1067&amp;" Players")</f>
        <v>100 Players</v>
      </c>
      <c r="L1067" s="78" t="e">
        <f>IF(AND(H1067&gt;0,D1067&lt;&gt;0),IF(H1067=1,Specials!$K1067&amp;" ("&amp;Specials!$I1067&amp;" -&gt; "&amp;Specials!$J1067&amp;")",Specials!$K1067&amp;" ("&amp;ABS(I1067-J1067)&amp;" throws worse)"),"No Worsenings")</f>
        <v>#DIV/0!</v>
      </c>
      <c r="M1067" s="78" t="s">
        <v>260</v>
      </c>
      <c r="N1067" s="78" t="s">
        <v>255</v>
      </c>
      <c r="O1067" s="78" t="e">
        <f t="shared" ca="1" si="66"/>
        <v>#VALUE!</v>
      </c>
    </row>
    <row r="1068" spans="1:15" s="78" customFormat="1" hidden="1" x14ac:dyDescent="0.25">
      <c r="A1068" s="291" t="s">
        <v>268</v>
      </c>
      <c r="B1068" s="291"/>
      <c r="D1068" s="78" t="e">
        <f t="array" ref="D1068">LARGE(IF(Data!$DW$91:$DW$190="M",Data!$V$91:$V$190,0),1)</f>
        <v>#DIV/0!</v>
      </c>
      <c r="H1068" s="78" t="e">
        <f t="array" ref="H1068">SUM(IF((Data!$V$91:$V$190=D1068)*(Data!$DW$91:$DW$190="M"),1))</f>
        <v>#DIV/0!</v>
      </c>
      <c r="I1068" s="78" t="e">
        <f t="array" ref="I1068">IF(H1068&gt;0,INDEX(Data!$U$91:$U$190,MATCH(D1068,(Data!$V$91:$V$190)*(Data!$DW$91:$DW$190="M"),0)),"")</f>
        <v>#DIV/0!</v>
      </c>
      <c r="J1068" s="78" t="e">
        <f t="array" ref="J1068">IF(H1068&gt;0,INDEX(Data!$L$91:$L$190,MATCH(D1068,(Data!$V$91:$V$190)*(Data!$DW$91:$DW$190="M"),0)),"")</f>
        <v>#DIV/0!</v>
      </c>
      <c r="K1068" s="78" t="e">
        <f t="array" ref="K1068">IF(H1068=1,INDEX(Data!$DT$91:$DT$190,MATCH(D1068,(Data!$V$91:$V$190)*(Data!$DW$91:$DW$190="M"),0)),H1068&amp;" Players")</f>
        <v>#DIV/0!</v>
      </c>
      <c r="L1068" s="78" t="e">
        <f>IF(AND(H1068&gt;0,D1068&lt;&gt;0),IF(H1068=1,Specials!$K1068&amp;" ("&amp;Specials!$I1068&amp;" -&gt; "&amp;Specials!$J1068&amp;")",Specials!$K1068&amp;" ("&amp;ABS(I1068-J1068)&amp;" throws better)"),"No Improvements")</f>
        <v>#DIV/0!</v>
      </c>
      <c r="M1068" s="78" t="s">
        <v>260</v>
      </c>
      <c r="N1068" s="78" t="s">
        <v>255</v>
      </c>
      <c r="O1068" s="78" t="e">
        <f t="shared" ca="1" si="66"/>
        <v>#VALUE!</v>
      </c>
    </row>
    <row r="1069" spans="1:15" s="78" customFormat="1" hidden="1" x14ac:dyDescent="0.25">
      <c r="A1069" s="291" t="s">
        <v>269</v>
      </c>
      <c r="B1069" s="291"/>
      <c r="D1069" s="78" t="e">
        <f t="array" ref="D1069">SMALL(IF(Data!$DW$91:$DW$190="M",Data!$V$91:$V$190,0),1)</f>
        <v>#DIV/0!</v>
      </c>
      <c r="H1069" s="78" t="e">
        <f t="array" ref="H1069">SUM(IF((Data!$V$91:$V$190=D1069)*(Data!$DW$91:$DW$190="M"),1))</f>
        <v>#DIV/0!</v>
      </c>
      <c r="I1069" s="78" t="e">
        <f t="array" ref="I1069">IF(H1069&gt;0,INDEX(Data!$U$91:$U$190,MATCH(D1069,(Data!$V$91:$V$190)*(Data!$DW$91:$DW$190="M"),0)),"")</f>
        <v>#DIV/0!</v>
      </c>
      <c r="J1069" s="78" t="e">
        <f t="array" ref="J1069">IF(H1069&gt;0,INDEX(Data!$L$91:$L$190,MATCH(D1069,(Data!$V$91:$V$190)*(Data!$DW$91:$DW$190="M"),0)),"")</f>
        <v>#DIV/0!</v>
      </c>
      <c r="K1069" s="78" t="e">
        <f t="array" ref="K1069">IF(H1069=1,INDEX(Data!$DT$91:$DT$190,MATCH(D1069,(Data!$V$91:$V$190)*(Data!$DW$91:$DW$190="M"),0)),H1069&amp;" Players")</f>
        <v>#DIV/0!</v>
      </c>
      <c r="L1069" s="78" t="e">
        <f>IF(AND(H1069&gt;0,D1069&lt;&gt;0),IF(H1069=1,Specials!$K1069&amp;" ("&amp;Specials!$I1069&amp;" -&gt; "&amp;Specials!$J1069&amp;")",Specials!$K1069&amp;" ("&amp;ABS(I1069-J1069)&amp;" throws worse)"),"No Worsenings")</f>
        <v>#DIV/0!</v>
      </c>
      <c r="M1069" s="78" t="s">
        <v>260</v>
      </c>
      <c r="N1069" s="78" t="s">
        <v>255</v>
      </c>
      <c r="O1069" s="78" t="e">
        <f t="shared" ca="1" si="66"/>
        <v>#VALUE!</v>
      </c>
    </row>
    <row r="1070" spans="1:15" s="78" customFormat="1" hidden="1" x14ac:dyDescent="0.25">
      <c r="A1070" s="291" t="s">
        <v>270</v>
      </c>
      <c r="B1070" s="291"/>
      <c r="D1070" s="78" t="e">
        <f t="array" ref="D1070">LARGE(IF(Data!$DW$91:$DW$190="W",Data!$V$91:$V$190,0),1)</f>
        <v>#DIV/0!</v>
      </c>
      <c r="H1070" s="78" t="e">
        <f t="array" ref="H1070">SUM(IF((Data!$V$91:$V$190=D1070)*(Data!$DW$91:$DW$190="W"),1))</f>
        <v>#DIV/0!</v>
      </c>
      <c r="I1070" s="78" t="e">
        <f t="array" ref="I1070">IF(H1070&gt;0,INDEX(Data!$U$91:$U$190,MATCH(D1070,(Data!$V$91:$V$190)*(Data!$DW$91:$DW$190="W"),0)),"")</f>
        <v>#DIV/0!</v>
      </c>
      <c r="J1070" s="78" t="e">
        <f t="array" ref="J1070">IF(H1070&gt;0,INDEX(Data!$L$91:$L$190,MATCH(D1070,(Data!$V$91:$V$190)*(Data!$DW$91:$DW$190="W"),0)),"")</f>
        <v>#DIV/0!</v>
      </c>
      <c r="K1070" s="78" t="e">
        <f t="array" ref="K1070">IF(H1070=1,INDEX(Data!$DT$91:$DT$190,MATCH(D1070,(Data!$V$91:$V$190)*(Data!$DW$91:$DW$190="W"),0)),H1070&amp;" Players")</f>
        <v>#DIV/0!</v>
      </c>
      <c r="L1070" s="78" t="e">
        <f>IF(AND(H1070&gt;0,D1070&lt;&gt;0),IF(H1070=1,Specials!$K1070&amp;" ("&amp;Specials!$I1070&amp;" -&gt; "&amp;Specials!$J1070&amp;")",Specials!$K1070&amp;" ("&amp;ABS(I1070-J1070)&amp;" throws better)"),"No Improvements")</f>
        <v>#DIV/0!</v>
      </c>
      <c r="M1070" s="78" t="s">
        <v>260</v>
      </c>
      <c r="N1070" s="78" t="s">
        <v>255</v>
      </c>
      <c r="O1070" s="78" t="e">
        <f t="shared" ca="1" si="66"/>
        <v>#VALUE!</v>
      </c>
    </row>
    <row r="1071" spans="1:15" s="78" customFormat="1" hidden="1" x14ac:dyDescent="0.25">
      <c r="A1071" s="291" t="s">
        <v>271</v>
      </c>
      <c r="B1071" s="291"/>
      <c r="D1071" s="78" t="e">
        <f t="array" ref="D1071">SMALL(IF(Data!$DW$91:$DW$190="W",Data!$V$91:$V$190,0),1)</f>
        <v>#DIV/0!</v>
      </c>
      <c r="H1071" s="78" t="e">
        <f t="array" ref="H1071">SUM(IF((Data!$V$91:$V$190=D1071)*(Data!$DW$91:$DW$190="W"),1))</f>
        <v>#DIV/0!</v>
      </c>
      <c r="I1071" s="78" t="e">
        <f t="array" ref="I1071">IF(H1071&gt;0,INDEX(Data!$U$91:$U$190,MATCH(D1071,(Data!$V$91:$V$190)*(Data!$DW$91:$DW$190="W"),0)),"")</f>
        <v>#DIV/0!</v>
      </c>
      <c r="J1071" s="78" t="e">
        <f t="array" ref="J1071">IF(H1071&gt;0,INDEX(Data!$L$91:$L$190,MATCH(D1071,(Data!$V$91:$V$190)*(Data!$DW$91:$DW$190="W"),0)),"")</f>
        <v>#DIV/0!</v>
      </c>
      <c r="K1071" s="78" t="e">
        <f t="array" ref="K1071">IF(H1071=1,INDEX(Data!$DT$91:$DT$190,MATCH(D1071,(Data!$V$91:$V$190)*(Data!$DW$91:$DW$190="W"),0)),H1071&amp;" Players")</f>
        <v>#DIV/0!</v>
      </c>
      <c r="L1071" s="78" t="e">
        <f>IF(AND(H1071&gt;0,D1071&lt;&gt;0),IF(H1071=1,Specials!$K1071&amp;" ("&amp;Specials!$I1071&amp;" -&gt; "&amp;Specials!$J1071&amp;")",Specials!$K1071&amp;" ("&amp;ABS(I1071-J1071)&amp;" throws worse)"),"No Worsenings")</f>
        <v>#DIV/0!</v>
      </c>
      <c r="M1071" s="78" t="s">
        <v>260</v>
      </c>
      <c r="N1071" s="78" t="s">
        <v>255</v>
      </c>
      <c r="O1071" s="78" t="e">
        <f t="shared" ca="1" si="66"/>
        <v>#VALUE!</v>
      </c>
    </row>
    <row r="1072" spans="1:15" s="78" customFormat="1" hidden="1" x14ac:dyDescent="0.25">
      <c r="A1072" s="291" t="str">
        <f>"Biggest Improvement Men Rating &gt; "&amp;Parameter!$B$32&amp;" Round 3"</f>
        <v>Biggest Improvement Men Rating &gt; 850 Round 3</v>
      </c>
      <c r="B1072" s="291"/>
      <c r="D1072" s="78" t="e">
        <f t="array" ref="D1072">LARGE(IF((Data!$DW$91:$DW$190="M")*(Data!$AM$91:$AM$190&gt;Parameter!$B$32),Data!$V$91:$V$190,0),1)</f>
        <v>#DIV/0!</v>
      </c>
      <c r="H1072" s="78" t="e">
        <f t="array" ref="H1072">SUM(IF((Data!$V$91:$V$190=D1072)*(Data!$DW$91:$DW$190="M")*(Data!$AM$91:$AM$190&gt;Parameter!$B$32),1))</f>
        <v>#DIV/0!</v>
      </c>
      <c r="I1072" s="78" t="e">
        <f t="array" ref="I1072">IF(H1072&gt;0,INDEX(Data!$U$91:$U$190,MATCH(D1072,(Data!$V$91:$V$190)*(Data!$DW$91:$DW$190="M")*(Data!$AM$91:$AM$190&gt;Parameter!$B$32),0)),"")</f>
        <v>#DIV/0!</v>
      </c>
      <c r="J1072" s="78" t="e">
        <f t="array" ref="J1072">IF(H1072&gt;0,INDEX(Data!$L$91:$L$190,MATCH(D1072,(Data!$V$91:$V$190)*(Data!$DW$91:$DW$190="M")*(Data!$AM$91:$AM$190&gt;Parameter!$B$32),0)),"")</f>
        <v>#DIV/0!</v>
      </c>
      <c r="K1072" s="78" t="e">
        <f t="array" ref="K1072">IF(H1072=1,INDEX(Data!$DT$91:$DT$190,MATCH(D1072,(Data!$V$91:$V$190)*(Data!$DW$91:$DW$190="M")*(Data!$AM$91:$AM$190&gt;Parameter!$B$32),0)),H1072&amp;" Players")</f>
        <v>#DIV/0!</v>
      </c>
      <c r="L1072" s="78" t="e">
        <f>IF(AND(H1072&gt;0,D1072&lt;&gt;0),IF(H1072=1,Specials!$K1072&amp;" ("&amp;Specials!$I1072&amp;" -&gt; "&amp;Specials!$J1072&amp;")",Specials!$K1072&amp;" ("&amp;ABS(I1072-J1072)&amp;" throws better)"),"No Improvements")</f>
        <v>#DIV/0!</v>
      </c>
      <c r="M1072" s="78" t="s">
        <v>260</v>
      </c>
      <c r="N1072" s="78" t="s">
        <v>255</v>
      </c>
      <c r="O1072" s="78" t="e">
        <f t="shared" ca="1" si="66"/>
        <v>#VALUE!</v>
      </c>
    </row>
    <row r="1073" spans="1:15" s="78" customFormat="1" hidden="1" x14ac:dyDescent="0.25">
      <c r="A1073" s="291" t="str">
        <f>"Biggest Worsening Men Rating &gt; "&amp;Parameter!$B$32&amp;" Round 3"</f>
        <v>Biggest Worsening Men Rating &gt; 850 Round 3</v>
      </c>
      <c r="B1073" s="291"/>
      <c r="D1073" s="78" t="e">
        <f t="array" ref="D1073">SMALL(IF((Data!$DW$91:$DW$190="M")*(Data!$AM$91:$AM$190&gt;Parameter!$B$32),Data!$V$91:$V$190,0),1)</f>
        <v>#DIV/0!</v>
      </c>
      <c r="H1073" s="78" t="e">
        <f t="array" ref="H1073">SUM(IF((Data!$V$91:$V$190=D1073)*(Data!$DW$91:$DW$190="M")*(Data!$AM$91:$AM$190&gt;Parameter!$B$32),1))</f>
        <v>#DIV/0!</v>
      </c>
      <c r="I1073" s="78" t="e">
        <f t="array" ref="I1073">IF(H1073&gt;0,INDEX(Data!$U$91:$U$190,MATCH(D1073,(Data!$V$91:$V$190)*(Data!$DW$91:$DW$190="M")*(Data!$AM$91:$AM$190&gt;Parameter!$B$32),0)),"")</f>
        <v>#DIV/0!</v>
      </c>
      <c r="J1073" s="78" t="e">
        <f t="array" ref="J1073">IF(H1073&gt;0,INDEX(Data!$L$91:$L$190,MATCH(D1073,(Data!$V$91:$V$190)*(Data!$DW$91:$DW$190="M")*(Data!$AM$91:$AM$190&gt;Parameter!$B$32),0)),"")</f>
        <v>#DIV/0!</v>
      </c>
      <c r="K1073" s="78" t="e">
        <f t="array" ref="K1073">IF(H1073=1,INDEX(Data!$DT$91:$DT$190,MATCH(D1073,(Data!$V$91:$V$190)*(Data!$DW$91:$DW$190="M")*(Data!$AM$91:$AM$190&gt;Parameter!$B$32),0)),H1073&amp;" Players")</f>
        <v>#DIV/0!</v>
      </c>
      <c r="L1073" s="78" t="e">
        <f>IF(AND(H1073&gt;0,D1073&lt;&gt;0),IF(H1073=1,Specials!$K1073&amp;" ("&amp;Specials!$I1073&amp;" -&gt; "&amp;Specials!$J1073&amp;")",Specials!$K1073&amp;" ("&amp;ABS(I1073-J1073)&amp;" throws worse)"),"No Worsenings")</f>
        <v>#DIV/0!</v>
      </c>
      <c r="M1073" s="78" t="s">
        <v>260</v>
      </c>
      <c r="N1073" s="78" t="s">
        <v>255</v>
      </c>
      <c r="O1073" s="78" t="e">
        <f t="shared" ca="1" si="66"/>
        <v>#VALUE!</v>
      </c>
    </row>
    <row r="1074" spans="1:15" s="78" customFormat="1" hidden="1" x14ac:dyDescent="0.25">
      <c r="A1074" s="291" t="str">
        <f>"Biggest Improvement Women Rating &gt; "&amp;Parameter!$B$33&amp;" Round 3"</f>
        <v>Biggest Improvement Women Rating &gt; 600 Round 3</v>
      </c>
      <c r="B1074" s="291"/>
      <c r="D1074" s="78" t="e">
        <f t="array" ref="D1074">LARGE(IF((Data!$DW$91:$DW$190="W")*(Data!$AM$91:$AM$190&gt;Parameter!$B$33),Data!$V$91:$V$190,0),1)</f>
        <v>#DIV/0!</v>
      </c>
      <c r="H1074" s="78" t="e">
        <f t="array" ref="H1074">SUM(IF((Data!$V$91:$V$190=D1074)*(Data!$DW$91:$DW$190="W")*(Data!$AM$91:$AM$190&gt;Parameter!$B$33),1))</f>
        <v>#DIV/0!</v>
      </c>
      <c r="I1074" s="78" t="e">
        <f t="array" ref="I1074">IF(H1074&gt;0,INDEX(Data!$U$91:$U$190,MATCH(D1074,(Data!$V$91:$V$190)*(Data!$DW$91:$DW$190="W")*(Data!$AM$91:$AM$190&gt;Parameter!$B$33),0)),"")</f>
        <v>#DIV/0!</v>
      </c>
      <c r="J1074" s="78" t="e">
        <f t="array" ref="J1074">IF(H1074&gt;0,INDEX(Data!$L$91:$L$190,MATCH(D1074,(Data!$V$91:$V$190)*(Data!$DW$91:$DW$190="W")*(Data!$AM$91:$AM$190&gt;Parameter!$B$33),0)),"")</f>
        <v>#DIV/0!</v>
      </c>
      <c r="K1074" s="78" t="e">
        <f t="array" ref="K1074">IF(H1074=1,INDEX(Data!$DT$91:$DT$190,MATCH(D1074,(Data!$V$91:$V$190)*(Data!$DW$91:$DW$190="W")*(Data!$AM$91:$AM$190&gt;Parameter!$B$33),0)),H1074&amp;" Players")</f>
        <v>#DIV/0!</v>
      </c>
      <c r="L1074" s="78" t="e">
        <f>IF(AND(H1074&gt;0,D1074&lt;&gt;0),IF(H1074=1,Specials!$K1074&amp;" ("&amp;Specials!$I1074&amp;" -&gt; "&amp;Specials!$J1074&amp;")",Specials!$K1074&amp;" ("&amp;ABS(I1074-J1074)&amp;" throws better)"),"No Improvements")</f>
        <v>#DIV/0!</v>
      </c>
      <c r="M1074" s="78" t="s">
        <v>260</v>
      </c>
      <c r="N1074" s="78" t="s">
        <v>255</v>
      </c>
      <c r="O1074" s="78" t="e">
        <f t="shared" ca="1" si="66"/>
        <v>#VALUE!</v>
      </c>
    </row>
    <row r="1075" spans="1:15" s="78" customFormat="1" hidden="1" x14ac:dyDescent="0.25">
      <c r="A1075" s="291" t="str">
        <f>"Biggest Worsening Women Rating &gt; "&amp;Parameter!$B$33&amp;" Round 3"</f>
        <v>Biggest Worsening Women Rating &gt; 600 Round 3</v>
      </c>
      <c r="B1075" s="291"/>
      <c r="D1075" s="78" t="e">
        <f t="array" ref="D1075">SMALL(IF((Data!$DW$91:$DW$190="W")*(Data!$AM$91:$AM$190&gt;Parameter!$B$33),Data!$V$91:$V$190,0),1)</f>
        <v>#DIV/0!</v>
      </c>
      <c r="H1075" s="78" t="e">
        <f t="array" ref="H1075">SUM(IF((Data!$V$91:$V$190=D1075)*(Data!$DW$91:$DW$190="W")*(Data!$AM$91:$AM$190&gt;Parameter!$B$33),1))</f>
        <v>#DIV/0!</v>
      </c>
      <c r="I1075" s="78" t="e">
        <f t="array" ref="I1075">IF(H1075&gt;0,INDEX(Data!$U$91:$U$190,MATCH(D1075,(Data!$V$91:$V$190)*(Data!$DW$91:$DW$190="W")*(Data!$AM$91:$AM$190&gt;Parameter!$B$33),0)),"")</f>
        <v>#DIV/0!</v>
      </c>
      <c r="J1075" s="78" t="e">
        <f t="array" ref="J1075">IF(H1075&gt;0,INDEX(Data!$L$91:$L$190,MATCH(D1075,(Data!$V$91:$V$190)*(Data!$DW$91:$DW$190="W")*(Data!$AM$91:$AM$190&gt;Parameter!$B$33),0)),"")</f>
        <v>#DIV/0!</v>
      </c>
      <c r="K1075" s="78" t="e">
        <f t="array" ref="K1075">IF(H1075=1,INDEX(Data!$DT$91:$DT$190,MATCH(D1075,(Data!$V$91:$V$190)*(Data!$DW$91:$DW$190="W")*(Data!$AM$91:$AM$190&gt;Parameter!$B$33),0)),H1075&amp;" Players")</f>
        <v>#DIV/0!</v>
      </c>
      <c r="L1075" s="78" t="e">
        <f>IF(AND(H1075&gt;0,D1075&lt;&gt;0),IF(H1075=1,Specials!$K1075&amp;" ("&amp;Specials!$I1075&amp;" -&gt; "&amp;Specials!$J1075&amp;")",Specials!$K1075&amp;" ("&amp;ABS(I1075-J1075)&amp;" throws worse)"),"No Worsenings")</f>
        <v>#DIV/0!</v>
      </c>
      <c r="M1075" s="78" t="s">
        <v>260</v>
      </c>
      <c r="N1075" s="78" t="s">
        <v>255</v>
      </c>
      <c r="O1075" s="78" t="e">
        <f t="shared" ca="1" si="66"/>
        <v>#VALUE!</v>
      </c>
    </row>
    <row r="1076" spans="1:15" s="65" customFormat="1" hidden="1" x14ac:dyDescent="0.25">
      <c r="A1076" s="288" t="s">
        <v>272</v>
      </c>
      <c r="B1076" s="288"/>
      <c r="D1076" s="65" t="e">
        <f>LARGE(Data!$X$91:$X$190,1)</f>
        <v>#DIV/0!</v>
      </c>
      <c r="H1076" s="65">
        <f>COUNTIF(Data!$X$91:$X$190,D1076)</f>
        <v>100</v>
      </c>
      <c r="I1076" s="65" t="e">
        <f>IF(H1076&gt;0,INDEX(Data!$W$91:$W$190,MATCH(D1076,Data!$X$91:$X$190,0)),"")</f>
        <v>#DIV/0!</v>
      </c>
      <c r="J1076" s="65" t="e">
        <f>IF(H1076&gt;0,INDEX(Data!$M$91:$M$190,MATCH(D1076,Data!$X$91:$X$190,0)),"")</f>
        <v>#DIV/0!</v>
      </c>
      <c r="K1076" s="65" t="str">
        <f>IF(H1076=1,INDEX(Data!$DT$91:$DT$190,MATCH(D1076,Data!$X$91:$X$190,0)),H1076&amp;" Players")</f>
        <v>100 Players</v>
      </c>
      <c r="L1076" s="65" t="e">
        <f>IF(AND(H1076&gt;0,D1076&lt;&gt;0),IF(H1076=1,Specials!$K1076&amp;" ("&amp;Specials!$I1076&amp;" -&gt; "&amp;Specials!$J1076&amp;")",Specials!$K1076&amp;" ("&amp;ABS(I1076-J1076)&amp;" throws better)"),"No Improvements")</f>
        <v>#DIV/0!</v>
      </c>
      <c r="M1076" s="65" t="s">
        <v>260</v>
      </c>
      <c r="N1076" s="65" t="s">
        <v>255</v>
      </c>
      <c r="O1076" s="65" t="e">
        <f t="shared" ca="1" si="66"/>
        <v>#VALUE!</v>
      </c>
    </row>
    <row r="1077" spans="1:15" s="65" customFormat="1" hidden="1" x14ac:dyDescent="0.25">
      <c r="A1077" s="288" t="s">
        <v>273</v>
      </c>
      <c r="B1077" s="288"/>
      <c r="D1077" s="65" t="e">
        <f>SMALL(Data!$X$91:$X$190,1)</f>
        <v>#DIV/0!</v>
      </c>
      <c r="H1077" s="65">
        <f>COUNTIF(Data!$X$91:$X$190,D1077)</f>
        <v>100</v>
      </c>
      <c r="I1077" s="65" t="e">
        <f>IF(H1077&gt;0,INDEX(Data!$W$91:$W$190,MATCH(D1077,Data!$X$91:$X$190,0)),"")</f>
        <v>#DIV/0!</v>
      </c>
      <c r="J1077" s="65" t="e">
        <f>IF(H1077&gt;0,INDEX(Data!$M$91:$M$190,MATCH(D1077,Data!$X$91:$X$190,0)),"")</f>
        <v>#DIV/0!</v>
      </c>
      <c r="K1077" s="65" t="str">
        <f>IF(H1077=1,INDEX(Data!$DT$91:$DT$190,MATCH(D1077,Data!$X$91:$X$190,0)),H1077&amp;" Players")</f>
        <v>100 Players</v>
      </c>
      <c r="L1077" s="65" t="e">
        <f>IF(AND(H1077&gt;0,D1077&lt;&gt;0),IF(H1077=1,Specials!$K1077&amp;" ("&amp;Specials!$I1077&amp;" -&gt; "&amp;Specials!$J1077&amp;")",Specials!$K1077&amp;" ("&amp;ABS(I1077-J1077)&amp;" throws worse)"),"No Worsenings")</f>
        <v>#DIV/0!</v>
      </c>
      <c r="M1077" s="65" t="s">
        <v>260</v>
      </c>
      <c r="N1077" s="65" t="s">
        <v>255</v>
      </c>
      <c r="O1077" s="65" t="e">
        <f t="shared" ca="1" si="66"/>
        <v>#VALUE!</v>
      </c>
    </row>
    <row r="1078" spans="1:15" s="65" customFormat="1" hidden="1" x14ac:dyDescent="0.25">
      <c r="A1078" s="288" t="s">
        <v>274</v>
      </c>
      <c r="B1078" s="288"/>
      <c r="D1078" s="65" t="e">
        <f t="array" ref="D1078">LARGE(IF(Data!$DW$91:$DW$190="M",Data!$X$91:$X$190,0),1)</f>
        <v>#DIV/0!</v>
      </c>
      <c r="H1078" s="65" t="e">
        <f t="array" ref="H1078">SUM(IF((Data!$X$91:$X$190=D1078)*(Data!$DW$91:$DW$190="M"),1))</f>
        <v>#DIV/0!</v>
      </c>
      <c r="I1078" s="65" t="e">
        <f t="array" ref="I1078">IF(H1078&gt;0,INDEX(Data!$W$91:$W$190,MATCH(D1078,(Data!$X$91:$X$190)*(Data!$DW$91:$DW$190="M"),0)),"")</f>
        <v>#DIV/0!</v>
      </c>
      <c r="J1078" s="65" t="e">
        <f t="array" ref="J1078">IF(H1078&gt;0,INDEX(Data!$M$91:$M$190,MATCH(D1078,(Data!$X$91:$X$190)*(Data!$DW$91:$DW$190="M"),0)),"")</f>
        <v>#DIV/0!</v>
      </c>
      <c r="K1078" s="65" t="e">
        <f t="array" ref="K1078">IF(H1078=1,INDEX(Data!$DT$91:$DT$190,MATCH(D1078,(Data!$X$91:$X$190)*(Data!$DW$91:$DW$190="M"),0)),H1078&amp;" Players")</f>
        <v>#DIV/0!</v>
      </c>
      <c r="L1078" s="65" t="e">
        <f>IF(AND(H1078&gt;0,D1078&lt;&gt;0),IF(H1078=1,Specials!$K1078&amp;" ("&amp;Specials!$I1078&amp;" -&gt; "&amp;Specials!$J1078&amp;")",Specials!$K1078&amp;" ("&amp;ABS(I1078-J1078)&amp;" throws better)"),"No Improvements")</f>
        <v>#DIV/0!</v>
      </c>
      <c r="M1078" s="65" t="s">
        <v>260</v>
      </c>
      <c r="N1078" s="65" t="s">
        <v>255</v>
      </c>
      <c r="O1078" s="65" t="e">
        <f t="shared" ca="1" si="66"/>
        <v>#VALUE!</v>
      </c>
    </row>
    <row r="1079" spans="1:15" s="65" customFormat="1" hidden="1" x14ac:dyDescent="0.25">
      <c r="A1079" s="288" t="s">
        <v>275</v>
      </c>
      <c r="B1079" s="288"/>
      <c r="D1079" s="65" t="e">
        <f t="array" ref="D1079">SMALL(IF(Data!$DW$91:$DW$190="M",Data!$X$91:$X$190,0),1)</f>
        <v>#DIV/0!</v>
      </c>
      <c r="H1079" s="65" t="e">
        <f t="array" ref="H1079">SUM(IF((Data!$X$91:$X$190=D1079)*(Data!$DW$91:$DW$190="M"),1))</f>
        <v>#DIV/0!</v>
      </c>
      <c r="I1079" s="65" t="e">
        <f t="array" ref="I1079">IF(H1079&gt;0,INDEX(Data!$W$91:$W$190,MATCH(D1079,(Data!$X$91:$X$190)*(Data!$DW$91:$DW$190="M"),0)),"")</f>
        <v>#DIV/0!</v>
      </c>
      <c r="J1079" s="65" t="e">
        <f t="array" ref="J1079">IF(H1079&gt;0,INDEX(Data!$M$91:$M$190,MATCH(D1079,(Data!$X$91:$X$190)*(Data!$DW$91:$DW$190="M"),0)),"")</f>
        <v>#DIV/0!</v>
      </c>
      <c r="K1079" s="65" t="e">
        <f t="array" ref="K1079">IF(H1079=1,INDEX(Data!$DT$91:$DT$190,MATCH(D1079,(Data!$X$91:$X$190)*(Data!$DW$91:$DW$190="M"),0)),H1079&amp;" Players")</f>
        <v>#DIV/0!</v>
      </c>
      <c r="L1079" s="65" t="e">
        <f>IF(AND(H1079&gt;0,D1079&lt;&gt;0),IF(H1079=1,Specials!$K1079&amp;" ("&amp;Specials!$I1079&amp;" -&gt; "&amp;Specials!$J1079&amp;")",Specials!$K1079&amp;" ("&amp;ABS(I1079-J1079)&amp;" throws worse)"),"No Worsenings")</f>
        <v>#DIV/0!</v>
      </c>
      <c r="M1079" s="65" t="s">
        <v>260</v>
      </c>
      <c r="N1079" s="65" t="s">
        <v>255</v>
      </c>
      <c r="O1079" s="65" t="e">
        <f t="shared" ca="1" si="66"/>
        <v>#VALUE!</v>
      </c>
    </row>
    <row r="1080" spans="1:15" s="65" customFormat="1" hidden="1" x14ac:dyDescent="0.25">
      <c r="A1080" s="288" t="s">
        <v>276</v>
      </c>
      <c r="B1080" s="288"/>
      <c r="D1080" s="65" t="e">
        <f t="array" ref="D1080">LARGE(IF(Data!$DW$91:$DW$190="W",Data!$X$91:$X$190,0),1)</f>
        <v>#DIV/0!</v>
      </c>
      <c r="H1080" s="65" t="e">
        <f t="array" ref="H1080">SUM(IF((Data!$X$91:$X$190=D1080)*(Data!$DW$91:$DW$190="W"),1))</f>
        <v>#DIV/0!</v>
      </c>
      <c r="I1080" s="65" t="e">
        <f t="array" ref="I1080">IF(H1080&gt;0,INDEX(Data!$W$91:$W$190,MATCH(D1080,(Data!$X$91:$X$190)*(Data!$DW$91:$DW$190="W"),0)),"")</f>
        <v>#DIV/0!</v>
      </c>
      <c r="J1080" s="65" t="e">
        <f t="array" ref="J1080">IF(H1080&gt;0,INDEX(Data!$M$91:$M$190,MATCH(D1080,(Data!$X$91:$X$190)*(Data!$DW$91:$DW$190="W"),0)),"")</f>
        <v>#DIV/0!</v>
      </c>
      <c r="K1080" s="65" t="e">
        <f t="array" ref="K1080">IF(H1080=1,INDEX(Data!$DT$91:$DT$190,MATCH(D1080,(Data!$X$91:$X$190)*(Data!$DW$91:$DW$190="W"),0)),H1080&amp;" Players")</f>
        <v>#DIV/0!</v>
      </c>
      <c r="L1080" s="65" t="e">
        <f>IF(AND(H1080&gt;0,D1080&lt;&gt;0),IF(H1080=1,Specials!$K1080&amp;" ("&amp;Specials!$I1080&amp;" -&gt; "&amp;Specials!$J1080&amp;")",Specials!$K1080&amp;" ("&amp;ABS(I1080-J1080)&amp;" throws better)"),"No Improvements")</f>
        <v>#DIV/0!</v>
      </c>
      <c r="M1080" s="65" t="s">
        <v>260</v>
      </c>
      <c r="N1080" s="65" t="s">
        <v>255</v>
      </c>
      <c r="O1080" s="65" t="e">
        <f t="shared" ca="1" si="66"/>
        <v>#VALUE!</v>
      </c>
    </row>
    <row r="1081" spans="1:15" s="65" customFormat="1" hidden="1" x14ac:dyDescent="0.25">
      <c r="A1081" s="288" t="s">
        <v>277</v>
      </c>
      <c r="B1081" s="288"/>
      <c r="D1081" s="65" t="e">
        <f t="array" ref="D1081">SMALL(IF(Data!$DW$91:$DW$190="W",Data!$X$91:$X$190,0),1)</f>
        <v>#DIV/0!</v>
      </c>
      <c r="H1081" s="65" t="e">
        <f t="array" ref="H1081">SUM(IF((Data!$X$91:$X$190=D1081)*(Data!$DW$91:$DW$190="W"),1))</f>
        <v>#DIV/0!</v>
      </c>
      <c r="I1081" s="65" t="e">
        <f t="array" ref="I1081">IF(H1081&gt;0,INDEX(Data!$W$91:$W$190,MATCH(D1081,(Data!$X$91:$X$190)*(Data!$DW$91:$DW$190="W"),0)),"")</f>
        <v>#DIV/0!</v>
      </c>
      <c r="J1081" s="65" t="e">
        <f t="array" ref="J1081">IF(H1081&gt;0,INDEX(Data!$M$91:$M$190,MATCH(D1081,(Data!$X$91:$X$190)*(Data!$DW$91:$DW$190="W"),0)),"")</f>
        <v>#DIV/0!</v>
      </c>
      <c r="K1081" s="65" t="e">
        <f t="array" ref="K1081">IF(H1081=1,INDEX(Data!$DT$91:$DT$190,MATCH(D1081,(Data!$X$91:$X$190)*(Data!$DW$91:$DW$190="W"),0)),H1081&amp;" Players")</f>
        <v>#DIV/0!</v>
      </c>
      <c r="L1081" s="65" t="e">
        <f>IF(AND(H1081&gt;0,D1081&lt;&gt;0),IF(H1081=1,Specials!$K1081&amp;" ("&amp;Specials!$I1081&amp;" -&gt; "&amp;Specials!$J1081&amp;")",Specials!$K1081&amp;" ("&amp;ABS(I1081-J1081)&amp;" throws worse)"),"No Worsenings")</f>
        <v>#DIV/0!</v>
      </c>
      <c r="M1081" s="65" t="s">
        <v>260</v>
      </c>
      <c r="N1081" s="65" t="s">
        <v>255</v>
      </c>
      <c r="O1081" s="65" t="e">
        <f t="shared" ca="1" si="66"/>
        <v>#VALUE!</v>
      </c>
    </row>
    <row r="1082" spans="1:15" s="65" customFormat="1" hidden="1" x14ac:dyDescent="0.25">
      <c r="A1082" s="288" t="str">
        <f>"Biggest Improvement Men Rating &gt; "&amp;Parameter!$B$32&amp;" Final"</f>
        <v>Biggest Improvement Men Rating &gt; 850 Final</v>
      </c>
      <c r="B1082" s="288"/>
      <c r="D1082" s="65" t="e">
        <f t="array" ref="D1082">LARGE(IF((Data!$DW$91:$DW$190="M")*(Data!$AM$91:$AM$190&gt;Parameter!$B$32),Data!$X$91:$X$190,0),1)</f>
        <v>#DIV/0!</v>
      </c>
      <c r="H1082" s="65" t="e">
        <f t="array" ref="H1082">SUM(IF((Data!$X$91:$X$190=D1082)*(Data!$DW$91:$DW$190="M")*(Data!$AM$91:$AM$190&gt;Parameter!$B$32),1))</f>
        <v>#DIV/0!</v>
      </c>
      <c r="I1082" s="65" t="e">
        <f t="array" ref="I1082">IF(H1082&gt;0,INDEX(Data!$W$91:$W$190,MATCH(D1082,(Data!$X$91:$X$190)*(Data!$DW$91:$DW$190="M")*(Data!$AM$91:$AM$190&gt;Parameter!$B$32),0)),"")</f>
        <v>#DIV/0!</v>
      </c>
      <c r="J1082" s="65" t="e">
        <f t="array" ref="J1082">IF(H1082&gt;0,INDEX(Data!$M$91:$M$190,MATCH(D1082,(Data!$X$91:$X$190)*(Data!$DW$91:$DW$190="M")*(Data!$AM$91:$AM$190&gt;Parameter!$B$32),0)),"")</f>
        <v>#DIV/0!</v>
      </c>
      <c r="K1082" s="65" t="e">
        <f t="array" ref="K1082">IF(H1082=1,INDEX(Data!$DT$91:$DT$190,MATCH(D1082,(Data!$X$91:$X$190)*(Data!$DW$91:$DW$190="M")*(Data!$AM$91:$AM$190&gt;Parameter!$B$32),0)),H1082&amp;" Players")</f>
        <v>#DIV/0!</v>
      </c>
      <c r="L1082" s="65" t="e">
        <f>IF(AND(H1082&gt;0,D1082&lt;&gt;0),IF(H1082=1,Specials!$K1082&amp;" ("&amp;Specials!$I1082&amp;" -&gt; "&amp;Specials!$J1082&amp;")",Specials!$K1082&amp;" ("&amp;ABS(I1082-J1082)&amp;" throws better)"),"No Improvements")</f>
        <v>#DIV/0!</v>
      </c>
      <c r="M1082" s="65" t="s">
        <v>260</v>
      </c>
      <c r="N1082" s="65" t="s">
        <v>255</v>
      </c>
      <c r="O1082" s="65" t="e">
        <f t="shared" ca="1" si="66"/>
        <v>#VALUE!</v>
      </c>
    </row>
    <row r="1083" spans="1:15" s="65" customFormat="1" hidden="1" x14ac:dyDescent="0.25">
      <c r="A1083" s="288" t="str">
        <f>"Biggest Worsening Men Rating &gt; "&amp;Parameter!$B$32&amp;" Final"</f>
        <v>Biggest Worsening Men Rating &gt; 850 Final</v>
      </c>
      <c r="B1083" s="288"/>
      <c r="D1083" s="65" t="e">
        <f t="array" ref="D1083">SMALL(IF((Data!$DW$91:$DW$190="M")*(Data!$AM$91:$AM$190&gt;Parameter!$B$32),Data!$X$91:$X$190,0),1)</f>
        <v>#DIV/0!</v>
      </c>
      <c r="H1083" s="65" t="e">
        <f t="array" ref="H1083">SUM(IF((Data!$X$91:$X$190=D1083)*(Data!$DW$91:$DW$190="M")*(Data!$AM$91:$AM$190&gt;Parameter!$B$32),1))</f>
        <v>#DIV/0!</v>
      </c>
      <c r="I1083" s="65" t="e">
        <f t="array" ref="I1083">IF(H1083&gt;0,INDEX(Data!$W$91:$W$190,MATCH(D1083,(Data!$X$91:$X$190)*(Data!$DW$91:$DW$190="M")*(Data!$AM$91:$AM$190&gt;Parameter!$B$32),0)),"")</f>
        <v>#DIV/0!</v>
      </c>
      <c r="J1083" s="65" t="e">
        <f t="array" ref="J1083">IF(H1083&gt;0,INDEX(Data!$M$91:$M$190,MATCH(D1083,(Data!$X$91:$X$190)*(Data!$DW$91:$DW$190="M")*(Data!$AM$91:$AM$190&gt;Parameter!$B$32),0)),"")</f>
        <v>#DIV/0!</v>
      </c>
      <c r="K1083" s="65" t="e">
        <f t="array" ref="K1083">IF(H1083=1,INDEX(Data!$DT$91:$DT$190,MATCH(D1083,(Data!$X$91:$X$190)*(Data!$DW$91:$DW$190="M")*(Data!$AM$91:$AM$190&gt;Parameter!$B$32),0)),H1083&amp;" Players")</f>
        <v>#DIV/0!</v>
      </c>
      <c r="L1083" s="65" t="e">
        <f>IF(AND(H1083&gt;0,D1083&lt;&gt;0),IF(H1083=1,Specials!$K1083&amp;" ("&amp;Specials!$I1083&amp;" -&gt; "&amp;Specials!$J1083&amp;")",Specials!$K1083&amp;" ("&amp;ABS(I1083-J1083)&amp;" throws worse)"),"No Worsenings")</f>
        <v>#DIV/0!</v>
      </c>
      <c r="M1083" s="65" t="s">
        <v>260</v>
      </c>
      <c r="N1083" s="65" t="s">
        <v>255</v>
      </c>
      <c r="O1083" s="65" t="e">
        <f t="shared" ca="1" si="66"/>
        <v>#VALUE!</v>
      </c>
    </row>
    <row r="1084" spans="1:15" s="65" customFormat="1" hidden="1" x14ac:dyDescent="0.25">
      <c r="A1084" s="288" t="str">
        <f>"Biggest Improvement Women Rating &gt; "&amp;Parameter!$B$33&amp;" Final"</f>
        <v>Biggest Improvement Women Rating &gt; 600 Final</v>
      </c>
      <c r="B1084" s="288"/>
      <c r="D1084" s="65" t="e">
        <f t="array" ref="D1084">LARGE(IF((Data!$DW$91:$DW$190="W")*(Data!$AM$91:$AM$190&gt;Parameter!$B$33),Data!$X$91:$X$190,0),1)</f>
        <v>#DIV/0!</v>
      </c>
      <c r="H1084" s="65" t="e">
        <f t="array" ref="H1084">SUM(IF((Data!$X$91:$X$190=D1084)*(Data!$DW$91:$DW$190="W")*(Data!$AM$91:$AM$190&gt;Parameter!$B$33),1))</f>
        <v>#DIV/0!</v>
      </c>
      <c r="I1084" s="65" t="e">
        <f t="array" ref="I1084">IF(H1084&gt;0,INDEX(Data!$W$91:$W$190,MATCH(D1084,(Data!$X$91:$X$190)*(Data!$DW$91:$DW$190="W")*(Data!$AM$91:$AM$190&gt;Parameter!$B$33),0)),"")</f>
        <v>#DIV/0!</v>
      </c>
      <c r="J1084" s="65" t="e">
        <f t="array" ref="J1084">IF(H1084&gt;0,INDEX(Data!$M$91:$M$190,MATCH(D1084,(Data!$X$91:$X$190)*(Data!$DW$91:$DW$190="W")*(Data!$AM$91:$AM$190&gt;Parameter!$B$33),0)),"")</f>
        <v>#DIV/0!</v>
      </c>
      <c r="K1084" s="65" t="e">
        <f t="array" ref="K1084">IF(H1084=1,INDEX(Data!$DT$91:$DT$190,MATCH(D1084,(Data!$X$91:$X$190)*(Data!$DW$91:$DW$190="W")*(Data!$AM$91:$AM$190&gt;Parameter!$B$33),0)),H1084&amp;" Players")</f>
        <v>#DIV/0!</v>
      </c>
      <c r="L1084" s="65" t="e">
        <f>IF(AND(H1084&gt;0,D1084&lt;&gt;0),IF(H1084=1,Specials!$K1084&amp;" ("&amp;Specials!$I1084&amp;" -&gt; "&amp;Specials!$J1084&amp;")",Specials!$K1084&amp;" ("&amp;ABS(I1084-J1084)&amp;" throws better)"),"No Improvements")</f>
        <v>#DIV/0!</v>
      </c>
      <c r="M1084" s="65" t="s">
        <v>260</v>
      </c>
      <c r="N1084" s="65" t="s">
        <v>255</v>
      </c>
      <c r="O1084" s="65" t="e">
        <f t="shared" ca="1" si="66"/>
        <v>#VALUE!</v>
      </c>
    </row>
    <row r="1085" spans="1:15" s="65" customFormat="1" hidden="1" x14ac:dyDescent="0.25">
      <c r="A1085" s="288" t="str">
        <f>"Biggest Worsening Women Rating &gt; "&amp;Parameter!$B$33&amp;" Final"</f>
        <v>Biggest Worsening Women Rating &gt; 600 Final</v>
      </c>
      <c r="B1085" s="288"/>
      <c r="D1085" s="65" t="e">
        <f t="array" ref="D1085">SMALL(IF((Data!$DW$91:$DW$190="W")*(Data!$AM$91:$AM$190&gt;Parameter!$B$33),Data!$X$91:$X$190,0),1)</f>
        <v>#DIV/0!</v>
      </c>
      <c r="H1085" s="65" t="e">
        <f t="array" ref="H1085">SUM(IF((Data!$X$91:$X$190=D1085)*(Data!$DW$91:$DW$190="W")*(Data!$AM$91:$AM$190&gt;Parameter!$B$33),1))</f>
        <v>#DIV/0!</v>
      </c>
      <c r="I1085" s="65" t="e">
        <f t="array" ref="I1085">IF(H1085&gt;0,INDEX(Data!$W$91:$W$190,MATCH(D1085,(Data!$X$91:$X$190)*(Data!$DW$91:$DW$190="W")*(Data!$AM$91:$AM$190&gt;Parameter!$B$33),0)),"")</f>
        <v>#DIV/0!</v>
      </c>
      <c r="J1085" s="65" t="e">
        <f t="array" ref="J1085">IF(H1085&gt;0,INDEX(Data!$M$91:$M$190,MATCH(D1085,(Data!$X$91:$X$190)*(Data!$DW$91:$DW$190="W")*(Data!$AM$91:$AM$190&gt;Parameter!$B$33),0)),"")</f>
        <v>#DIV/0!</v>
      </c>
      <c r="K1085" s="65" t="e">
        <f t="array" ref="K1085">IF(H1085=1,INDEX(Data!$DT$91:$DT$190,MATCH(D1085,(Data!$X$91:$X$190)*(Data!$DW$91:$DW$190="W")*(Data!$AM$91:$AM$190&gt;Parameter!$B$33),0)),H1085&amp;" Players")</f>
        <v>#DIV/0!</v>
      </c>
      <c r="L1085" s="65" t="e">
        <f>IF(AND(H1085&gt;0,D1085&lt;&gt;0),IF(H1085=1,Specials!$K1085&amp;" ("&amp;Specials!$I1085&amp;" -&gt; "&amp;Specials!$J1085&amp;")",Specials!$K1085&amp;" ("&amp;ABS(I1085-J1085)&amp;" throws worse)"),"No Worsenings")</f>
        <v>#DIV/0!</v>
      </c>
      <c r="M1085" s="65" t="s">
        <v>260</v>
      </c>
      <c r="N1085" s="65" t="s">
        <v>255</v>
      </c>
      <c r="O1085" s="65" t="e">
        <f t="shared" ca="1" si="66"/>
        <v>#VALUE!</v>
      </c>
    </row>
    <row r="1086" spans="1:15" s="78" customFormat="1" hidden="1" x14ac:dyDescent="0.25">
      <c r="A1086" s="291" t="s">
        <v>278</v>
      </c>
      <c r="B1086" s="291"/>
      <c r="D1086" s="78">
        <f t="array" ref="D1086">IF(Parameter!$B$1&gt;0,SMALL(IF(Data!$J$91:$J$190&lt;999,Data!$J$91:$J$190),1),"")</f>
        <v>54</v>
      </c>
      <c r="F1086" s="78">
        <f>IF(Parameter!$B$1&gt;0,Specials!D1086,999)</f>
        <v>54</v>
      </c>
      <c r="H1086" s="78">
        <f>COUNTIF(Data!$J$91:$J$190,D1086)</f>
        <v>1</v>
      </c>
      <c r="K1086" s="78" t="str">
        <f>IF($H1086=1,INDEX(Data!$DT$91:$DT$190,MATCH($D1086,Data!$J$91:$J$190,0)),$H1086&amp;" Players")</f>
        <v>Dani Hatvani</v>
      </c>
      <c r="L1086" s="78" t="str">
        <f>K1086&amp;" ("&amp;D1086&amp;")"</f>
        <v>Dani Hatvani (54)</v>
      </c>
      <c r="M1086" s="78" t="s">
        <v>260</v>
      </c>
      <c r="N1086" s="78" t="s">
        <v>255</v>
      </c>
      <c r="O1086" s="78" t="e">
        <f t="shared" ca="1" si="66"/>
        <v>#VALUE!</v>
      </c>
    </row>
    <row r="1087" spans="1:15" s="78" customFormat="1" hidden="1" x14ac:dyDescent="0.25">
      <c r="A1087" s="291" t="s">
        <v>279</v>
      </c>
      <c r="B1087" s="291"/>
      <c r="D1087" s="78">
        <f t="array" ref="D1087">IF(Parameter!$B$2&gt;0,SMALL(IF(Data!$K$91:$K$190&lt;999,Data!$K$91:$K$190),1),"")</f>
        <v>56</v>
      </c>
      <c r="F1087" s="78">
        <f>IF(AND(Parameter!$B$2&gt;0,Parameter!$B$2=Parameter!$B$1),Specials!D1087,999)</f>
        <v>56</v>
      </c>
      <c r="H1087" s="78">
        <f>COUNTIF(Data!$K$91:$K$190,D1087)</f>
        <v>1</v>
      </c>
      <c r="K1087" s="78" t="str">
        <f>IF($H1087=1,INDEX(Data!$DT$91:$DT$190,MATCH($D1087,Data!$K$91:$K$190,0)),$H1087&amp;" Players")</f>
        <v>Dinko Šimenc</v>
      </c>
      <c r="L1087" s="78" t="str">
        <f>K1087&amp;" ("&amp;D1087&amp;")"</f>
        <v>Dinko Šimenc (56)</v>
      </c>
      <c r="M1087" s="78" t="s">
        <v>260</v>
      </c>
      <c r="N1087" s="78" t="s">
        <v>255</v>
      </c>
      <c r="O1087" s="78" t="e">
        <f t="shared" ca="1" si="66"/>
        <v>#VALUE!</v>
      </c>
    </row>
    <row r="1088" spans="1:15" s="78" customFormat="1" hidden="1" x14ac:dyDescent="0.25">
      <c r="A1088" s="291" t="s">
        <v>280</v>
      </c>
      <c r="B1088" s="291"/>
      <c r="D1088" s="78" t="str">
        <f t="array" ref="D1088">IF(Parameter!$B$3&gt;0,SMALL(IF(Data!$L$91:$L$190&lt;999,Data!$L$91:$L$190),1),"")</f>
        <v/>
      </c>
      <c r="F1088" s="78">
        <f>IF(AND(Parameter!$B$3&gt;0,Parameter!$B$3=Parameter!$B$2),Specials!D1088,999)</f>
        <v>999</v>
      </c>
      <c r="H1088" s="78">
        <f>COUNTIF(Data!$L$91:$L$190,D1088)</f>
        <v>0</v>
      </c>
      <c r="K1088" s="78" t="str">
        <f>IF($H1088=1,INDEX(Data!$DT$91:$DT$190,MATCH($D1088,Data!$L$91:$L$190,0)),$H1088&amp;" Players")</f>
        <v>0 Players</v>
      </c>
      <c r="L1088" s="78" t="str">
        <f>K1088&amp;" ("&amp;D1088&amp;")"</f>
        <v>0 Players ()</v>
      </c>
      <c r="M1088" s="78" t="s">
        <v>260</v>
      </c>
      <c r="N1088" s="78" t="s">
        <v>255</v>
      </c>
      <c r="O1088" s="78" t="e">
        <f t="shared" ca="1" si="66"/>
        <v>#VALUE!</v>
      </c>
    </row>
    <row r="1089" spans="1:15" s="78" customFormat="1" hidden="1" x14ac:dyDescent="0.25">
      <c r="A1089" s="291" t="s">
        <v>281</v>
      </c>
      <c r="B1089" s="291"/>
      <c r="D1089" s="78" t="str">
        <f t="array" ref="D1089">IF(Parameter!$B$4&gt;0,SMALL(IF(Data!$M$91:$M$190&lt;999,Data!$M$91:$M$190),1),"")</f>
        <v/>
      </c>
      <c r="F1089" s="78">
        <f>IF(AND(Parameter!$B$4&gt;0,Parameter!$B$4=Parameter!$B$3),Specials!D1089,999)</f>
        <v>999</v>
      </c>
      <c r="H1089" s="78">
        <f>COUNTIF(Data!$M$91:$M$190,D1089)</f>
        <v>0</v>
      </c>
      <c r="K1089" s="78" t="str">
        <f>IF($H1089=1,INDEX(Data!$DT$91:$DT$190,MATCH($D1089,Data!$M$91:$M$190,0)),$H1089&amp;" Players")</f>
        <v>0 Players</v>
      </c>
      <c r="L1089" s="78" t="str">
        <f>K1089&amp;" ("&amp;D1089&amp;")"</f>
        <v>0 Players ()</v>
      </c>
      <c r="M1089" s="78" t="s">
        <v>260</v>
      </c>
      <c r="N1089" s="78" t="s">
        <v>255</v>
      </c>
      <c r="O1089" s="78" t="e">
        <f t="shared" ca="1" si="66"/>
        <v>#VALUE!</v>
      </c>
    </row>
    <row r="1090" spans="1:15" s="65" customFormat="1" hidden="1" x14ac:dyDescent="0.25">
      <c r="A1090" s="288" t="s">
        <v>290</v>
      </c>
      <c r="B1090" s="288"/>
      <c r="D1090" s="65">
        <f t="array" ref="D1090">IF(Parameter!B1&gt;0,LARGE(IF(Data!$J$91:$J$190&lt;999,Data!$J$91:$J$190),1),"")</f>
        <v>94</v>
      </c>
      <c r="H1090" s="65">
        <f>COUNTIF(Data!$J$91:$J$190,D1090)</f>
        <v>1</v>
      </c>
      <c r="L1090" s="65" t="str">
        <f>IF($H1090=1,INDEX(Data!$DT$91:$DT$190,MATCH($D1090,Data!$J$91:$J$190,0))&amp;" ("&amp;D1090&amp;")",$H1090&amp;" Players ("&amp;D1090&amp;")")</f>
        <v>Aliz Török (94)</v>
      </c>
      <c r="M1090" s="65" t="s">
        <v>260</v>
      </c>
      <c r="N1090" s="65" t="s">
        <v>255</v>
      </c>
      <c r="O1090" s="65" t="e">
        <f t="shared" ca="1" si="66"/>
        <v>#VALUE!</v>
      </c>
    </row>
    <row r="1091" spans="1:15" s="65" customFormat="1" hidden="1" x14ac:dyDescent="0.25">
      <c r="A1091" s="288" t="s">
        <v>291</v>
      </c>
      <c r="B1091" s="288"/>
      <c r="D1091" s="65">
        <f t="array" ref="D1091">IF(Parameter!B2&gt;0,LARGE(IF(Data!$K$91:$K$190&lt;999,Data!$K$91:$K$190),1),"")</f>
        <v>107</v>
      </c>
      <c r="H1091" s="65">
        <f>COUNTIF(Data!$K$91:$K$190,D1091)</f>
        <v>1</v>
      </c>
      <c r="L1091" s="65" t="str">
        <f>IF($H1091=1,INDEX(Data!$DT$91:$DT$190,MATCH($D1091,Data!$K$91:$K$190,0))&amp;" ("&amp;D1091&amp;")",$H1091&amp;" Players ("&amp;D1091&amp;")")</f>
        <v>Aliz Török (107)</v>
      </c>
      <c r="M1091" s="65" t="s">
        <v>260</v>
      </c>
      <c r="N1091" s="65" t="s">
        <v>255</v>
      </c>
      <c r="O1091" s="65" t="e">
        <f t="shared" ca="1" si="66"/>
        <v>#VALUE!</v>
      </c>
    </row>
    <row r="1092" spans="1:15" s="65" customFormat="1" hidden="1" x14ac:dyDescent="0.25">
      <c r="A1092" s="288" t="s">
        <v>292</v>
      </c>
      <c r="B1092" s="288"/>
      <c r="D1092" s="65" t="str">
        <f t="array" ref="D1092">IF(Parameter!B3&gt;0,LARGE(IF(Data!$L$91:$L$190&lt;999,Data!$L$91:$L$190),1),"")</f>
        <v/>
      </c>
      <c r="H1092" s="65">
        <f>COUNTIF(Data!$L$91:$L$190,D1092)</f>
        <v>0</v>
      </c>
      <c r="L1092" s="65" t="str">
        <f>IF($H1092=1,INDEX(Data!$DT$91:$DT$190,MATCH($D1092,Data!$L$91:$L$190,0))&amp;" ("&amp;D1092&amp;")",$H1092&amp;" Players ("&amp;D1092&amp;")")</f>
        <v>0 Players ()</v>
      </c>
      <c r="M1092" s="65" t="s">
        <v>260</v>
      </c>
      <c r="N1092" s="65" t="s">
        <v>255</v>
      </c>
      <c r="O1092" s="65" t="e">
        <f t="shared" ref="O1092:O1109" ca="1" si="69">IF(AND($P1092&lt;&gt;"",$N1092="yes"),O1091+1,O1091)</f>
        <v>#VALUE!</v>
      </c>
    </row>
    <row r="1093" spans="1:15" s="65" customFormat="1" hidden="1" x14ac:dyDescent="0.25">
      <c r="A1093" s="288" t="s">
        <v>293</v>
      </c>
      <c r="B1093" s="288"/>
      <c r="D1093" s="65" t="str">
        <f t="array" ref="D1093">IF(Parameter!B4&gt;0,LARGE(IF(Data!$M$91:$M$190&lt;999,Data!$M$91:$M$190),1),"")</f>
        <v/>
      </c>
      <c r="H1093" s="65">
        <f>COUNTIF(Data!$M$91:$M$190,D1093)</f>
        <v>0</v>
      </c>
      <c r="L1093" s="65" t="str">
        <f>IF($H1093=1,INDEX(Data!$DT$91:$DT$190,MATCH($D1093,Data!$M$91:$M$190,0))&amp;" ("&amp;D1093&amp;")",$H1093&amp;" Players ("&amp;D1093&amp;")")</f>
        <v>0 Players ()</v>
      </c>
      <c r="M1093" s="65" t="s">
        <v>260</v>
      </c>
      <c r="N1093" s="65" t="s">
        <v>255</v>
      </c>
      <c r="O1093" s="65" t="e">
        <f t="shared" ca="1" si="69"/>
        <v>#VALUE!</v>
      </c>
    </row>
    <row r="1094" spans="1:15" s="65" customFormat="1" hidden="1" x14ac:dyDescent="0.25">
      <c r="A1094" s="287" t="str">
        <f>"Worst Round 1 Men Rating &gt; "&amp;Parameter!$B$32</f>
        <v>Worst Round 1 Men Rating &gt; 850</v>
      </c>
      <c r="B1094" s="288"/>
      <c r="D1094" s="65">
        <f t="array" ref="D1094">IF(Parameter!$B$1&gt;0,LARGE(IF((Data!$J$91:$J$190&lt;999)*(Data!$DW$91:$DW$190="M")*(Data!$AM$91:$AM$190&gt;Parameter!$B$32),Data!$J$91:$J$190),1),"")</f>
        <v>67</v>
      </c>
      <c r="H1094" s="65">
        <f t="array" ref="H1094">SUM(IF((Data!$J$91:$J$190=D1094)*(Data!$DW$91:$DW$190="M")*(Data!$AM$91:$AM$190&gt;Parameter!$B$32),1))</f>
        <v>3</v>
      </c>
      <c r="L1094" s="65" t="str">
        <f t="array" ref="L1094">IF($H1094=1,INDEX(Data!$DT$91:$DT$190,MATCH($D1094,Data!$J$91:$J$190*(Data!$DW$91:$DW$190="M")*(Data!$AM$91:$AM$190&gt;Parameter!$B$32),0))&amp;" ("&amp;D1094&amp;")",$H1094&amp;" Players ("&amp;D1094&amp;")")</f>
        <v>3 Players (67)</v>
      </c>
      <c r="M1094" s="65" t="s">
        <v>260</v>
      </c>
      <c r="N1094" s="65" t="s">
        <v>255</v>
      </c>
      <c r="O1094" s="65" t="e">
        <f t="shared" ca="1" si="69"/>
        <v>#VALUE!</v>
      </c>
    </row>
    <row r="1095" spans="1:15" s="65" customFormat="1" hidden="1" x14ac:dyDescent="0.25">
      <c r="A1095" s="287" t="str">
        <f>"Worst Round 2 Men Rating &gt; "&amp;Parameter!$B$32</f>
        <v>Worst Round 2 Men Rating &gt; 850</v>
      </c>
      <c r="B1095" s="288"/>
      <c r="D1095" s="65">
        <f t="array" ref="D1095">IF(Parameter!$B$2&gt;0,LARGE(IF((Data!$K$91:$K$190&lt;999)*(Data!$K$91:$K$190&lt;999)*(Data!$DW$91:$DW$190="M")*(Data!$AM$91:$AM$190&gt;Parameter!$B$32),Data!$K$91:$K$190),1),"")</f>
        <v>69</v>
      </c>
      <c r="H1095" s="65">
        <f t="array" ref="H1095">SUM(IF((Data!$K$91:$K$190=D1095)*(Data!$DW$91:$DW$190="M")*(Data!$AM$91:$AM$190&gt;Parameter!$B$32),1))</f>
        <v>4</v>
      </c>
      <c r="L1095" s="65" t="str">
        <f t="array" ref="L1095">IF($H1095=1,INDEX(Data!$DT$91:$DT$190,MATCH($D1095,Data!$K$91:$K$190*(Data!$DW$91:$DW$190="M")*(Data!$AM$91:$AM$190&gt;Parameter!$B$32),0))&amp;" ("&amp;D1095&amp;")",$H1095&amp;" Players ("&amp;D1095&amp;")")</f>
        <v>4 Players (69)</v>
      </c>
      <c r="M1095" s="65" t="s">
        <v>260</v>
      </c>
      <c r="N1095" s="65" t="s">
        <v>255</v>
      </c>
      <c r="O1095" s="65" t="e">
        <f t="shared" ca="1" si="69"/>
        <v>#VALUE!</v>
      </c>
    </row>
    <row r="1096" spans="1:15" s="65" customFormat="1" hidden="1" x14ac:dyDescent="0.25">
      <c r="A1096" s="287" t="str">
        <f>"Worst Round 3 Men Rating &gt; "&amp;Parameter!$B$32</f>
        <v>Worst Round 3 Men Rating &gt; 850</v>
      </c>
      <c r="B1096" s="288"/>
      <c r="D1096" s="65" t="str">
        <f t="array" ref="D1096">IF(Parameter!$B$3&gt;0,LARGE(IF((Data!$L$91:$L$190&lt;999)*(Data!$L$91:$L$190&lt;999)*(Data!$DW$91:$DW$190="M")*(Data!$AM$91:$AM$190&gt;Parameter!$B$32),Data!$L$91:$L$190),1),"")</f>
        <v/>
      </c>
      <c r="H1096" s="65">
        <f t="array" ref="H1096">SUM(IF((Data!$L$91:$L$190=D1096)*(Data!$DW$91:$DW$190="M")*(Data!$AM$91:$AM$190&gt;Parameter!$B$32),1))</f>
        <v>0</v>
      </c>
      <c r="L1096" s="65" t="str">
        <f t="array" ref="L1096">IF($H1096=1,INDEX(Data!$DT$91:$DT$190,MATCH($D1096,Data!$L$91:$L$190*(Data!$DW$91:$DW$190="M")*(Data!$AM$91:$AM$190&gt;Parameter!$B$32),0))&amp;" ("&amp;D1096&amp;")",$H1096&amp;" Players ("&amp;D1096&amp;")")</f>
        <v>0 Players ()</v>
      </c>
      <c r="M1096" s="65" t="s">
        <v>260</v>
      </c>
      <c r="N1096" s="65" t="s">
        <v>255</v>
      </c>
      <c r="O1096" s="65" t="e">
        <f t="shared" ca="1" si="69"/>
        <v>#VALUE!</v>
      </c>
    </row>
    <row r="1097" spans="1:15" s="65" customFormat="1" hidden="1" x14ac:dyDescent="0.25">
      <c r="A1097" s="287" t="str">
        <f>"Worst Final Men Rating &gt; "&amp;Parameter!$B$32</f>
        <v>Worst Final Men Rating &gt; 850</v>
      </c>
      <c r="B1097" s="288"/>
      <c r="D1097" s="65" t="str">
        <f t="array" ref="D1097">IF(Parameter!$B$4&gt;0,LARGE(IF((Data!$M$91:$M$190&lt;999)*(Data!$DW$91:$DW$190="M")*(Data!$AM$91:$AM$190&gt;Parameter!$B$32),Data!$M$91:$M$190),1),"")</f>
        <v/>
      </c>
      <c r="H1097" s="65">
        <f t="array" ref="H1097">SUM(IF((Data!$M$91:$M$190=D1097)*(Data!$DW$91:$DW$190="M")*(Data!$AM$91:$AM$190&gt;Parameter!$B$32),1))</f>
        <v>0</v>
      </c>
      <c r="L1097" s="65" t="str">
        <f t="array" ref="L1097">IF($H1097=1,INDEX(Data!$DT$91:$DT$190,MATCH($D1097,Data!$M$91:$M$190*(Data!$DW$91:$DW$190="M")*(Data!$AM$91:$AM$190&gt;Parameter!$B$32),0))&amp;" ("&amp;D1097&amp;")",$H1097&amp;" Players ("&amp;D1097&amp;")")</f>
        <v>0 Players ()</v>
      </c>
      <c r="M1097" s="65" t="s">
        <v>260</v>
      </c>
      <c r="N1097" s="65" t="s">
        <v>255</v>
      </c>
      <c r="O1097" s="65" t="e">
        <f t="shared" ca="1" si="69"/>
        <v>#VALUE!</v>
      </c>
    </row>
    <row r="1098" spans="1:15" s="65" customFormat="1" hidden="1" x14ac:dyDescent="0.25">
      <c r="A1098" s="287" t="str">
        <f>"Worst Round 1 Women Rating &gt; "&amp;Parameter!$B$33</f>
        <v>Worst Round 1 Women Rating &gt; 600</v>
      </c>
      <c r="B1098" s="288"/>
      <c r="D1098" s="65">
        <f t="array" ref="D1098">IF(Parameter!$B$1&gt;0,LARGE(IF((Data!$J$91:$J$190&lt;999)*(Data!$J$91:$J$190&lt;999)*(Data!$DW$91:$DW$190="W")*(Data!$AM$91:$AM$190&gt;Parameter!$B$33),Data!$J$91:$J$190),1),"")</f>
        <v>80</v>
      </c>
      <c r="H1098" s="65">
        <f t="array" ref="H1098">SUM(IF((Data!$J$91:$J$190=D1098)*(Data!$DW$91:$DW$190="W")*(Data!$AM$91:$AM$190&gt;Parameter!$B$33),1))</f>
        <v>1</v>
      </c>
      <c r="L1098" s="65" t="str">
        <f t="array" ref="L1098">IF($H1098=1,INDEX(Data!$DT$91:$DT$190,MATCH($D1098,Data!$J$91:$J$190*(Data!$DW$91:$DW$190="W")*(Data!$AM$91:$AM$190&gt;Parameter!$B$33),0))&amp;" ("&amp;D1098&amp;")",$H1098&amp;" Players ("&amp;D1098&amp;")")</f>
        <v>Wiltrud Derschmidt (80)</v>
      </c>
      <c r="M1098" s="65" t="s">
        <v>260</v>
      </c>
      <c r="N1098" s="65" t="s">
        <v>255</v>
      </c>
      <c r="O1098" s="65" t="e">
        <f t="shared" ca="1" si="69"/>
        <v>#VALUE!</v>
      </c>
    </row>
    <row r="1099" spans="1:15" s="65" customFormat="1" hidden="1" x14ac:dyDescent="0.25">
      <c r="A1099" s="287" t="str">
        <f>"Worst Round 2 Women Rating &gt; "&amp;Parameter!$B$33</f>
        <v>Worst Round 2 Women Rating &gt; 600</v>
      </c>
      <c r="B1099" s="288"/>
      <c r="D1099" s="65">
        <f t="array" ref="D1099">IF(Parameter!$B$2&gt;0,LARGE(IF((Data!$K$91:$K$190&lt;999)*(Data!$K$91:$K$190&lt;999)*(Data!$DW$91:$DW$190="W")*(Data!$AM$91:$AM$190&gt;Parameter!$B$33),Data!$K$91:$K$190),1),"")</f>
        <v>79</v>
      </c>
      <c r="H1099" s="65">
        <f t="array" ref="H1099">SUM(IF((Data!$K$91:$K$190=D1099)*(Data!$DW$91:$DW$190="W")*(Data!$AM$91:$AM$190&gt;Parameter!$B$33),1))</f>
        <v>1</v>
      </c>
      <c r="L1099" s="65" t="str">
        <f t="array" ref="L1099">IF($H1099=1,INDEX(Data!$DT$91:$DT$190,MATCH($D1099,Data!$K$91:$K$190*(Data!$DW$91:$DW$190="W")*(Data!$AM$91:$AM$190&gt;Parameter!$B$33),0))&amp;" ("&amp;D1099&amp;")",$H1099&amp;" Players ("&amp;D1099&amp;")")</f>
        <v>Irmgard Derschmidt (79)</v>
      </c>
      <c r="M1099" s="65" t="s">
        <v>260</v>
      </c>
      <c r="N1099" s="65" t="s">
        <v>255</v>
      </c>
      <c r="O1099" s="65" t="e">
        <f t="shared" ca="1" si="69"/>
        <v>#VALUE!</v>
      </c>
    </row>
    <row r="1100" spans="1:15" s="65" customFormat="1" hidden="1" x14ac:dyDescent="0.25">
      <c r="A1100" s="287" t="str">
        <f>"Worst Round 3 Women Rating &gt; "&amp;Parameter!$B$33</f>
        <v>Worst Round 3 Women Rating &gt; 600</v>
      </c>
      <c r="B1100" s="288"/>
      <c r="D1100" s="65" t="str">
        <f t="array" ref="D1100">IF(Parameter!$B$4&gt;0,LARGE(IF((Data!$L$91:$L$190&lt;999)*(Data!$L$91:$L$190&lt;999)*(Data!$DW$91:$DW$190="W")*(Data!$AM$91:$AM$190&gt;Parameter!$B$33),Data!$L$91:$L$190),1),"")</f>
        <v/>
      </c>
      <c r="H1100" s="65">
        <f t="array" ref="H1100">SUM(IF((Data!$L$91:$L$190=D1100)*(Data!$DW$91:$DW$190="W")*(Data!$AM$91:$AM$190&gt;Parameter!$B$33),1))</f>
        <v>0</v>
      </c>
      <c r="L1100" s="65" t="str">
        <f t="array" ref="L1100">IF($H1100=1,INDEX(Data!$DT$91:$DT$190,MATCH($D1100,Data!$L$91:$L$190*(Data!$DW$91:$DW$190="W")*(Data!$AM$91:$AM$190&gt;Parameter!$B$33),0))&amp;" ("&amp;D1100&amp;")",$H1100&amp;" Players ("&amp;D1100&amp;")")</f>
        <v>0 Players ()</v>
      </c>
      <c r="M1100" s="65" t="s">
        <v>260</v>
      </c>
      <c r="N1100" s="65" t="s">
        <v>255</v>
      </c>
      <c r="O1100" s="65" t="e">
        <f t="shared" ca="1" si="69"/>
        <v>#VALUE!</v>
      </c>
    </row>
    <row r="1101" spans="1:15" s="65" customFormat="1" hidden="1" x14ac:dyDescent="0.25">
      <c r="A1101" s="287" t="str">
        <f>"Worst Final Women Rating &gt; "&amp;Parameter!$B$33</f>
        <v>Worst Final Women Rating &gt; 600</v>
      </c>
      <c r="B1101" s="288"/>
      <c r="D1101" s="65" t="str">
        <f t="array" ref="D1101">IF(Parameter!$B$4&gt;0,LARGE(IF((Data!$M$91:$M$190&lt;999)*(Data!$DW$91:$DW$190="W")*(Data!$AM$91:$AM$190&gt;Parameter!$B$33),Data!$M$91:$M$190),1),"")</f>
        <v/>
      </c>
      <c r="H1101" s="65">
        <f t="array" ref="H1101">SUM(IF((Data!$M$91:$M$190=D1101)*(Data!$DW$91:$DW$190="W")*(Data!$AM$91:$AM$190&gt;Parameter!$B$33),1))</f>
        <v>0</v>
      </c>
      <c r="L1101" s="65" t="str">
        <f t="array" ref="L1101">IF($H1101=1,INDEX(Data!$DT$91:$DT$190,MATCH($D1101,Data!$M$91:$M$190*(Data!$DW$91:$DW$190="W")*(Data!$AM$91:$AM$190&gt;Parameter!$B$33),0))&amp;" ("&amp;D1101&amp;")",$H1101&amp;" Players ("&amp;D1101&amp;")")</f>
        <v>0 Players ()</v>
      </c>
      <c r="M1101" s="65" t="s">
        <v>260</v>
      </c>
      <c r="N1101" s="65" t="s">
        <v>255</v>
      </c>
      <c r="O1101" s="65" t="e">
        <f t="shared" ca="1" si="69"/>
        <v>#VALUE!</v>
      </c>
    </row>
    <row r="1102" spans="1:15" s="78" customFormat="1" hidden="1" x14ac:dyDescent="0.25">
      <c r="A1102" s="290" t="s">
        <v>296</v>
      </c>
      <c r="B1102" s="291"/>
      <c r="D1102" s="78">
        <f>LARGE(Data!$Y$91:$Y$190,1)</f>
        <v>9</v>
      </c>
      <c r="H1102" s="78">
        <f t="array" ref="H1102">SUM((Data!$Y$91:$Y$190=Specials!D1102)*(Data!$AM$91:$AM$190&lt;&gt;0))</f>
        <v>2</v>
      </c>
      <c r="L1102" s="78" t="str">
        <f>IF($H1102=1,INDEX(Data!$DT$91:$DT$190,MATCH($D1102,Data!$Y$91:$Y$190,0))&amp;" ("&amp;D1102&amp;")",$H1102&amp;" Players ("&amp;D1102&amp;")")</f>
        <v>2 Players (9)</v>
      </c>
      <c r="M1102" s="78" t="s">
        <v>260</v>
      </c>
      <c r="N1102" s="78" t="s">
        <v>255</v>
      </c>
      <c r="O1102" s="78" t="e">
        <f t="shared" ca="1" si="69"/>
        <v>#VALUE!</v>
      </c>
    </row>
    <row r="1103" spans="1:15" s="78" customFormat="1" hidden="1" x14ac:dyDescent="0.25">
      <c r="A1103" s="290" t="s">
        <v>297</v>
      </c>
      <c r="B1103" s="291"/>
      <c r="D1103" s="78">
        <f t="array" ref="D1103">SMALL(IF(Data!$AM$91:$AM$190&lt;&gt;0,Data!$Z$91:$Z$190),1)</f>
        <v>1</v>
      </c>
      <c r="H1103" s="78">
        <f t="array" ref="H1103">SUM((Data!$Z$91:$Z$190=Specials!D1103)*(Data!$AM$91:$AM$190&lt;&gt;0))</f>
        <v>1</v>
      </c>
      <c r="L1103" s="78" t="str">
        <f>IF($H1103=1,INDEX(Data!$DT$91:$DT$190,MATCH($D1103,Data!$Z$91:$Z$190,0))&amp;" ("&amp;D1103&amp;")",$H1103&amp;" Players ("&amp;D1103&amp;")")</f>
        <v>Bernd Wender (1)</v>
      </c>
      <c r="M1103" s="78" t="s">
        <v>260</v>
      </c>
      <c r="N1103" s="78" t="s">
        <v>255</v>
      </c>
      <c r="O1103" s="78" t="e">
        <f t="shared" ca="1" si="69"/>
        <v>#VALUE!</v>
      </c>
    </row>
    <row r="1104" spans="1:15" s="78" customFormat="1" hidden="1" x14ac:dyDescent="0.25">
      <c r="A1104" s="290" t="s">
        <v>298</v>
      </c>
      <c r="B1104" s="291"/>
      <c r="D1104" s="78">
        <f>LARGE(Data!$AA$91:$AA$190,1)</f>
        <v>7</v>
      </c>
      <c r="H1104" s="78">
        <f t="array" ref="H1104">SUM((Data!$AA$91:$AA$190=Specials!D1104)*(Data!$AM$91:$AM$190&lt;&gt;0))</f>
        <v>1</v>
      </c>
      <c r="L1104" s="78" t="str">
        <f>IF($H1104=1,INDEX(Data!$DT$91:$DT$190,MATCH($D1104,Data!$AA$91:$AA$190,0))&amp;" ("&amp;D1104&amp;")",$H1104&amp;" Players ("&amp;D1104&amp;")")</f>
        <v>Bernd Kolmanz (7)</v>
      </c>
      <c r="M1104" s="78" t="s">
        <v>260</v>
      </c>
      <c r="N1104" s="78" t="s">
        <v>255</v>
      </c>
      <c r="O1104" s="78" t="e">
        <f t="shared" ca="1" si="69"/>
        <v>#VALUE!</v>
      </c>
    </row>
    <row r="1105" spans="1:15" s="78" customFormat="1" hidden="1" x14ac:dyDescent="0.25">
      <c r="A1105" s="290" t="s">
        <v>299</v>
      </c>
      <c r="B1105" s="291"/>
      <c r="D1105" s="78">
        <f>SMALL(Data!$AB$91:$AB$190,1)</f>
        <v>1</v>
      </c>
      <c r="H1105" s="78">
        <f t="array" ref="H1105">SUM((Data!$AB$91:$AB$190=Specials!D1105)*(Data!$AM$91:$AM$190&lt;&gt;0))</f>
        <v>2</v>
      </c>
      <c r="L1105" s="78" t="str">
        <f>IF($H1105=1,INDEX(Data!$DT$91:$DT$190,MATCH($D1105,Data!$AB$91:$AB$190,0))&amp;" ("&amp;D1105&amp;")",$H1105&amp;" Players ("&amp;D1105&amp;")")</f>
        <v>2 Players (1)</v>
      </c>
      <c r="M1105" s="78" t="s">
        <v>260</v>
      </c>
      <c r="N1105" s="78" t="s">
        <v>255</v>
      </c>
      <c r="O1105" s="78" t="e">
        <f t="shared" ca="1" si="69"/>
        <v>#VALUE!</v>
      </c>
    </row>
    <row r="1106" spans="1:15" s="78" customFormat="1" hidden="1" x14ac:dyDescent="0.25">
      <c r="A1106" s="290" t="s">
        <v>300</v>
      </c>
      <c r="B1106" s="291"/>
      <c r="D1106" s="78" t="e">
        <f>LARGE(Data!$AC91:$AC$190,1)</f>
        <v>#NUM!</v>
      </c>
      <c r="H1106" s="78" t="e">
        <f t="array" ref="H1106">SUM((Data!$AC$91:$AC$190=Specials!D1106)*(Data!$AM$91:$AM$190&lt;&gt;0))</f>
        <v>#NUM!</v>
      </c>
      <c r="L1106" s="78" t="e">
        <f>IF($H1106=1,INDEX(Data!$DT$91:$DT$190,MATCH($D1106,Data!$AC$91:$AC$190,0))&amp;" ("&amp;D1106&amp;")",$H1106&amp;" Players ("&amp;D1106&amp;")")</f>
        <v>#NUM!</v>
      </c>
      <c r="M1106" s="78" t="s">
        <v>260</v>
      </c>
      <c r="N1106" s="78" t="s">
        <v>255</v>
      </c>
      <c r="O1106" s="78" t="e">
        <f t="shared" ca="1" si="69"/>
        <v>#VALUE!</v>
      </c>
    </row>
    <row r="1107" spans="1:15" s="78" customFormat="1" hidden="1" x14ac:dyDescent="0.25">
      <c r="A1107" s="290" t="s">
        <v>301</v>
      </c>
      <c r="B1107" s="291"/>
      <c r="D1107" s="78" t="e">
        <f>SMALL(Data!$AD$91:$AD$190,1)</f>
        <v>#NUM!</v>
      </c>
      <c r="H1107" s="78" t="e">
        <f t="array" ref="H1107">SUM((Data!$AD$91:$AD$190=Specials!D1107)*(Data!$AM$91:$AM$190&lt;&gt;0))</f>
        <v>#NUM!</v>
      </c>
      <c r="L1107" s="78" t="e">
        <f>IF($H1107=1,INDEX(Data!$DT$91:$DT$190,MATCH($D1107,Data!$AD$91:$AD$190,0))&amp;" ("&amp;D1107&amp;")",$H1107&amp;" Players ("&amp;D1107&amp;")")</f>
        <v>#NUM!</v>
      </c>
      <c r="M1107" s="78" t="s">
        <v>260</v>
      </c>
      <c r="N1107" s="78" t="s">
        <v>255</v>
      </c>
      <c r="O1107" s="78" t="e">
        <f t="shared" ca="1" si="69"/>
        <v>#VALUE!</v>
      </c>
    </row>
    <row r="1108" spans="1:15" s="78" customFormat="1" hidden="1" x14ac:dyDescent="0.25">
      <c r="A1108" s="290" t="s">
        <v>302</v>
      </c>
      <c r="B1108" s="291"/>
      <c r="D1108" s="78" t="e">
        <f>LARGE(Data!$AE$91:$AE$190,1)</f>
        <v>#NUM!</v>
      </c>
      <c r="H1108" s="78" t="e">
        <f t="array" ref="H1108">SUM((Data!$AE$91:$AE$190=Specials!D1108)*(Data!$AM$91:$AM$190&lt;&gt;0))</f>
        <v>#NUM!</v>
      </c>
      <c r="L1108" s="78" t="e">
        <f>IF($H1108=1,INDEX(Data!$DT$91:$DT$190,MATCH($D1108,Data!$AE$91:$AE174,0))&amp;" ("&amp;D1108&amp;")",$H1108&amp;" Players ("&amp;D1108&amp;")")</f>
        <v>#NUM!</v>
      </c>
      <c r="M1108" s="78" t="s">
        <v>260</v>
      </c>
      <c r="N1108" s="78" t="s">
        <v>255</v>
      </c>
      <c r="O1108" s="78" t="e">
        <f t="shared" ca="1" si="69"/>
        <v>#VALUE!</v>
      </c>
    </row>
    <row r="1109" spans="1:15" s="78" customFormat="1" hidden="1" x14ac:dyDescent="0.25">
      <c r="A1109" s="290" t="s">
        <v>303</v>
      </c>
      <c r="B1109" s="291"/>
      <c r="D1109" s="78" t="e">
        <f>SMALL(Data!$AF$91:$AF$190,1)</f>
        <v>#NUM!</v>
      </c>
      <c r="H1109" s="78" t="e">
        <f t="array" ref="H1109">SUM((Data!$AF$91:$AF$190=Specials!D1109)*(Data!$AM$91:$AM$190&lt;&gt;0))</f>
        <v>#NUM!</v>
      </c>
      <c r="L1109" s="78" t="e">
        <f>IF($H1109=1,INDEX(Data!$DT$91:$DT$190,MATCH($D1109,Data!$AF$91:$AF$190,0))&amp;" ("&amp;D1109&amp;")",$H1109&amp;" Players ("&amp;D1109&amp;")")</f>
        <v>#NUM!</v>
      </c>
      <c r="M1109" s="78" t="s">
        <v>260</v>
      </c>
      <c r="N1109" s="78" t="s">
        <v>255</v>
      </c>
      <c r="O1109" s="78" t="e">
        <f t="shared" ca="1" si="69"/>
        <v>#VALUE!</v>
      </c>
    </row>
  </sheetData>
  <sheetProtection password="DF65" sheet="1" objects="1" scenarios="1"/>
  <autoFilter ref="A1:S1109">
    <filterColumn colId="13">
      <filters>
        <filter val="no"/>
      </filters>
    </filterColumn>
  </autoFilter>
  <conditionalFormatting sqref="O62 O117:O229 A1066:R1071 A118:N229 L1058:R1059 K1060:R1061 A63:R116 P118:R229 A841:O866 Q841:R866 A1086:R10446 B678:R785 A1058:H1061 A1029:R1057 A2:R61 A1076:R1081 A786:R840 A230:R677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I20" sqref="I20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29</v>
      </c>
      <c r="B1" s="65">
        <v>19</v>
      </c>
    </row>
    <row r="2" spans="1:28" s="65" customFormat="1" x14ac:dyDescent="0.25">
      <c r="A2" s="65" t="s">
        <v>30</v>
      </c>
      <c r="B2" s="65">
        <v>19</v>
      </c>
    </row>
    <row r="3" spans="1:28" s="65" customFormat="1" x14ac:dyDescent="0.25">
      <c r="A3" s="65" t="s">
        <v>31</v>
      </c>
      <c r="B3" s="65">
        <v>0</v>
      </c>
    </row>
    <row r="4" spans="1:28" s="65" customFormat="1" x14ac:dyDescent="0.25">
      <c r="A4" s="65" t="s">
        <v>32</v>
      </c>
      <c r="B4" s="65">
        <v>0</v>
      </c>
    </row>
    <row r="5" spans="1:28" s="65" customFormat="1" x14ac:dyDescent="0.25">
      <c r="A5" s="65" t="s">
        <v>52</v>
      </c>
      <c r="B5" s="65">
        <v>0</v>
      </c>
      <c r="C5" s="65" t="s">
        <v>165</v>
      </c>
      <c r="D5" s="65" t="s">
        <v>165</v>
      </c>
    </row>
    <row r="6" spans="1:28" s="65" customFormat="1" x14ac:dyDescent="0.25">
      <c r="A6" s="65" t="s">
        <v>54</v>
      </c>
      <c r="B6" s="65">
        <v>19</v>
      </c>
    </row>
    <row r="7" spans="1:28" s="65" customFormat="1" x14ac:dyDescent="0.25">
      <c r="A7" s="65" t="s">
        <v>76</v>
      </c>
      <c r="B7" s="65">
        <v>71</v>
      </c>
      <c r="C7" s="65">
        <v>62</v>
      </c>
      <c r="D7" s="65">
        <v>9</v>
      </c>
      <c r="E7" s="65">
        <v>61</v>
      </c>
      <c r="F7" s="65">
        <v>8</v>
      </c>
    </row>
    <row r="8" spans="1:28" s="65" customFormat="1" x14ac:dyDescent="0.25">
      <c r="A8" s="65" t="s">
        <v>36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434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 t="s">
        <v>695</v>
      </c>
      <c r="N9" s="2">
        <v>12</v>
      </c>
      <c r="O9" s="2">
        <v>13</v>
      </c>
      <c r="P9" s="2">
        <v>14</v>
      </c>
      <c r="Q9" s="2">
        <v>15</v>
      </c>
      <c r="R9" s="2">
        <v>16</v>
      </c>
      <c r="S9" s="2">
        <v>17</v>
      </c>
      <c r="T9" s="2">
        <v>18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23</v>
      </c>
      <c r="B10" s="2">
        <v>3</v>
      </c>
      <c r="C10" s="2">
        <v>3</v>
      </c>
      <c r="D10" s="2">
        <v>3</v>
      </c>
      <c r="E10" s="2">
        <v>3</v>
      </c>
      <c r="F10" s="2">
        <v>4</v>
      </c>
      <c r="G10" s="2">
        <v>3</v>
      </c>
      <c r="H10" s="2">
        <v>3</v>
      </c>
      <c r="I10" s="2">
        <v>3</v>
      </c>
      <c r="J10" s="2">
        <v>4</v>
      </c>
      <c r="K10" s="2">
        <v>4</v>
      </c>
      <c r="L10" s="2">
        <v>4</v>
      </c>
      <c r="M10" s="2">
        <v>3</v>
      </c>
      <c r="N10" s="2">
        <v>3</v>
      </c>
      <c r="O10" s="2">
        <v>3</v>
      </c>
      <c r="P10" s="2">
        <v>3</v>
      </c>
      <c r="Q10" s="2">
        <v>3</v>
      </c>
      <c r="R10" s="2">
        <v>3</v>
      </c>
      <c r="S10" s="2">
        <v>3</v>
      </c>
      <c r="T10" s="2">
        <v>3</v>
      </c>
      <c r="U10" s="2" t="s">
        <v>53</v>
      </c>
      <c r="V10" s="2" t="s">
        <v>53</v>
      </c>
      <c r="W10" s="2" t="s">
        <v>53</v>
      </c>
      <c r="X10" s="2" t="s">
        <v>53</v>
      </c>
      <c r="Y10" s="2" t="s">
        <v>53</v>
      </c>
      <c r="Z10" s="2" t="s">
        <v>53</v>
      </c>
      <c r="AA10" s="2" t="s">
        <v>53</v>
      </c>
      <c r="AB10" s="2" t="s">
        <v>53</v>
      </c>
    </row>
    <row r="11" spans="1:28" s="65" customFormat="1" x14ac:dyDescent="0.25">
      <c r="A11" s="65" t="s">
        <v>29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1</v>
      </c>
      <c r="S11" s="65">
        <v>1</v>
      </c>
      <c r="T11" s="65">
        <v>1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30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1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31</v>
      </c>
      <c r="B13" s="65">
        <v>0</v>
      </c>
      <c r="C13" s="65">
        <v>0</v>
      </c>
      <c r="D13" s="65">
        <v>0</v>
      </c>
      <c r="E13" s="65">
        <v>0</v>
      </c>
      <c r="F13" s="65">
        <v>0</v>
      </c>
      <c r="G13" s="65">
        <v>0</v>
      </c>
      <c r="H13" s="65">
        <v>0</v>
      </c>
      <c r="I13" s="65">
        <v>0</v>
      </c>
      <c r="J13" s="65">
        <v>0</v>
      </c>
      <c r="K13" s="65">
        <v>0</v>
      </c>
      <c r="L13" s="65">
        <v>0</v>
      </c>
      <c r="M13" s="65">
        <v>0</v>
      </c>
      <c r="N13" s="65">
        <v>0</v>
      </c>
      <c r="O13" s="65">
        <v>0</v>
      </c>
      <c r="P13" s="65">
        <v>0</v>
      </c>
      <c r="Q13" s="65"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32</v>
      </c>
      <c r="B14" s="65">
        <v>0</v>
      </c>
      <c r="C14" s="65">
        <v>0</v>
      </c>
      <c r="D14" s="65">
        <v>0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52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389</v>
      </c>
    </row>
    <row r="17" spans="1:28" s="2" customFormat="1" x14ac:dyDescent="0.25">
      <c r="A17" s="2" t="s">
        <v>397</v>
      </c>
    </row>
    <row r="18" spans="1:28" s="2" customFormat="1" x14ac:dyDescent="0.25">
      <c r="A18" s="2" t="s">
        <v>400</v>
      </c>
    </row>
    <row r="19" spans="1:28" s="2" customFormat="1" x14ac:dyDescent="0.25">
      <c r="A19" s="2" t="s">
        <v>390</v>
      </c>
    </row>
    <row r="20" spans="1:28" s="2" customFormat="1" x14ac:dyDescent="0.25">
      <c r="A20" s="2" t="s">
        <v>391</v>
      </c>
    </row>
    <row r="21" spans="1:28" s="2" customFormat="1" x14ac:dyDescent="0.25">
      <c r="A21" s="2" t="s">
        <v>392</v>
      </c>
    </row>
    <row r="22" spans="1:28" s="2" customFormat="1" x14ac:dyDescent="0.25">
      <c r="A22" s="2" t="s">
        <v>393</v>
      </c>
    </row>
    <row r="23" spans="1:28" s="2" customFormat="1" x14ac:dyDescent="0.25">
      <c r="A23" s="2" t="s">
        <v>399</v>
      </c>
    </row>
    <row r="24" spans="1:28" s="2" customFormat="1" x14ac:dyDescent="0.25">
      <c r="A24" s="2" t="s">
        <v>394</v>
      </c>
    </row>
    <row r="25" spans="1:28" s="2" customFormat="1" x14ac:dyDescent="0.25">
      <c r="A25" s="2" t="s">
        <v>395</v>
      </c>
    </row>
    <row r="26" spans="1:28" s="339" customFormat="1" x14ac:dyDescent="0.25">
      <c r="A26" s="339" t="s">
        <v>396</v>
      </c>
      <c r="B26" s="339">
        <v>57</v>
      </c>
      <c r="C26" s="339">
        <v>97</v>
      </c>
      <c r="D26" s="339">
        <v>93</v>
      </c>
      <c r="E26" s="339">
        <v>64</v>
      </c>
      <c r="F26" s="339">
        <v>58</v>
      </c>
      <c r="G26" s="339">
        <v>88</v>
      </c>
      <c r="H26" s="339">
        <v>65</v>
      </c>
      <c r="I26" s="339">
        <v>88</v>
      </c>
      <c r="J26" s="339">
        <v>40</v>
      </c>
      <c r="K26" s="339">
        <v>54</v>
      </c>
      <c r="L26" s="339">
        <v>94</v>
      </c>
      <c r="M26" s="339">
        <v>157</v>
      </c>
      <c r="N26" s="339">
        <v>48</v>
      </c>
      <c r="O26" s="339">
        <v>124</v>
      </c>
      <c r="Q26" s="339">
        <v>105</v>
      </c>
      <c r="R26" s="339">
        <v>56</v>
      </c>
      <c r="S26" s="339">
        <v>87</v>
      </c>
      <c r="T26" s="339">
        <v>68</v>
      </c>
      <c r="U26" s="339">
        <v>57</v>
      </c>
    </row>
    <row r="27" spans="1:28" s="2" customFormat="1" x14ac:dyDescent="0.25">
      <c r="A27" s="2" t="s">
        <v>398</v>
      </c>
    </row>
    <row r="28" spans="1:28" ht="15" customHeight="1" x14ac:dyDescent="0.25">
      <c r="A28" s="250" t="s">
        <v>127</v>
      </c>
      <c r="B28" s="512" t="s">
        <v>693</v>
      </c>
      <c r="C28" s="512"/>
      <c r="D28" s="512"/>
      <c r="E28" s="512"/>
      <c r="F28" s="512"/>
      <c r="G28" s="512"/>
      <c r="H28" s="512"/>
      <c r="I28" s="512"/>
      <c r="J28" s="512"/>
      <c r="K28" s="512"/>
      <c r="L28" s="512"/>
      <c r="M28" s="512"/>
      <c r="N28" s="512"/>
      <c r="O28" s="512"/>
      <c r="P28" s="512"/>
      <c r="Q28" s="512"/>
      <c r="R28" s="512"/>
      <c r="S28" s="512"/>
      <c r="T28" s="512"/>
      <c r="U28" s="512"/>
      <c r="V28" s="512"/>
      <c r="W28" s="512"/>
      <c r="X28" s="512"/>
      <c r="Y28" s="512"/>
      <c r="Z28" s="512"/>
      <c r="AA28" s="512"/>
      <c r="AB28" s="512"/>
    </row>
    <row r="29" spans="1:28" x14ac:dyDescent="0.25">
      <c r="B29" s="513" t="s">
        <v>694</v>
      </c>
      <c r="C29" s="513"/>
      <c r="D29" s="513"/>
      <c r="E29" s="513"/>
      <c r="F29" s="513"/>
      <c r="G29" s="513"/>
      <c r="H29" s="513"/>
      <c r="I29" s="513"/>
      <c r="J29" s="513"/>
      <c r="K29" s="513"/>
      <c r="L29" s="513"/>
      <c r="M29" s="513"/>
      <c r="N29" s="513"/>
      <c r="O29" s="513"/>
      <c r="P29" s="513"/>
      <c r="Q29" s="513"/>
      <c r="R29" s="513"/>
      <c r="S29" s="513"/>
      <c r="T29" s="513"/>
      <c r="U29" s="513"/>
      <c r="V29" s="513"/>
      <c r="W29" s="513"/>
      <c r="X29" s="513"/>
      <c r="Y29" s="513"/>
      <c r="Z29" s="513"/>
      <c r="AA29" s="513"/>
      <c r="AB29" s="513"/>
    </row>
    <row r="30" spans="1:28" x14ac:dyDescent="0.25">
      <c r="A30" s="2" t="s">
        <v>227</v>
      </c>
      <c r="B30" s="2">
        <v>116.8</v>
      </c>
      <c r="C30" s="2"/>
      <c r="D30" s="2"/>
      <c r="E30" s="2"/>
      <c r="F30" s="2"/>
      <c r="G30" s="2"/>
      <c r="H30" s="2"/>
    </row>
    <row r="31" spans="1:28" x14ac:dyDescent="0.25">
      <c r="A31" s="2" t="s">
        <v>228</v>
      </c>
      <c r="B31" s="2">
        <v>1003.6113333333333</v>
      </c>
    </row>
    <row r="32" spans="1:28" x14ac:dyDescent="0.25">
      <c r="A32" s="2" t="s">
        <v>315</v>
      </c>
      <c r="B32">
        <v>850</v>
      </c>
    </row>
    <row r="33" spans="1:2" x14ac:dyDescent="0.25">
      <c r="A33" s="2" t="s">
        <v>316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88</v>
      </c>
      <c r="C1" s="2" t="s">
        <v>87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24</v>
      </c>
      <c r="B2" s="2">
        <v>37</v>
      </c>
      <c r="C2" s="2">
        <v>38</v>
      </c>
      <c r="D2" s="2">
        <v>0</v>
      </c>
      <c r="E2" s="2">
        <v>4.2253521126760507E-2</v>
      </c>
      <c r="F2" s="2">
        <v>0.21126760563380298</v>
      </c>
      <c r="G2" s="2">
        <v>0.60563380281690149</v>
      </c>
      <c r="H2" s="2">
        <v>1.1408450704225355</v>
      </c>
      <c r="I2" s="2">
        <v>1.2253521126760565</v>
      </c>
      <c r="J2" s="2">
        <v>1.6338028169014085</v>
      </c>
      <c r="K2" s="2">
        <v>1.915492957746479</v>
      </c>
      <c r="L2" s="2">
        <v>2</v>
      </c>
      <c r="M2" s="2">
        <v>2.647887323943662</v>
      </c>
      <c r="N2" s="2">
        <v>3.154929577464789</v>
      </c>
      <c r="O2" s="2">
        <v>4.1690140845070429</v>
      </c>
      <c r="P2" s="2">
        <v>4.887323943661972</v>
      </c>
      <c r="Q2" s="2">
        <v>4.971830985915493</v>
      </c>
      <c r="R2" s="2">
        <v>5.3380281690140841</v>
      </c>
      <c r="S2" s="2">
        <v>5.8028169014084501</v>
      </c>
      <c r="T2" s="2">
        <v>5.6619718309859151</v>
      </c>
      <c r="U2" s="2">
        <v>5.9718309859154921</v>
      </c>
      <c r="V2" s="2">
        <v>6.1549295774647881</v>
      </c>
      <c r="W2" s="2">
        <v>6.6197183098591541</v>
      </c>
      <c r="X2" s="2">
        <v>7.176861167002011</v>
      </c>
      <c r="Y2" s="2">
        <v>7.4482897384305824</v>
      </c>
      <c r="Z2" s="2">
        <v>8.1340040241448683</v>
      </c>
      <c r="AA2" s="2">
        <v>8.5197183098591545</v>
      </c>
      <c r="AB2" s="2">
        <v>8.9197183098591548</v>
      </c>
      <c r="AC2" s="2">
        <v>9.5139212084098794</v>
      </c>
      <c r="AD2" s="2">
        <v>10.079138599714227</v>
      </c>
      <c r="AE2" s="2">
        <v>10.151602367830169</v>
      </c>
      <c r="AF2" s="2">
        <v>10.615370483772198</v>
      </c>
      <c r="AG2" s="2">
        <v>11.397979179424372</v>
      </c>
      <c r="AH2" s="2">
        <v>12.586384976525821</v>
      </c>
      <c r="AI2" s="2">
        <v>13.035660338844661</v>
      </c>
      <c r="AJ2" s="2">
        <v>13.368993672177995</v>
      </c>
      <c r="AK2" s="2">
        <v>13.687834251888139</v>
      </c>
      <c r="AL2" s="2">
        <v>14.180587875076546</v>
      </c>
      <c r="AM2" s="2">
        <v>14.22406613594611</v>
      </c>
      <c r="AN2" s="2">
        <v>14.644355991018575</v>
      </c>
      <c r="AO2" s="2">
        <v>15.472927419590004</v>
      </c>
      <c r="AP2" s="2">
        <v>16.258641705304289</v>
      </c>
      <c r="AQ2" s="2" t="e">
        <v>#N/A</v>
      </c>
      <c r="AR2" s="2" t="e">
        <v>#N/A</v>
      </c>
      <c r="AS2" s="2" t="e">
        <v>#N/A</v>
      </c>
      <c r="AT2" s="2" t="e">
        <v>#N/A</v>
      </c>
      <c r="AU2" s="2" t="e">
        <v>#N/A</v>
      </c>
      <c r="AV2" s="2" t="e">
        <v>#N/A</v>
      </c>
      <c r="AW2" s="2" t="e">
        <v>#N/A</v>
      </c>
      <c r="AX2" s="2" t="e">
        <v>#N/A</v>
      </c>
      <c r="AY2" s="2" t="e">
        <v>#N/A</v>
      </c>
      <c r="AZ2" s="2" t="e">
        <v>#N/A</v>
      </c>
      <c r="BA2" s="2" t="e">
        <v>#N/A</v>
      </c>
      <c r="BB2" s="2" t="e">
        <v>#N/A</v>
      </c>
      <c r="BC2" s="2" t="e">
        <v>#N/A</v>
      </c>
      <c r="BD2" s="2" t="e">
        <v>#N/A</v>
      </c>
      <c r="BE2" s="2" t="e">
        <v>#N/A</v>
      </c>
      <c r="BF2" s="2" t="e">
        <v>#N/A</v>
      </c>
      <c r="BG2" s="2" t="e">
        <v>#N/A</v>
      </c>
      <c r="BH2" s="2" t="e">
        <v>#N/A</v>
      </c>
      <c r="BI2" s="2" t="e">
        <v>#N/A</v>
      </c>
      <c r="BJ2" s="2" t="e">
        <v>#N/A</v>
      </c>
      <c r="BK2" s="2" t="e">
        <v>#N/A</v>
      </c>
      <c r="BL2" s="2" t="e">
        <v>#N/A</v>
      </c>
      <c r="BM2" s="2" t="e">
        <v>#N/A</v>
      </c>
      <c r="BN2" s="2" t="e">
        <v>#N/A</v>
      </c>
      <c r="BO2" s="2" t="e">
        <v>#N/A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86</v>
      </c>
      <c r="B3" s="2">
        <v>58</v>
      </c>
      <c r="C3" s="2">
        <v>38</v>
      </c>
      <c r="D3" s="2">
        <v>0</v>
      </c>
      <c r="E3" s="2">
        <v>0.44444444444444464</v>
      </c>
      <c r="F3" s="2">
        <v>1.1111111111111112</v>
      </c>
      <c r="G3" s="2">
        <v>2.3333333333333335</v>
      </c>
      <c r="H3" s="2">
        <v>3.3333333333333335</v>
      </c>
      <c r="I3" s="2">
        <v>4.2222222222222232</v>
      </c>
      <c r="J3" s="2">
        <v>5.1111111111111125</v>
      </c>
      <c r="K3" s="2">
        <v>5.5555555555555571</v>
      </c>
      <c r="L3" s="2">
        <v>6.0000000000000018</v>
      </c>
      <c r="M3" s="2">
        <v>6.8888888888888911</v>
      </c>
      <c r="N3" s="2">
        <v>7.8888888888888911</v>
      </c>
      <c r="O3" s="2">
        <v>9.5555555555555571</v>
      </c>
      <c r="P3" s="2">
        <v>10.777777777777779</v>
      </c>
      <c r="Q3" s="2">
        <v>11</v>
      </c>
      <c r="R3" s="2">
        <v>12.111111111111111</v>
      </c>
      <c r="S3" s="2">
        <v>12.888888888888889</v>
      </c>
      <c r="T3" s="2">
        <v>13.111111111111111</v>
      </c>
      <c r="U3" s="2">
        <v>13.777777777777777</v>
      </c>
      <c r="V3" s="2">
        <v>13.777777777777777</v>
      </c>
      <c r="W3" s="2">
        <v>14.555555555555554</v>
      </c>
      <c r="X3" s="2">
        <v>15.333333333333332</v>
      </c>
      <c r="Y3" s="2">
        <v>15.888888888888888</v>
      </c>
      <c r="Z3" s="2">
        <v>17.333333333333332</v>
      </c>
      <c r="AA3" s="2">
        <v>18.444444444444443</v>
      </c>
      <c r="AB3" s="2">
        <v>19.888888888888886</v>
      </c>
      <c r="AC3" s="2">
        <v>20.888888888888886</v>
      </c>
      <c r="AD3" s="2">
        <v>22.388888888888886</v>
      </c>
      <c r="AE3" s="2">
        <v>22.888888888888886</v>
      </c>
      <c r="AF3" s="2">
        <v>24.513888888888886</v>
      </c>
      <c r="AG3" s="2">
        <v>26.138888888888886</v>
      </c>
      <c r="AH3" s="2">
        <v>28.638888888888886</v>
      </c>
      <c r="AI3" s="2">
        <v>29.638888888888886</v>
      </c>
      <c r="AJ3" s="2">
        <v>30.638888888888886</v>
      </c>
      <c r="AK3" s="2">
        <v>31.263888888888886</v>
      </c>
      <c r="AL3" s="2">
        <v>32.263888888888886</v>
      </c>
      <c r="AM3" s="2">
        <v>32.513888888888886</v>
      </c>
      <c r="AN3" s="2">
        <v>33.513888888888886</v>
      </c>
      <c r="AO3" s="2">
        <v>34.625</v>
      </c>
      <c r="AP3" s="2">
        <v>35.625</v>
      </c>
      <c r="AQ3" s="2" t="e">
        <v>#N/A</v>
      </c>
      <c r="AR3" s="2" t="e">
        <v>#N/A</v>
      </c>
      <c r="AS3" s="2" t="e">
        <v>#N/A</v>
      </c>
      <c r="AT3" s="2" t="e">
        <v>#N/A</v>
      </c>
      <c r="AU3" s="2" t="e">
        <v>#N/A</v>
      </c>
      <c r="AV3" s="2" t="e">
        <v>#N/A</v>
      </c>
      <c r="AW3" s="2" t="e">
        <v>#N/A</v>
      </c>
      <c r="AX3" s="2" t="e">
        <v>#N/A</v>
      </c>
      <c r="AY3" s="2" t="e">
        <v>#N/A</v>
      </c>
      <c r="AZ3" s="2" t="e">
        <v>#N/A</v>
      </c>
      <c r="BA3" s="2" t="e">
        <v>#N/A</v>
      </c>
      <c r="BB3" s="2" t="e">
        <v>#N/A</v>
      </c>
      <c r="BC3" s="2" t="e">
        <v>#N/A</v>
      </c>
      <c r="BD3" s="2" t="e">
        <v>#N/A</v>
      </c>
      <c r="BE3" s="2" t="e">
        <v>#N/A</v>
      </c>
      <c r="BF3" s="2" t="e">
        <v>#N/A</v>
      </c>
      <c r="BG3" s="2" t="e">
        <v>#N/A</v>
      </c>
      <c r="BH3" s="2" t="e">
        <v>#N/A</v>
      </c>
      <c r="BI3" s="2" t="e">
        <v>#N/A</v>
      </c>
      <c r="BJ3" s="2" t="e">
        <v>#N/A</v>
      </c>
      <c r="BK3" s="2" t="e">
        <v>#N/A</v>
      </c>
      <c r="BL3" s="2" t="e">
        <v>#N/A</v>
      </c>
      <c r="BM3" s="2" t="e">
        <v>#N/A</v>
      </c>
      <c r="BN3" s="2" t="e">
        <v>#N/A</v>
      </c>
      <c r="BO3" s="2" t="e">
        <v>#N/A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83</v>
      </c>
      <c r="B4" s="2">
        <v>55</v>
      </c>
      <c r="C4" s="2">
        <v>38</v>
      </c>
      <c r="D4" s="2">
        <v>0</v>
      </c>
      <c r="E4" s="2">
        <v>-1.6129032258064502E-2</v>
      </c>
      <c r="F4" s="2">
        <v>8.0645161290322509E-2</v>
      </c>
      <c r="G4" s="2">
        <v>0.35483870967741948</v>
      </c>
      <c r="H4" s="2">
        <v>0.82258064516129048</v>
      </c>
      <c r="I4" s="2">
        <v>0.79032258064516148</v>
      </c>
      <c r="J4" s="2">
        <v>1.1290322580645165</v>
      </c>
      <c r="K4" s="2">
        <v>1.3870967741935489</v>
      </c>
      <c r="L4" s="2">
        <v>1.4193548387096779</v>
      </c>
      <c r="M4" s="2">
        <v>2.0322580645161299</v>
      </c>
      <c r="N4" s="2">
        <v>2.4677419354838719</v>
      </c>
      <c r="O4" s="2">
        <v>3.3870967741935489</v>
      </c>
      <c r="P4" s="2">
        <v>4.0322580645161299</v>
      </c>
      <c r="Q4" s="2">
        <v>4.0967741935483879</v>
      </c>
      <c r="R4" s="2">
        <v>4.3548387096774199</v>
      </c>
      <c r="S4" s="2">
        <v>4.7741935483870979</v>
      </c>
      <c r="T4" s="2">
        <v>4.5806451612903238</v>
      </c>
      <c r="U4" s="2">
        <v>4.8387096774193559</v>
      </c>
      <c r="V4" s="2">
        <v>5.0483870967741939</v>
      </c>
      <c r="W4" s="2">
        <v>5.4677419354838719</v>
      </c>
      <c r="X4" s="2">
        <v>5.9923320994182987</v>
      </c>
      <c r="Y4" s="2">
        <v>6.22184029613961</v>
      </c>
      <c r="Z4" s="2">
        <v>6.7956107879428886</v>
      </c>
      <c r="AA4" s="2">
        <v>7.0742993125330527</v>
      </c>
      <c r="AB4" s="2">
        <v>7.3202009518773146</v>
      </c>
      <c r="AC4" s="2">
        <v>7.861184558434692</v>
      </c>
      <c r="AD4" s="2">
        <v>8.3038075092543639</v>
      </c>
      <c r="AE4" s="2">
        <v>8.3202009518773146</v>
      </c>
      <c r="AF4" s="2">
        <v>8.6316763617133798</v>
      </c>
      <c r="AG4" s="2">
        <v>9.3038075092543622</v>
      </c>
      <c r="AH4" s="2">
        <v>10.320200951877313</v>
      </c>
      <c r="AI4" s="2">
        <v>10.697250132205182</v>
      </c>
      <c r="AJ4" s="2">
        <v>10.943151771549445</v>
      </c>
      <c r="AK4" s="2">
        <v>11.221840296139609</v>
      </c>
      <c r="AL4" s="2">
        <v>11.64806980433633</v>
      </c>
      <c r="AM4" s="2">
        <v>11.664463246959281</v>
      </c>
      <c r="AN4" s="2">
        <v>12.008725542041248</v>
      </c>
      <c r="AO4" s="2">
        <v>12.795610787942888</v>
      </c>
      <c r="AP4" s="2">
        <v>13.549709148598625</v>
      </c>
      <c r="AQ4" s="2" t="e">
        <v>#N/A</v>
      </c>
      <c r="AR4" s="2" t="e">
        <v>#N/A</v>
      </c>
      <c r="AS4" s="2" t="e">
        <v>#N/A</v>
      </c>
      <c r="AT4" s="2" t="e">
        <v>#N/A</v>
      </c>
      <c r="AU4" s="2" t="e">
        <v>#N/A</v>
      </c>
      <c r="AV4" s="2" t="e">
        <v>#N/A</v>
      </c>
      <c r="AW4" s="2" t="e">
        <v>#N/A</v>
      </c>
      <c r="AX4" s="2" t="e">
        <v>#N/A</v>
      </c>
      <c r="AY4" s="2" t="e">
        <v>#N/A</v>
      </c>
      <c r="AZ4" s="2" t="e">
        <v>#N/A</v>
      </c>
      <c r="BA4" s="2" t="e">
        <v>#N/A</v>
      </c>
      <c r="BB4" s="2" t="e">
        <v>#N/A</v>
      </c>
      <c r="BC4" s="2" t="e">
        <v>#N/A</v>
      </c>
      <c r="BD4" s="2" t="e">
        <v>#N/A</v>
      </c>
      <c r="BE4" s="2" t="e">
        <v>#N/A</v>
      </c>
      <c r="BF4" s="2" t="e">
        <v>#N/A</v>
      </c>
      <c r="BG4" s="2" t="e">
        <v>#N/A</v>
      </c>
      <c r="BH4" s="2" t="e">
        <v>#N/A</v>
      </c>
      <c r="BI4" s="2" t="e">
        <v>#N/A</v>
      </c>
      <c r="BJ4" s="2" t="e">
        <v>#N/A</v>
      </c>
      <c r="BK4" s="2" t="e">
        <v>#N/A</v>
      </c>
      <c r="BL4" s="2" t="e">
        <v>#N/A</v>
      </c>
      <c r="BM4" s="2" t="e">
        <v>#N/A</v>
      </c>
      <c r="BN4" s="2" t="e">
        <v>#N/A</v>
      </c>
      <c r="BO4" s="2" t="e">
        <v>#N/A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148</v>
      </c>
      <c r="B5" s="2">
        <v>82</v>
      </c>
      <c r="C5" s="2">
        <v>38</v>
      </c>
      <c r="D5" s="2">
        <v>0</v>
      </c>
      <c r="E5" s="2">
        <v>0.375</v>
      </c>
      <c r="F5" s="2">
        <v>1</v>
      </c>
      <c r="G5" s="2">
        <v>2.375</v>
      </c>
      <c r="H5" s="2">
        <v>3.5</v>
      </c>
      <c r="I5" s="2">
        <v>4.375</v>
      </c>
      <c r="J5" s="2">
        <v>5.375</v>
      </c>
      <c r="K5" s="2">
        <v>5.75</v>
      </c>
      <c r="L5" s="2">
        <v>6.125</v>
      </c>
      <c r="M5" s="2">
        <v>7</v>
      </c>
      <c r="N5" s="2">
        <v>8</v>
      </c>
      <c r="O5" s="2">
        <v>9.625</v>
      </c>
      <c r="P5" s="2">
        <v>10.625</v>
      </c>
      <c r="Q5" s="2">
        <v>10.875</v>
      </c>
      <c r="R5" s="2">
        <v>11.875</v>
      </c>
      <c r="S5" s="2">
        <v>12.625</v>
      </c>
      <c r="T5" s="2">
        <v>12.875</v>
      </c>
      <c r="U5" s="2">
        <v>13.5</v>
      </c>
      <c r="V5" s="2">
        <v>13.375</v>
      </c>
      <c r="W5" s="2">
        <v>14.25</v>
      </c>
      <c r="X5" s="2">
        <v>14.75</v>
      </c>
      <c r="Y5" s="2">
        <v>15.25</v>
      </c>
      <c r="Z5" s="2">
        <v>16.75</v>
      </c>
      <c r="AA5" s="2">
        <v>17.625</v>
      </c>
      <c r="AB5" s="2">
        <v>18.875</v>
      </c>
      <c r="AC5" s="2">
        <v>19.875</v>
      </c>
      <c r="AD5" s="2">
        <v>21.375</v>
      </c>
      <c r="AE5" s="2">
        <v>21.875</v>
      </c>
      <c r="AF5" s="2">
        <v>23.5</v>
      </c>
      <c r="AG5" s="2">
        <v>25.125</v>
      </c>
      <c r="AH5" s="2">
        <v>27.625</v>
      </c>
      <c r="AI5" s="2">
        <v>28.625</v>
      </c>
      <c r="AJ5" s="2">
        <v>29.625</v>
      </c>
      <c r="AK5" s="2">
        <v>30.25</v>
      </c>
      <c r="AL5" s="2">
        <v>31.25</v>
      </c>
      <c r="AM5" s="2">
        <v>31.5</v>
      </c>
      <c r="AN5" s="2">
        <v>32.5</v>
      </c>
      <c r="AO5" s="2">
        <v>33.625</v>
      </c>
      <c r="AP5" s="2">
        <v>34.625</v>
      </c>
      <c r="AQ5" s="2" t="e">
        <v>#N/A</v>
      </c>
      <c r="AR5" s="2" t="e">
        <v>#N/A</v>
      </c>
      <c r="AS5" s="2" t="e">
        <v>#N/A</v>
      </c>
      <c r="AT5" s="2" t="e">
        <v>#N/A</v>
      </c>
      <c r="AU5" s="2" t="e">
        <v>#N/A</v>
      </c>
      <c r="AV5" s="2" t="e">
        <v>#N/A</v>
      </c>
      <c r="AW5" s="2" t="e">
        <v>#N/A</v>
      </c>
      <c r="AX5" s="2" t="e">
        <v>#N/A</v>
      </c>
      <c r="AY5" s="2" t="e">
        <v>#N/A</v>
      </c>
      <c r="AZ5" s="2" t="e">
        <v>#N/A</v>
      </c>
      <c r="BA5" s="2" t="e">
        <v>#N/A</v>
      </c>
      <c r="BB5" s="2" t="e">
        <v>#N/A</v>
      </c>
      <c r="BC5" s="2" t="e">
        <v>#N/A</v>
      </c>
      <c r="BD5" s="2" t="e">
        <v>#N/A</v>
      </c>
      <c r="BE5" s="2" t="e">
        <v>#N/A</v>
      </c>
      <c r="BF5" s="2" t="e">
        <v>#N/A</v>
      </c>
      <c r="BG5" s="2" t="e">
        <v>#N/A</v>
      </c>
      <c r="BH5" s="2" t="e">
        <v>#N/A</v>
      </c>
      <c r="BI5" s="2" t="e">
        <v>#N/A</v>
      </c>
      <c r="BJ5" s="2" t="e">
        <v>#N/A</v>
      </c>
      <c r="BK5" s="2" t="e">
        <v>#N/A</v>
      </c>
      <c r="BL5" s="2" t="e">
        <v>#N/A</v>
      </c>
      <c r="BM5" s="2" t="e">
        <v>#N/A</v>
      </c>
      <c r="BN5" s="2" t="e">
        <v>#N/A</v>
      </c>
      <c r="BO5" s="2" t="e">
        <v>#N/A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139</v>
      </c>
      <c r="B6" s="2">
        <v>67</v>
      </c>
      <c r="C6" s="2">
        <v>38</v>
      </c>
      <c r="D6" s="2">
        <v>0</v>
      </c>
      <c r="E6" s="2">
        <v>-0.33333333333333348</v>
      </c>
      <c r="F6" s="2">
        <v>-0.58333333333333348</v>
      </c>
      <c r="G6" s="2">
        <v>-0.75</v>
      </c>
      <c r="H6" s="2">
        <v>-0.41666666666666652</v>
      </c>
      <c r="I6" s="2">
        <v>-1</v>
      </c>
      <c r="J6" s="2">
        <v>-1.0833333333333335</v>
      </c>
      <c r="K6" s="2">
        <v>-1</v>
      </c>
      <c r="L6" s="2">
        <v>-1.25</v>
      </c>
      <c r="M6" s="2">
        <v>-1.083333333333333</v>
      </c>
      <c r="N6" s="2">
        <v>-1.083333333333333</v>
      </c>
      <c r="O6" s="2">
        <v>-0.16666666666666607</v>
      </c>
      <c r="P6" s="2">
        <v>0.16666666666666741</v>
      </c>
      <c r="Q6" s="2">
        <v>-0.16666666666666607</v>
      </c>
      <c r="R6" s="2">
        <v>-0.24999999999999956</v>
      </c>
      <c r="S6" s="2">
        <v>-0.41666666666666607</v>
      </c>
      <c r="T6" s="2">
        <v>-0.99999999999999956</v>
      </c>
      <c r="U6" s="2">
        <v>-1.083333333333333</v>
      </c>
      <c r="V6" s="2">
        <v>-1.333333333333333</v>
      </c>
      <c r="W6" s="2">
        <v>-1.4166666666666665</v>
      </c>
      <c r="X6" s="2">
        <v>-1.583333333333333</v>
      </c>
      <c r="Y6" s="2">
        <v>-1.6666666666666665</v>
      </c>
      <c r="Z6" s="2">
        <v>-1.6666666666666665</v>
      </c>
      <c r="AA6" s="2">
        <v>-1.75</v>
      </c>
      <c r="AB6" s="2">
        <v>-2.1666666666666665</v>
      </c>
      <c r="AC6" s="2">
        <v>-2.5</v>
      </c>
      <c r="AD6" s="2">
        <v>-2.4166666666666665</v>
      </c>
      <c r="AE6" s="2">
        <v>-2.75</v>
      </c>
      <c r="AF6" s="2">
        <v>-2.8333333333333335</v>
      </c>
      <c r="AG6" s="2">
        <v>-2.2500000000000004</v>
      </c>
      <c r="AH6" s="2">
        <v>-1.8333333333333335</v>
      </c>
      <c r="AI6" s="2">
        <v>-1.8333333333333335</v>
      </c>
      <c r="AJ6" s="2">
        <v>-2</v>
      </c>
      <c r="AK6" s="2">
        <v>-2.1666666666666665</v>
      </c>
      <c r="AL6" s="2">
        <v>-2.1666666666666665</v>
      </c>
      <c r="AM6" s="2">
        <v>-2.4166666666666665</v>
      </c>
      <c r="AN6" s="2">
        <v>-2.4166666666666665</v>
      </c>
      <c r="AO6" s="2">
        <v>-2.25</v>
      </c>
      <c r="AP6" s="2">
        <v>-2.0833333333333335</v>
      </c>
      <c r="AQ6" s="2" t="e">
        <v>#N/A</v>
      </c>
      <c r="AR6" s="2" t="e">
        <v>#N/A</v>
      </c>
      <c r="AS6" s="2" t="e">
        <v>#N/A</v>
      </c>
      <c r="AT6" s="2" t="e">
        <v>#N/A</v>
      </c>
      <c r="AU6" s="2" t="e">
        <v>#N/A</v>
      </c>
      <c r="AV6" s="2" t="e">
        <v>#N/A</v>
      </c>
      <c r="AW6" s="2" t="e">
        <v>#N/A</v>
      </c>
      <c r="AX6" s="2" t="e">
        <v>#N/A</v>
      </c>
      <c r="AY6" s="2" t="e">
        <v>#N/A</v>
      </c>
      <c r="AZ6" s="2" t="e">
        <v>#N/A</v>
      </c>
      <c r="BA6" s="2" t="e">
        <v>#N/A</v>
      </c>
      <c r="BB6" s="2" t="e">
        <v>#N/A</v>
      </c>
      <c r="BC6" s="2" t="e">
        <v>#N/A</v>
      </c>
      <c r="BD6" s="2" t="e">
        <v>#N/A</v>
      </c>
      <c r="BE6" s="2" t="e">
        <v>#N/A</v>
      </c>
      <c r="BF6" s="2" t="e">
        <v>#N/A</v>
      </c>
      <c r="BG6" s="2" t="e">
        <v>#N/A</v>
      </c>
      <c r="BH6" s="2" t="e">
        <v>#N/A</v>
      </c>
      <c r="BI6" s="2" t="e">
        <v>#N/A</v>
      </c>
      <c r="BJ6" s="2" t="e">
        <v>#N/A</v>
      </c>
      <c r="BK6" s="2" t="e">
        <v>#N/A</v>
      </c>
      <c r="BL6" s="2" t="e">
        <v>#N/A</v>
      </c>
      <c r="BM6" s="2" t="e">
        <v>#N/A</v>
      </c>
      <c r="BN6" s="2" t="e">
        <v>#N/A</v>
      </c>
      <c r="BO6" s="2" t="e">
        <v>#N/A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151</v>
      </c>
      <c r="B7" s="2">
        <v>85</v>
      </c>
      <c r="C7" s="2">
        <v>38</v>
      </c>
      <c r="D7" s="2">
        <v>0</v>
      </c>
      <c r="E7" s="2">
        <v>0.375</v>
      </c>
      <c r="F7" s="2">
        <v>1</v>
      </c>
      <c r="G7" s="2">
        <v>2.375</v>
      </c>
      <c r="H7" s="2">
        <v>3.5</v>
      </c>
      <c r="I7" s="2">
        <v>4.375</v>
      </c>
      <c r="J7" s="2">
        <v>5.375</v>
      </c>
      <c r="K7" s="2">
        <v>5.75</v>
      </c>
      <c r="L7" s="2">
        <v>6.125</v>
      </c>
      <c r="M7" s="2">
        <v>7</v>
      </c>
      <c r="N7" s="2">
        <v>8</v>
      </c>
      <c r="O7" s="2">
        <v>9.625</v>
      </c>
      <c r="P7" s="2">
        <v>10.625</v>
      </c>
      <c r="Q7" s="2">
        <v>10.875</v>
      </c>
      <c r="R7" s="2">
        <v>11.875</v>
      </c>
      <c r="S7" s="2">
        <v>12.625</v>
      </c>
      <c r="T7" s="2">
        <v>12.875</v>
      </c>
      <c r="U7" s="2">
        <v>13.5</v>
      </c>
      <c r="V7" s="2">
        <v>13.375</v>
      </c>
      <c r="W7" s="2">
        <v>14.25</v>
      </c>
      <c r="X7" s="2">
        <v>14.75</v>
      </c>
      <c r="Y7" s="2">
        <v>15.25</v>
      </c>
      <c r="Z7" s="2">
        <v>16.75</v>
      </c>
      <c r="AA7" s="2">
        <v>17.625</v>
      </c>
      <c r="AB7" s="2">
        <v>18.875</v>
      </c>
      <c r="AC7" s="2">
        <v>19.875</v>
      </c>
      <c r="AD7" s="2">
        <v>21.375</v>
      </c>
      <c r="AE7" s="2">
        <v>21.875</v>
      </c>
      <c r="AF7" s="2">
        <v>23.5</v>
      </c>
      <c r="AG7" s="2">
        <v>25.125</v>
      </c>
      <c r="AH7" s="2">
        <v>27.625</v>
      </c>
      <c r="AI7" s="2">
        <v>28.625</v>
      </c>
      <c r="AJ7" s="2">
        <v>29.625</v>
      </c>
      <c r="AK7" s="2">
        <v>30.25</v>
      </c>
      <c r="AL7" s="2">
        <v>31.25</v>
      </c>
      <c r="AM7" s="2">
        <v>31.5</v>
      </c>
      <c r="AN7" s="2">
        <v>32.5</v>
      </c>
      <c r="AO7" s="2">
        <v>33.625</v>
      </c>
      <c r="AP7" s="2">
        <v>34.625</v>
      </c>
      <c r="AQ7" s="2" t="e">
        <v>#N/A</v>
      </c>
      <c r="AR7" s="2" t="e">
        <v>#N/A</v>
      </c>
      <c r="AS7" s="2" t="e">
        <v>#N/A</v>
      </c>
      <c r="AT7" s="2" t="e">
        <v>#N/A</v>
      </c>
      <c r="AU7" s="2" t="e">
        <v>#N/A</v>
      </c>
      <c r="AV7" s="2" t="e">
        <v>#N/A</v>
      </c>
      <c r="AW7" s="2" t="e">
        <v>#N/A</v>
      </c>
      <c r="AX7" s="2" t="e">
        <v>#N/A</v>
      </c>
      <c r="AY7" s="2" t="e">
        <v>#N/A</v>
      </c>
      <c r="AZ7" s="2" t="e">
        <v>#N/A</v>
      </c>
      <c r="BA7" s="2" t="e">
        <v>#N/A</v>
      </c>
      <c r="BB7" s="2" t="e">
        <v>#N/A</v>
      </c>
      <c r="BC7" s="2" t="e">
        <v>#N/A</v>
      </c>
      <c r="BD7" s="2" t="e">
        <v>#N/A</v>
      </c>
      <c r="BE7" s="2" t="e">
        <v>#N/A</v>
      </c>
      <c r="BF7" s="2" t="e">
        <v>#N/A</v>
      </c>
      <c r="BG7" s="2" t="e">
        <v>#N/A</v>
      </c>
      <c r="BH7" s="2" t="e">
        <v>#N/A</v>
      </c>
      <c r="BI7" s="2" t="e">
        <v>#N/A</v>
      </c>
      <c r="BJ7" s="2" t="e">
        <v>#N/A</v>
      </c>
      <c r="BK7" s="2" t="e">
        <v>#N/A</v>
      </c>
      <c r="BL7" s="2" t="e">
        <v>#N/A</v>
      </c>
      <c r="BM7" s="2" t="e">
        <v>#N/A</v>
      </c>
      <c r="BN7" s="2" t="e">
        <v>#N/A</v>
      </c>
      <c r="BO7" s="2" t="e">
        <v>#N/A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142</v>
      </c>
      <c r="B8" s="2">
        <v>70</v>
      </c>
      <c r="C8" s="2">
        <v>38</v>
      </c>
      <c r="D8" s="2">
        <v>0</v>
      </c>
      <c r="E8" s="2">
        <v>-0.26086956521739113</v>
      </c>
      <c r="F8" s="2">
        <v>-0.34782608695652151</v>
      </c>
      <c r="G8" s="2">
        <v>-0.43478260869565188</v>
      </c>
      <c r="H8" s="2">
        <v>-0.26086956521739113</v>
      </c>
      <c r="I8" s="2">
        <v>-0.60869565217391308</v>
      </c>
      <c r="J8" s="2">
        <v>-0.69565217391304346</v>
      </c>
      <c r="K8" s="2">
        <v>-0.47826086956521729</v>
      </c>
      <c r="L8" s="2">
        <v>-0.73913043478260843</v>
      </c>
      <c r="M8" s="2">
        <v>-0.47826086956521685</v>
      </c>
      <c r="N8" s="2">
        <v>-0.56521739130434723</v>
      </c>
      <c r="O8" s="2">
        <v>0.1739130434782612</v>
      </c>
      <c r="P8" s="2">
        <v>0.60869565217391353</v>
      </c>
      <c r="Q8" s="2">
        <v>0.3478260869565224</v>
      </c>
      <c r="R8" s="2">
        <v>0.26086956521739202</v>
      </c>
      <c r="S8" s="2">
        <v>0.13043478260869623</v>
      </c>
      <c r="T8" s="2">
        <v>-0.43478260869565144</v>
      </c>
      <c r="U8" s="2">
        <v>-0.56521739130434723</v>
      </c>
      <c r="V8" s="2">
        <v>-0.52173913043478182</v>
      </c>
      <c r="W8" s="2">
        <v>-0.34782608695652106</v>
      </c>
      <c r="X8" s="2">
        <v>-0.34782608695652106</v>
      </c>
      <c r="Y8" s="2">
        <v>-0.43478260869565144</v>
      </c>
      <c r="Z8" s="2">
        <v>-0.30434782608695565</v>
      </c>
      <c r="AA8" s="2">
        <v>-0.30434782608695565</v>
      </c>
      <c r="AB8" s="2">
        <v>-0.56521739130434678</v>
      </c>
      <c r="AC8" s="2">
        <v>-0.69565217391304257</v>
      </c>
      <c r="AD8" s="2">
        <v>-0.56521739130434678</v>
      </c>
      <c r="AE8" s="2">
        <v>-0.69565217391304257</v>
      </c>
      <c r="AF8" s="2">
        <v>-0.60869565217391175</v>
      </c>
      <c r="AG8" s="2">
        <v>-0.30434782608695565</v>
      </c>
      <c r="AH8" s="2">
        <v>0.69565217391304435</v>
      </c>
      <c r="AI8" s="2">
        <v>0.8695652173913051</v>
      </c>
      <c r="AJ8" s="2">
        <v>0.78260869565217472</v>
      </c>
      <c r="AK8" s="2">
        <v>0.65217391304347894</v>
      </c>
      <c r="AL8" s="2">
        <v>0.69565217391304435</v>
      </c>
      <c r="AM8" s="2">
        <v>0.3478260869565224</v>
      </c>
      <c r="AN8" s="2">
        <v>0.47826086956521818</v>
      </c>
      <c r="AO8" s="2">
        <v>0.65217391304347894</v>
      </c>
      <c r="AP8" s="2">
        <v>1.0434782608695659</v>
      </c>
      <c r="AQ8" s="2" t="e">
        <v>#N/A</v>
      </c>
      <c r="AR8" s="2" t="e">
        <v>#N/A</v>
      </c>
      <c r="AS8" s="2" t="e">
        <v>#N/A</v>
      </c>
      <c r="AT8" s="2" t="e">
        <v>#N/A</v>
      </c>
      <c r="AU8" s="2" t="e">
        <v>#N/A</v>
      </c>
      <c r="AV8" s="2" t="e">
        <v>#N/A</v>
      </c>
      <c r="AW8" s="2" t="e">
        <v>#N/A</v>
      </c>
      <c r="AX8" s="2" t="e">
        <v>#N/A</v>
      </c>
      <c r="AY8" s="2" t="e">
        <v>#N/A</v>
      </c>
      <c r="AZ8" s="2" t="e">
        <v>#N/A</v>
      </c>
      <c r="BA8" s="2" t="e">
        <v>#N/A</v>
      </c>
      <c r="BB8" s="2" t="e">
        <v>#N/A</v>
      </c>
      <c r="BC8" s="2" t="e">
        <v>#N/A</v>
      </c>
      <c r="BD8" s="2" t="e">
        <v>#N/A</v>
      </c>
      <c r="BE8" s="2" t="e">
        <v>#N/A</v>
      </c>
      <c r="BF8" s="2" t="e">
        <v>#N/A</v>
      </c>
      <c r="BG8" s="2" t="e">
        <v>#N/A</v>
      </c>
      <c r="BH8" s="2" t="e">
        <v>#N/A</v>
      </c>
      <c r="BI8" s="2" t="e">
        <v>#N/A</v>
      </c>
      <c r="BJ8" s="2" t="e">
        <v>#N/A</v>
      </c>
      <c r="BK8" s="2" t="e">
        <v>#N/A</v>
      </c>
      <c r="BL8" s="2" t="e">
        <v>#N/A</v>
      </c>
      <c r="BM8" s="2" t="e">
        <v>#N/A</v>
      </c>
      <c r="BN8" s="2" t="e">
        <v>#N/A</v>
      </c>
      <c r="BO8" s="2" t="e">
        <v>#N/A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154</v>
      </c>
      <c r="B9" s="2">
        <v>88</v>
      </c>
      <c r="C9" s="2">
        <v>38</v>
      </c>
      <c r="D9" s="2">
        <v>0</v>
      </c>
      <c r="E9" s="2">
        <v>0.375</v>
      </c>
      <c r="F9" s="2">
        <v>1</v>
      </c>
      <c r="G9" s="2">
        <v>2.375</v>
      </c>
      <c r="H9" s="2">
        <v>3.5</v>
      </c>
      <c r="I9" s="2">
        <v>4.375</v>
      </c>
      <c r="J9" s="2">
        <v>5.375</v>
      </c>
      <c r="K9" s="2">
        <v>5.75</v>
      </c>
      <c r="L9" s="2">
        <v>6.125</v>
      </c>
      <c r="M9" s="2">
        <v>7</v>
      </c>
      <c r="N9" s="2">
        <v>8</v>
      </c>
      <c r="O9" s="2">
        <v>9.625</v>
      </c>
      <c r="P9" s="2">
        <v>10.625</v>
      </c>
      <c r="Q9" s="2">
        <v>10.875</v>
      </c>
      <c r="R9" s="2">
        <v>11.875</v>
      </c>
      <c r="S9" s="2">
        <v>12.625</v>
      </c>
      <c r="T9" s="2">
        <v>12.875</v>
      </c>
      <c r="U9" s="2">
        <v>13.5</v>
      </c>
      <c r="V9" s="2">
        <v>13.375</v>
      </c>
      <c r="W9" s="2">
        <v>14.25</v>
      </c>
      <c r="X9" s="2">
        <v>14.75</v>
      </c>
      <c r="Y9" s="2">
        <v>15.25</v>
      </c>
      <c r="Z9" s="2">
        <v>16.75</v>
      </c>
      <c r="AA9" s="2">
        <v>17.625</v>
      </c>
      <c r="AB9" s="2">
        <v>18.875</v>
      </c>
      <c r="AC9" s="2">
        <v>19.875</v>
      </c>
      <c r="AD9" s="2">
        <v>21.375</v>
      </c>
      <c r="AE9" s="2">
        <v>21.875</v>
      </c>
      <c r="AF9" s="2">
        <v>23.5</v>
      </c>
      <c r="AG9" s="2">
        <v>25.125</v>
      </c>
      <c r="AH9" s="2">
        <v>27.625</v>
      </c>
      <c r="AI9" s="2">
        <v>28.625</v>
      </c>
      <c r="AJ9" s="2">
        <v>29.625</v>
      </c>
      <c r="AK9" s="2">
        <v>30.25</v>
      </c>
      <c r="AL9" s="2">
        <v>31.25</v>
      </c>
      <c r="AM9" s="2">
        <v>31.5</v>
      </c>
      <c r="AN9" s="2">
        <v>32.5</v>
      </c>
      <c r="AO9" s="2">
        <v>33.625</v>
      </c>
      <c r="AP9" s="2">
        <v>34.625</v>
      </c>
      <c r="AQ9" s="2" t="e">
        <v>#N/A</v>
      </c>
      <c r="AR9" s="2" t="e">
        <v>#N/A</v>
      </c>
      <c r="AS9" s="2" t="e">
        <v>#N/A</v>
      </c>
      <c r="AT9" s="2" t="e">
        <v>#N/A</v>
      </c>
      <c r="AU9" s="2" t="e">
        <v>#N/A</v>
      </c>
      <c r="AV9" s="2" t="e">
        <v>#N/A</v>
      </c>
      <c r="AW9" s="2" t="e">
        <v>#N/A</v>
      </c>
      <c r="AX9" s="2" t="e">
        <v>#N/A</v>
      </c>
      <c r="AY9" s="2" t="e">
        <v>#N/A</v>
      </c>
      <c r="AZ9" s="2" t="e">
        <v>#N/A</v>
      </c>
      <c r="BA9" s="2" t="e">
        <v>#N/A</v>
      </c>
      <c r="BB9" s="2" t="e">
        <v>#N/A</v>
      </c>
      <c r="BC9" s="2" t="e">
        <v>#N/A</v>
      </c>
      <c r="BD9" s="2" t="e">
        <v>#N/A</v>
      </c>
      <c r="BE9" s="2" t="e">
        <v>#N/A</v>
      </c>
      <c r="BF9" s="2" t="e">
        <v>#N/A</v>
      </c>
      <c r="BG9" s="2" t="e">
        <v>#N/A</v>
      </c>
      <c r="BH9" s="2" t="e">
        <v>#N/A</v>
      </c>
      <c r="BI9" s="2" t="e">
        <v>#N/A</v>
      </c>
      <c r="BJ9" s="2" t="e">
        <v>#N/A</v>
      </c>
      <c r="BK9" s="2" t="e">
        <v>#N/A</v>
      </c>
      <c r="BL9" s="2" t="e">
        <v>#N/A</v>
      </c>
      <c r="BM9" s="2" t="e">
        <v>#N/A</v>
      </c>
      <c r="BN9" s="2" t="e">
        <v>#N/A</v>
      </c>
      <c r="BO9" s="2" t="e">
        <v>#N/A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145</v>
      </c>
      <c r="B10" s="2">
        <v>73</v>
      </c>
      <c r="C10" s="2">
        <v>38</v>
      </c>
      <c r="D10" s="2">
        <v>0</v>
      </c>
      <c r="E10" s="2">
        <v>-0.15151515151515138</v>
      </c>
      <c r="F10" s="2">
        <v>-0.18181818181818166</v>
      </c>
      <c r="G10" s="2">
        <v>-0.21212121212121193</v>
      </c>
      <c r="H10" s="2">
        <v>6.0606060606060996E-2</v>
      </c>
      <c r="I10" s="2">
        <v>-0.30303030303030276</v>
      </c>
      <c r="J10" s="2">
        <v>-0.21212121212121193</v>
      </c>
      <c r="K10" s="2">
        <v>-9.0909090909090828E-2</v>
      </c>
      <c r="L10" s="2">
        <v>-0.36363636363636376</v>
      </c>
      <c r="M10" s="2">
        <v>-0.12121212121212155</v>
      </c>
      <c r="N10" s="2">
        <v>-9.0909090909091272E-2</v>
      </c>
      <c r="O10" s="2">
        <v>0.69696969696969679</v>
      </c>
      <c r="P10" s="2">
        <v>1.1818181818181817</v>
      </c>
      <c r="Q10" s="2">
        <v>0.96969696969696972</v>
      </c>
      <c r="R10" s="2">
        <v>0.8787878787878789</v>
      </c>
      <c r="S10" s="2">
        <v>1.0606060606060606</v>
      </c>
      <c r="T10" s="2">
        <v>0.54545454545454541</v>
      </c>
      <c r="U10" s="2">
        <v>0.42424242424242431</v>
      </c>
      <c r="V10" s="2">
        <v>0.45454545454545459</v>
      </c>
      <c r="W10" s="2">
        <v>0.66666666666666652</v>
      </c>
      <c r="X10" s="2">
        <v>0.78787878787878762</v>
      </c>
      <c r="Y10" s="2">
        <v>0.72727272727272707</v>
      </c>
      <c r="Z10" s="2">
        <v>1</v>
      </c>
      <c r="AA10" s="2">
        <v>1</v>
      </c>
      <c r="AB10" s="2">
        <v>0.8787878787878789</v>
      </c>
      <c r="AC10" s="2">
        <v>0.8787878787878789</v>
      </c>
      <c r="AD10" s="2">
        <v>1.1212121212121211</v>
      </c>
      <c r="AE10" s="2">
        <v>0.93939393939393945</v>
      </c>
      <c r="AF10" s="2">
        <v>1.1212121212121211</v>
      </c>
      <c r="AG10" s="2">
        <v>1.545454545454545</v>
      </c>
      <c r="AH10" s="2">
        <v>2.3636363636363633</v>
      </c>
      <c r="AI10" s="2">
        <v>2.5757575757575752</v>
      </c>
      <c r="AJ10" s="2">
        <v>2.6060606060606055</v>
      </c>
      <c r="AK10" s="2">
        <v>2.6666666666666661</v>
      </c>
      <c r="AL10" s="2">
        <v>2.7878787878787872</v>
      </c>
      <c r="AM10" s="2">
        <v>2.545454545454545</v>
      </c>
      <c r="AN10" s="2">
        <v>2.6060606060606055</v>
      </c>
      <c r="AO10" s="2">
        <v>2.8787878787878785</v>
      </c>
      <c r="AP10" s="2">
        <v>3.4242424242424239</v>
      </c>
      <c r="AQ10" s="2" t="e">
        <v>#N/A</v>
      </c>
      <c r="AR10" s="2" t="e">
        <v>#N/A</v>
      </c>
      <c r="AS10" s="2" t="e">
        <v>#N/A</v>
      </c>
      <c r="AT10" s="2" t="e">
        <v>#N/A</v>
      </c>
      <c r="AU10" s="2" t="e">
        <v>#N/A</v>
      </c>
      <c r="AV10" s="2" t="e">
        <v>#N/A</v>
      </c>
      <c r="AW10" s="2" t="e">
        <v>#N/A</v>
      </c>
      <c r="AX10" s="2" t="e">
        <v>#N/A</v>
      </c>
      <c r="AY10" s="2" t="e">
        <v>#N/A</v>
      </c>
      <c r="AZ10" s="2" t="e">
        <v>#N/A</v>
      </c>
      <c r="BA10" s="2" t="e">
        <v>#N/A</v>
      </c>
      <c r="BB10" s="2" t="e">
        <v>#N/A</v>
      </c>
      <c r="BC10" s="2" t="e">
        <v>#N/A</v>
      </c>
      <c r="BD10" s="2" t="e">
        <v>#N/A</v>
      </c>
      <c r="BE10" s="2" t="e">
        <v>#N/A</v>
      </c>
      <c r="BF10" s="2" t="e">
        <v>#N/A</v>
      </c>
      <c r="BG10" s="2" t="e">
        <v>#N/A</v>
      </c>
      <c r="BH10" s="2" t="e">
        <v>#N/A</v>
      </c>
      <c r="BI10" s="2" t="e">
        <v>#N/A</v>
      </c>
      <c r="BJ10" s="2" t="e">
        <v>#N/A</v>
      </c>
      <c r="BK10" s="2" t="e">
        <v>#N/A</v>
      </c>
      <c r="BL10" s="2" t="e">
        <v>#N/A</v>
      </c>
      <c r="BM10" s="2" t="e">
        <v>#N/A</v>
      </c>
      <c r="BN10" s="2" t="e">
        <v>#N/A</v>
      </c>
      <c r="BO10" s="2" t="e">
        <v>#N/A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75</v>
      </c>
      <c r="B11" s="2">
        <v>79</v>
      </c>
      <c r="C11" s="2">
        <v>38</v>
      </c>
      <c r="D11" s="2">
        <v>0</v>
      </c>
      <c r="E11" s="2">
        <v>0</v>
      </c>
      <c r="F11" s="2">
        <v>0.20000000000000018</v>
      </c>
      <c r="G11" s="2">
        <v>1.2000000000000002</v>
      </c>
      <c r="H11" s="2">
        <v>1.8000000000000003</v>
      </c>
      <c r="I11" s="2">
        <v>2.6</v>
      </c>
      <c r="J11" s="2">
        <v>3.2</v>
      </c>
      <c r="K11" s="2">
        <v>3.2</v>
      </c>
      <c r="L11" s="2">
        <v>3.8000000000000003</v>
      </c>
      <c r="M11" s="2">
        <v>4.2000000000000011</v>
      </c>
      <c r="N11" s="2">
        <v>4.8000000000000007</v>
      </c>
      <c r="O11" s="2">
        <v>5.8000000000000007</v>
      </c>
      <c r="P11" s="2">
        <v>6.2000000000000011</v>
      </c>
      <c r="Q11" s="2">
        <v>6.2000000000000011</v>
      </c>
      <c r="R11" s="2">
        <v>7.0000000000000009</v>
      </c>
      <c r="S11" s="2">
        <v>7.6000000000000014</v>
      </c>
      <c r="T11" s="2">
        <v>7.6000000000000014</v>
      </c>
      <c r="U11" s="2">
        <v>8.0000000000000018</v>
      </c>
      <c r="V11" s="2">
        <v>7.8000000000000016</v>
      </c>
      <c r="W11" s="2">
        <v>8.4000000000000021</v>
      </c>
      <c r="X11" s="2">
        <v>9.0000000000000018</v>
      </c>
      <c r="Y11" s="2">
        <v>9.0000000000000018</v>
      </c>
      <c r="Z11" s="2">
        <v>9.8000000000000007</v>
      </c>
      <c r="AA11" s="2">
        <v>10.200000000000001</v>
      </c>
      <c r="AB11" s="2">
        <v>10.8</v>
      </c>
      <c r="AC11" s="2">
        <v>11.4</v>
      </c>
      <c r="AD11" s="2">
        <v>12.4</v>
      </c>
      <c r="AE11" s="2">
        <v>12.4</v>
      </c>
      <c r="AF11" s="2">
        <v>13.4</v>
      </c>
      <c r="AG11" s="2">
        <v>14.2</v>
      </c>
      <c r="AH11" s="2">
        <v>16</v>
      </c>
      <c r="AI11" s="2">
        <v>16.399999999999999</v>
      </c>
      <c r="AJ11" s="2">
        <v>17.2</v>
      </c>
      <c r="AK11" s="2">
        <v>17.399999999999999</v>
      </c>
      <c r="AL11" s="2">
        <v>18</v>
      </c>
      <c r="AM11" s="2">
        <v>18</v>
      </c>
      <c r="AN11" s="2">
        <v>18.399999999999999</v>
      </c>
      <c r="AO11" s="2">
        <v>19.399999999999999</v>
      </c>
      <c r="AP11" s="2">
        <v>20.2</v>
      </c>
      <c r="AQ11" s="2" t="e">
        <v>#N/A</v>
      </c>
      <c r="AR11" s="2" t="e">
        <v>#N/A</v>
      </c>
      <c r="AS11" s="2" t="e">
        <v>#N/A</v>
      </c>
      <c r="AT11" s="2" t="e">
        <v>#N/A</v>
      </c>
      <c r="AU11" s="2" t="e">
        <v>#N/A</v>
      </c>
      <c r="AV11" s="2" t="e">
        <v>#N/A</v>
      </c>
      <c r="AW11" s="2" t="e">
        <v>#N/A</v>
      </c>
      <c r="AX11" s="2" t="e">
        <v>#N/A</v>
      </c>
      <c r="AY11" s="2" t="e">
        <v>#N/A</v>
      </c>
      <c r="AZ11" s="2" t="e">
        <v>#N/A</v>
      </c>
      <c r="BA11" s="2" t="e">
        <v>#N/A</v>
      </c>
      <c r="BB11" s="2" t="e">
        <v>#N/A</v>
      </c>
      <c r="BC11" s="2" t="e">
        <v>#N/A</v>
      </c>
      <c r="BD11" s="2" t="e">
        <v>#N/A</v>
      </c>
      <c r="BE11" s="2" t="e">
        <v>#N/A</v>
      </c>
      <c r="BF11" s="2" t="e">
        <v>#N/A</v>
      </c>
      <c r="BG11" s="2" t="e">
        <v>#N/A</v>
      </c>
      <c r="BH11" s="2" t="e">
        <v>#N/A</v>
      </c>
      <c r="BI11" s="2" t="e">
        <v>#N/A</v>
      </c>
      <c r="BJ11" s="2" t="e">
        <v>#N/A</v>
      </c>
      <c r="BK11" s="2" t="e">
        <v>#N/A</v>
      </c>
      <c r="BL11" s="2" t="e">
        <v>#N/A</v>
      </c>
      <c r="BM11" s="2" t="e">
        <v>#N/A</v>
      </c>
      <c r="BN11" s="2" t="e">
        <v>#N/A</v>
      </c>
      <c r="BO11" s="2" t="e">
        <v>#N/A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72</v>
      </c>
      <c r="B12" s="2">
        <v>64</v>
      </c>
      <c r="C12" s="2">
        <v>38</v>
      </c>
      <c r="D12" s="2">
        <v>0</v>
      </c>
      <c r="E12" s="2">
        <v>-0.33333333333333348</v>
      </c>
      <c r="F12" s="2">
        <v>-0.83333333333333348</v>
      </c>
      <c r="G12" s="2">
        <v>-1.166666666666667</v>
      </c>
      <c r="H12" s="2">
        <v>-1.0000000000000004</v>
      </c>
      <c r="I12" s="2">
        <v>-1.666666666666667</v>
      </c>
      <c r="J12" s="2">
        <v>-1.8333333333333335</v>
      </c>
      <c r="K12" s="2">
        <v>-2</v>
      </c>
      <c r="L12" s="2">
        <v>-2.5</v>
      </c>
      <c r="M12" s="2">
        <v>-2.333333333333333</v>
      </c>
      <c r="N12" s="2">
        <v>-2.333333333333333</v>
      </c>
      <c r="O12" s="2">
        <v>-1.333333333333333</v>
      </c>
      <c r="P12" s="2">
        <v>-0.83333333333333304</v>
      </c>
      <c r="Q12" s="2">
        <v>-0.99999999999999956</v>
      </c>
      <c r="R12" s="2">
        <v>-1.1666666666666661</v>
      </c>
      <c r="S12" s="2">
        <v>-1.4999999999999996</v>
      </c>
      <c r="T12" s="2">
        <v>-1.9999999999999996</v>
      </c>
      <c r="U12" s="2">
        <v>-2.333333333333333</v>
      </c>
      <c r="V12" s="2">
        <v>-3.333333333333333</v>
      </c>
      <c r="W12" s="2">
        <v>-3.4999999999999996</v>
      </c>
      <c r="X12" s="2">
        <v>-3.6666666666666661</v>
      </c>
      <c r="Y12" s="2">
        <v>-3.3333333333333326</v>
      </c>
      <c r="Z12" s="2">
        <v>-3.6666666666666661</v>
      </c>
      <c r="AA12" s="2">
        <v>-3.6666666666666661</v>
      </c>
      <c r="AB12" s="2">
        <v>-4.3333333333333321</v>
      </c>
      <c r="AC12" s="2">
        <v>-4.4999999999999982</v>
      </c>
      <c r="AD12" s="2">
        <v>-4.6666666666666643</v>
      </c>
      <c r="AE12" s="2">
        <v>-4.8333333333333304</v>
      </c>
      <c r="AF12" s="2">
        <v>-5.1666666666666643</v>
      </c>
      <c r="AG12" s="2">
        <v>-4.4999999999999973</v>
      </c>
      <c r="AH12" s="2">
        <v>-4.3333333333333304</v>
      </c>
      <c r="AI12" s="2">
        <v>-4.4999999999999964</v>
      </c>
      <c r="AJ12" s="2">
        <v>-4.8333333333333304</v>
      </c>
      <c r="AK12" s="2">
        <v>-4.8333333333333304</v>
      </c>
      <c r="AL12" s="2">
        <v>-4.6666666666666643</v>
      </c>
      <c r="AM12" s="2">
        <v>-4.8333333333333304</v>
      </c>
      <c r="AN12" s="2">
        <v>-4.8333333333333304</v>
      </c>
      <c r="AO12" s="2">
        <v>-4.8333333333333304</v>
      </c>
      <c r="AP12" s="2">
        <v>-4.6666666666666643</v>
      </c>
      <c r="AQ12" s="2" t="e">
        <v>#N/A</v>
      </c>
      <c r="AR12" s="2" t="e">
        <v>#N/A</v>
      </c>
      <c r="AS12" s="2" t="e">
        <v>#N/A</v>
      </c>
      <c r="AT12" s="2" t="e">
        <v>#N/A</v>
      </c>
      <c r="AU12" s="2" t="e">
        <v>#N/A</v>
      </c>
      <c r="AV12" s="2" t="e">
        <v>#N/A</v>
      </c>
      <c r="AW12" s="2" t="e">
        <v>#N/A</v>
      </c>
      <c r="AX12" s="2" t="e">
        <v>#N/A</v>
      </c>
      <c r="AY12" s="2" t="e">
        <v>#N/A</v>
      </c>
      <c r="AZ12" s="2" t="e">
        <v>#N/A</v>
      </c>
      <c r="BA12" s="2" t="e">
        <v>#N/A</v>
      </c>
      <c r="BB12" s="2" t="e">
        <v>#N/A</v>
      </c>
      <c r="BC12" s="2" t="e">
        <v>#N/A</v>
      </c>
      <c r="BD12" s="2" t="e">
        <v>#N/A</v>
      </c>
      <c r="BE12" s="2" t="e">
        <v>#N/A</v>
      </c>
      <c r="BF12" s="2" t="e">
        <v>#N/A</v>
      </c>
      <c r="BG12" s="2" t="e">
        <v>#N/A</v>
      </c>
      <c r="BH12" s="2" t="e">
        <v>#N/A</v>
      </c>
      <c r="BI12" s="2" t="e">
        <v>#N/A</v>
      </c>
      <c r="BJ12" s="2" t="e">
        <v>#N/A</v>
      </c>
      <c r="BK12" s="2" t="e">
        <v>#N/A</v>
      </c>
      <c r="BL12" s="2" t="e">
        <v>#N/A</v>
      </c>
      <c r="BM12" s="2" t="e">
        <v>#N/A</v>
      </c>
      <c r="BN12" s="2" t="e">
        <v>#N/A</v>
      </c>
      <c r="BO12" s="2" t="e">
        <v>#N/A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193</v>
      </c>
      <c r="B13" s="2">
        <v>76</v>
      </c>
      <c r="C13" s="2">
        <v>38</v>
      </c>
      <c r="D13" s="2">
        <v>0</v>
      </c>
      <c r="E13" s="2">
        <v>1</v>
      </c>
      <c r="F13" s="2">
        <v>1</v>
      </c>
      <c r="G13" s="2">
        <v>2</v>
      </c>
      <c r="H13" s="2">
        <v>3</v>
      </c>
      <c r="I13" s="2">
        <v>3</v>
      </c>
      <c r="J13" s="2">
        <v>3</v>
      </c>
      <c r="K13" s="2">
        <v>3</v>
      </c>
      <c r="L13" s="2">
        <v>3</v>
      </c>
      <c r="M13" s="2">
        <v>3</v>
      </c>
      <c r="N13" s="2">
        <v>3</v>
      </c>
      <c r="O13" s="2">
        <v>3</v>
      </c>
      <c r="P13" s="2">
        <v>3</v>
      </c>
      <c r="Q13" s="2">
        <v>3</v>
      </c>
      <c r="R13" s="2">
        <v>4</v>
      </c>
      <c r="S13" s="2">
        <v>4</v>
      </c>
      <c r="T13" s="2">
        <v>3</v>
      </c>
      <c r="U13" s="2">
        <v>3</v>
      </c>
      <c r="V13" s="2">
        <v>2</v>
      </c>
      <c r="W13" s="2">
        <v>2</v>
      </c>
      <c r="X13" s="2">
        <v>2</v>
      </c>
      <c r="Y13" s="2">
        <v>2</v>
      </c>
      <c r="Z13" s="2">
        <v>3</v>
      </c>
      <c r="AA13" s="2">
        <v>3</v>
      </c>
      <c r="AB13" s="2">
        <v>3</v>
      </c>
      <c r="AC13" s="2">
        <v>4</v>
      </c>
      <c r="AD13" s="2">
        <v>4</v>
      </c>
      <c r="AE13" s="2">
        <v>4</v>
      </c>
      <c r="AF13" s="2">
        <v>5</v>
      </c>
      <c r="AG13" s="2">
        <v>5</v>
      </c>
      <c r="AH13" s="2">
        <v>7</v>
      </c>
      <c r="AI13" s="2">
        <v>7</v>
      </c>
      <c r="AJ13" s="2">
        <v>7</v>
      </c>
      <c r="AK13" s="2">
        <v>7</v>
      </c>
      <c r="AL13" s="2">
        <v>8</v>
      </c>
      <c r="AM13" s="2">
        <v>8</v>
      </c>
      <c r="AN13" s="2">
        <v>8</v>
      </c>
      <c r="AO13" s="2">
        <v>9</v>
      </c>
      <c r="AP13" s="2">
        <v>9</v>
      </c>
      <c r="AQ13" s="2" t="e">
        <v>#N/A</v>
      </c>
      <c r="AR13" s="2" t="e">
        <v>#N/A</v>
      </c>
      <c r="AS13" s="2" t="e">
        <v>#N/A</v>
      </c>
      <c r="AT13" s="2" t="e">
        <v>#N/A</v>
      </c>
      <c r="AU13" s="2" t="e">
        <v>#N/A</v>
      </c>
      <c r="AV13" s="2" t="e">
        <v>#N/A</v>
      </c>
      <c r="AW13" s="2" t="e">
        <v>#N/A</v>
      </c>
      <c r="AX13" s="2" t="e">
        <v>#N/A</v>
      </c>
      <c r="AY13" s="2" t="e">
        <v>#N/A</v>
      </c>
      <c r="AZ13" s="2" t="e">
        <v>#N/A</v>
      </c>
      <c r="BA13" s="2" t="e">
        <v>#N/A</v>
      </c>
      <c r="BB13" s="2" t="e">
        <v>#N/A</v>
      </c>
      <c r="BC13" s="2" t="e">
        <v>#N/A</v>
      </c>
      <c r="BD13" s="2" t="e">
        <v>#N/A</v>
      </c>
      <c r="BE13" s="2" t="e">
        <v>#N/A</v>
      </c>
      <c r="BF13" s="2" t="e">
        <v>#N/A</v>
      </c>
      <c r="BG13" s="2" t="e">
        <v>#N/A</v>
      </c>
      <c r="BH13" s="2" t="e">
        <v>#N/A</v>
      </c>
      <c r="BI13" s="2" t="e">
        <v>#N/A</v>
      </c>
      <c r="BJ13" s="2" t="e">
        <v>#N/A</v>
      </c>
      <c r="BK13" s="2" t="e">
        <v>#N/A</v>
      </c>
      <c r="BL13" s="2" t="e">
        <v>#N/A</v>
      </c>
      <c r="BM13" s="2" t="e">
        <v>#N/A</v>
      </c>
      <c r="BN13" s="2" t="e">
        <v>#N/A</v>
      </c>
      <c r="BO13" s="2" t="e">
        <v>#N/A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192</v>
      </c>
      <c r="B14" s="2">
        <v>61</v>
      </c>
      <c r="C14" s="2">
        <v>38</v>
      </c>
      <c r="D14" s="2">
        <v>0</v>
      </c>
      <c r="E14" s="2">
        <v>0</v>
      </c>
      <c r="F14" s="2">
        <v>-1</v>
      </c>
      <c r="G14" s="2">
        <v>-2</v>
      </c>
      <c r="H14" s="2">
        <v>-2</v>
      </c>
      <c r="I14" s="2">
        <v>-3</v>
      </c>
      <c r="J14" s="2">
        <v>-3</v>
      </c>
      <c r="K14" s="2">
        <v>-2</v>
      </c>
      <c r="L14" s="2">
        <v>-3</v>
      </c>
      <c r="M14" s="2">
        <v>-3</v>
      </c>
      <c r="N14" s="2">
        <v>-4</v>
      </c>
      <c r="O14" s="2">
        <v>-2</v>
      </c>
      <c r="P14" s="2">
        <v>-3</v>
      </c>
      <c r="Q14" s="2">
        <v>-4</v>
      </c>
      <c r="R14" s="2">
        <v>-4</v>
      </c>
      <c r="S14" s="2">
        <v>-4</v>
      </c>
      <c r="T14" s="2">
        <v>-4</v>
      </c>
      <c r="U14" s="2">
        <v>-5</v>
      </c>
      <c r="V14" s="2">
        <v>-6</v>
      </c>
      <c r="W14" s="2">
        <v>-6</v>
      </c>
      <c r="X14" s="2">
        <v>-7</v>
      </c>
      <c r="Y14" s="2">
        <v>-6</v>
      </c>
      <c r="Z14" s="2">
        <v>-6</v>
      </c>
      <c r="AA14" s="2">
        <v>-6</v>
      </c>
      <c r="AB14" s="2">
        <v>-7</v>
      </c>
      <c r="AC14" s="2">
        <v>-8</v>
      </c>
      <c r="AD14" s="2">
        <v>-9</v>
      </c>
      <c r="AE14" s="2">
        <v>-9</v>
      </c>
      <c r="AF14" s="2">
        <v>-9</v>
      </c>
      <c r="AG14" s="2">
        <v>-9</v>
      </c>
      <c r="AH14" s="2">
        <v>-10</v>
      </c>
      <c r="AI14" s="2">
        <v>-10</v>
      </c>
      <c r="AJ14" s="2">
        <v>-10</v>
      </c>
      <c r="AK14" s="2">
        <v>-10</v>
      </c>
      <c r="AL14" s="2">
        <v>-9</v>
      </c>
      <c r="AM14" s="2">
        <v>-9</v>
      </c>
      <c r="AN14" s="2">
        <v>-10</v>
      </c>
      <c r="AO14" s="2">
        <v>-10</v>
      </c>
      <c r="AP14" s="2">
        <v>-10</v>
      </c>
      <c r="AQ14" s="2" t="e">
        <v>#N/A</v>
      </c>
      <c r="AR14" s="2" t="e">
        <v>#N/A</v>
      </c>
      <c r="AS14" s="2" t="e">
        <v>#N/A</v>
      </c>
      <c r="AT14" s="2" t="e">
        <v>#N/A</v>
      </c>
      <c r="AU14" s="2" t="e">
        <v>#N/A</v>
      </c>
      <c r="AV14" s="2" t="e">
        <v>#N/A</v>
      </c>
      <c r="AW14" s="2" t="e">
        <v>#N/A</v>
      </c>
      <c r="AX14" s="2" t="e">
        <v>#N/A</v>
      </c>
      <c r="AY14" s="2" t="e">
        <v>#N/A</v>
      </c>
      <c r="AZ14" s="2" t="e">
        <v>#N/A</v>
      </c>
      <c r="BA14" s="2" t="e">
        <v>#N/A</v>
      </c>
      <c r="BB14" s="2" t="e">
        <v>#N/A</v>
      </c>
      <c r="BC14" s="2" t="e">
        <v>#N/A</v>
      </c>
      <c r="BD14" s="2" t="e">
        <v>#N/A</v>
      </c>
      <c r="BE14" s="2" t="e">
        <v>#N/A</v>
      </c>
      <c r="BF14" s="2" t="e">
        <v>#N/A</v>
      </c>
      <c r="BG14" s="2" t="e">
        <v>#N/A</v>
      </c>
      <c r="BH14" s="2" t="e">
        <v>#N/A</v>
      </c>
      <c r="BI14" s="2" t="e">
        <v>#N/A</v>
      </c>
      <c r="BJ14" s="2" t="e">
        <v>#N/A</v>
      </c>
      <c r="BK14" s="2" t="e">
        <v>#N/A</v>
      </c>
      <c r="BL14" s="2" t="e">
        <v>#N/A</v>
      </c>
      <c r="BM14" s="2" t="e">
        <v>#N/A</v>
      </c>
      <c r="BN14" s="2" t="e">
        <v>#N/A</v>
      </c>
      <c r="BO14" s="2" t="e">
        <v>#N/A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0</v>
      </c>
      <c r="B15" s="2">
        <v>91</v>
      </c>
      <c r="C15">
        <v>38</v>
      </c>
      <c r="D15" s="2">
        <v>0</v>
      </c>
      <c r="E15" s="2">
        <v>0</v>
      </c>
      <c r="F15" s="2">
        <v>-1</v>
      </c>
      <c r="G15" s="2">
        <v>-2</v>
      </c>
      <c r="H15" s="2">
        <v>-2</v>
      </c>
      <c r="I15" s="2">
        <v>-3</v>
      </c>
      <c r="J15" s="2">
        <v>-3</v>
      </c>
      <c r="K15" s="2">
        <v>-2</v>
      </c>
      <c r="L15" s="2">
        <v>-3</v>
      </c>
      <c r="M15" s="2">
        <v>-3</v>
      </c>
      <c r="N15" s="2">
        <v>-4</v>
      </c>
      <c r="O15" s="2">
        <v>-2</v>
      </c>
      <c r="P15" s="2">
        <v>-3</v>
      </c>
      <c r="Q15" s="2">
        <v>-4</v>
      </c>
      <c r="R15" s="2">
        <v>-4</v>
      </c>
      <c r="S15" s="2">
        <v>-4</v>
      </c>
      <c r="T15" s="2">
        <v>-4</v>
      </c>
      <c r="U15" s="2">
        <v>-5</v>
      </c>
      <c r="V15" s="2">
        <v>-6</v>
      </c>
      <c r="W15" s="2">
        <v>-6</v>
      </c>
      <c r="X15" s="2">
        <v>-7</v>
      </c>
      <c r="Y15" s="2">
        <v>-6</v>
      </c>
      <c r="Z15" s="2">
        <v>-6</v>
      </c>
      <c r="AA15" s="2">
        <v>-6</v>
      </c>
      <c r="AB15" s="2">
        <v>-7</v>
      </c>
      <c r="AC15" s="2">
        <v>-8</v>
      </c>
      <c r="AD15" s="2">
        <v>-9</v>
      </c>
      <c r="AE15" s="2">
        <v>-9</v>
      </c>
      <c r="AF15" s="2">
        <v>-9</v>
      </c>
      <c r="AG15" s="2">
        <v>-9</v>
      </c>
      <c r="AH15" s="2">
        <v>-10</v>
      </c>
      <c r="AI15" s="2">
        <v>-10</v>
      </c>
      <c r="AJ15" s="2">
        <v>-10</v>
      </c>
      <c r="AK15" s="2">
        <v>-10</v>
      </c>
      <c r="AL15" s="2">
        <v>-9</v>
      </c>
      <c r="AM15" s="2">
        <v>-9</v>
      </c>
      <c r="AN15" s="2">
        <v>-10</v>
      </c>
      <c r="AO15" s="2">
        <v>-10</v>
      </c>
      <c r="AP15" s="2">
        <v>-10</v>
      </c>
      <c r="AQ15" s="2" t="e">
        <v>#N/A</v>
      </c>
      <c r="AR15" s="2" t="e">
        <v>#N/A</v>
      </c>
      <c r="AS15" s="2" t="e">
        <v>#N/A</v>
      </c>
      <c r="AT15" s="2" t="e">
        <v>#N/A</v>
      </c>
      <c r="AU15" s="2" t="e">
        <v>#N/A</v>
      </c>
      <c r="AV15" s="2" t="e">
        <v>#N/A</v>
      </c>
      <c r="AW15" s="2" t="e">
        <v>#N/A</v>
      </c>
      <c r="AX15" s="2" t="e">
        <v>#N/A</v>
      </c>
      <c r="AY15" s="2" t="e">
        <v>#N/A</v>
      </c>
      <c r="AZ15" s="2" t="e">
        <v>#N/A</v>
      </c>
      <c r="BA15" s="2" t="e">
        <v>#N/A</v>
      </c>
      <c r="BB15" s="2" t="e">
        <v>#N/A</v>
      </c>
      <c r="BC15" s="2" t="e">
        <v>#N/A</v>
      </c>
      <c r="BD15" s="2" t="e">
        <v>#N/A</v>
      </c>
      <c r="BE15" s="2" t="e">
        <v>#N/A</v>
      </c>
      <c r="BF15" s="2" t="e">
        <v>#N/A</v>
      </c>
      <c r="BG15" s="2" t="e">
        <v>#N/A</v>
      </c>
      <c r="BH15" s="2" t="e">
        <v>#N/A</v>
      </c>
      <c r="BI15" s="2" t="e">
        <v>#N/A</v>
      </c>
      <c r="BJ15" s="2" t="e">
        <v>#N/A</v>
      </c>
      <c r="BK15" s="2" t="e">
        <v>#N/A</v>
      </c>
      <c r="BL15" s="2" t="e">
        <v>#N/A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696</v>
      </c>
      <c r="B16" s="2">
        <v>92</v>
      </c>
      <c r="C16" s="2">
        <v>38</v>
      </c>
      <c r="D16" s="2">
        <v>0</v>
      </c>
      <c r="E16" s="2">
        <v>-1</v>
      </c>
      <c r="F16" s="2">
        <v>-2</v>
      </c>
      <c r="G16" s="2">
        <v>-3</v>
      </c>
      <c r="H16" s="2">
        <v>-2</v>
      </c>
      <c r="I16" s="2">
        <v>-3</v>
      </c>
      <c r="J16" s="2">
        <v>-3</v>
      </c>
      <c r="K16" s="2">
        <v>-4</v>
      </c>
      <c r="L16" s="2">
        <v>-4</v>
      </c>
      <c r="M16" s="2">
        <v>-5</v>
      </c>
      <c r="N16" s="2">
        <v>-4</v>
      </c>
      <c r="O16" s="2">
        <v>-4</v>
      </c>
      <c r="P16" s="2">
        <v>-4</v>
      </c>
      <c r="Q16" s="2">
        <v>-4</v>
      </c>
      <c r="R16" s="2">
        <v>-4</v>
      </c>
      <c r="S16" s="2">
        <v>-5</v>
      </c>
      <c r="T16" s="2">
        <v>-6</v>
      </c>
      <c r="U16" s="2">
        <v>-6</v>
      </c>
      <c r="V16" s="2">
        <v>-7</v>
      </c>
      <c r="W16" s="2">
        <v>-7</v>
      </c>
      <c r="X16" s="2">
        <v>-6</v>
      </c>
      <c r="Y16" s="2">
        <v>-5</v>
      </c>
      <c r="Z16" s="2">
        <v>-6</v>
      </c>
      <c r="AA16" s="2">
        <v>-6</v>
      </c>
      <c r="AB16" s="2">
        <v>-6</v>
      </c>
      <c r="AC16" s="2">
        <v>-6</v>
      </c>
      <c r="AD16" s="2">
        <v>-6</v>
      </c>
      <c r="AE16" s="2">
        <v>-6</v>
      </c>
      <c r="AF16" s="2">
        <v>-7</v>
      </c>
      <c r="AG16" s="2">
        <v>-5</v>
      </c>
      <c r="AH16" s="2">
        <v>-6</v>
      </c>
      <c r="AI16" s="2">
        <v>-6</v>
      </c>
      <c r="AJ16" s="2">
        <v>-7</v>
      </c>
      <c r="AK16" s="2">
        <v>-7</v>
      </c>
      <c r="AL16" s="2">
        <v>-8</v>
      </c>
      <c r="AM16" s="2">
        <v>-8</v>
      </c>
      <c r="AN16" s="2">
        <v>-7</v>
      </c>
      <c r="AO16" s="2">
        <v>-8</v>
      </c>
      <c r="AP16" s="2">
        <v>-8</v>
      </c>
      <c r="AQ16" s="2" t="e">
        <v>#N/A</v>
      </c>
      <c r="AR16" s="2" t="e">
        <v>#N/A</v>
      </c>
      <c r="AS16" s="2" t="e">
        <v>#N/A</v>
      </c>
      <c r="AT16" s="2" t="e">
        <v>#N/A</v>
      </c>
      <c r="AU16" s="2" t="e">
        <v>#N/A</v>
      </c>
      <c r="AV16" s="2" t="e">
        <v>#N/A</v>
      </c>
      <c r="AW16" s="2" t="e">
        <v>#N/A</v>
      </c>
      <c r="AX16" s="2" t="e">
        <v>#N/A</v>
      </c>
      <c r="AY16" s="2" t="e">
        <v>#N/A</v>
      </c>
      <c r="AZ16" s="2" t="e">
        <v>#N/A</v>
      </c>
      <c r="BA16" s="2" t="e">
        <v>#N/A</v>
      </c>
      <c r="BB16" s="2" t="e">
        <v>#N/A</v>
      </c>
      <c r="BC16" s="2" t="e">
        <v>#N/A</v>
      </c>
      <c r="BD16" s="2" t="e">
        <v>#N/A</v>
      </c>
      <c r="BE16" s="2" t="e">
        <v>#N/A</v>
      </c>
      <c r="BF16" s="2" t="e">
        <v>#N/A</v>
      </c>
      <c r="BG16" s="2" t="e">
        <v>#N/A</v>
      </c>
      <c r="BH16" s="2" t="e">
        <v>#N/A</v>
      </c>
      <c r="BI16" s="2" t="e">
        <v>#N/A</v>
      </c>
      <c r="BJ16" s="2" t="e">
        <v>#N/A</v>
      </c>
      <c r="BK16" s="2" t="e">
        <v>#N/A</v>
      </c>
      <c r="BL16" s="2" t="e">
        <v>#N/A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330</v>
      </c>
      <c r="B17" s="2">
        <v>93</v>
      </c>
      <c r="C17" s="2">
        <v>38</v>
      </c>
      <c r="D17" s="2">
        <v>0</v>
      </c>
      <c r="E17" s="2">
        <v>-1</v>
      </c>
      <c r="F17" s="2">
        <v>-1</v>
      </c>
      <c r="G17" s="2">
        <v>-1</v>
      </c>
      <c r="H17" s="2">
        <v>-1</v>
      </c>
      <c r="I17" s="2">
        <v>-1</v>
      </c>
      <c r="J17" s="2">
        <v>-1</v>
      </c>
      <c r="K17" s="2">
        <v>-1</v>
      </c>
      <c r="L17" s="2">
        <v>-1</v>
      </c>
      <c r="M17" s="2">
        <v>0</v>
      </c>
      <c r="N17" s="2">
        <v>0</v>
      </c>
      <c r="O17" s="2">
        <v>0</v>
      </c>
      <c r="P17" s="2">
        <v>2</v>
      </c>
      <c r="Q17" s="2">
        <v>2</v>
      </c>
      <c r="R17" s="2">
        <v>1</v>
      </c>
      <c r="S17" s="2">
        <v>1</v>
      </c>
      <c r="T17" s="2">
        <v>0</v>
      </c>
      <c r="U17" s="2">
        <v>0</v>
      </c>
      <c r="V17" s="2">
        <v>-1</v>
      </c>
      <c r="W17" s="2">
        <v>-1</v>
      </c>
      <c r="X17" s="2">
        <v>-1</v>
      </c>
      <c r="Y17" s="2">
        <v>-1</v>
      </c>
      <c r="Z17" s="2">
        <v>-1</v>
      </c>
      <c r="AA17" s="2">
        <v>-1</v>
      </c>
      <c r="AB17" s="2">
        <v>-2</v>
      </c>
      <c r="AC17" s="2">
        <v>-2</v>
      </c>
      <c r="AD17" s="2">
        <v>-2</v>
      </c>
      <c r="AE17" s="2">
        <v>-2</v>
      </c>
      <c r="AF17" s="2">
        <v>-3</v>
      </c>
      <c r="AG17" s="2">
        <v>-2</v>
      </c>
      <c r="AH17" s="2">
        <v>-2</v>
      </c>
      <c r="AI17" s="2">
        <v>-2</v>
      </c>
      <c r="AJ17" s="2">
        <v>-2</v>
      </c>
      <c r="AK17" s="2">
        <v>-1</v>
      </c>
      <c r="AL17" s="2">
        <v>-1</v>
      </c>
      <c r="AM17" s="2">
        <v>-2</v>
      </c>
      <c r="AN17" s="2">
        <v>-2</v>
      </c>
      <c r="AO17" s="2">
        <v>-3</v>
      </c>
      <c r="AP17" s="2">
        <v>-3</v>
      </c>
      <c r="AQ17" s="2" t="e">
        <v>#N/A</v>
      </c>
      <c r="AR17" s="2" t="e">
        <v>#N/A</v>
      </c>
      <c r="AS17" s="2" t="e">
        <v>#N/A</v>
      </c>
      <c r="AT17" s="2" t="e">
        <v>#N/A</v>
      </c>
      <c r="AU17" s="2" t="e">
        <v>#N/A</v>
      </c>
      <c r="AV17" s="2" t="e">
        <v>#N/A</v>
      </c>
      <c r="AW17" s="2" t="e">
        <v>#N/A</v>
      </c>
      <c r="AX17" s="2" t="e">
        <v>#N/A</v>
      </c>
      <c r="AY17" s="2" t="e">
        <v>#N/A</v>
      </c>
      <c r="AZ17" s="2" t="e">
        <v>#N/A</v>
      </c>
      <c r="BA17" s="2" t="e">
        <v>#N/A</v>
      </c>
      <c r="BB17" s="2" t="e">
        <v>#N/A</v>
      </c>
      <c r="BC17" s="2" t="e">
        <v>#N/A</v>
      </c>
      <c r="BD17" s="2" t="e">
        <v>#N/A</v>
      </c>
      <c r="BE17" s="2" t="e">
        <v>#N/A</v>
      </c>
      <c r="BF17" s="2" t="e">
        <v>#N/A</v>
      </c>
      <c r="BG17" s="2" t="e">
        <v>#N/A</v>
      </c>
      <c r="BH17" s="2" t="e">
        <v>#N/A</v>
      </c>
      <c r="BI17" s="2" t="e">
        <v>#N/A</v>
      </c>
      <c r="BJ17" s="2" t="e">
        <v>#N/A</v>
      </c>
      <c r="BK17" s="2" t="e">
        <v>#N/A</v>
      </c>
      <c r="BL17" s="2" t="e">
        <v>#N/A</v>
      </c>
      <c r="BM17" s="2" t="e">
        <v>#N/A</v>
      </c>
      <c r="BN17" s="2" t="e">
        <v>#N/A</v>
      </c>
      <c r="BO17" s="2" t="e">
        <v>#N/A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5</v>
      </c>
      <c r="B18" s="2">
        <v>94</v>
      </c>
      <c r="C18" s="2">
        <v>38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-1</v>
      </c>
      <c r="L18" s="2">
        <v>-2</v>
      </c>
      <c r="M18" s="2">
        <v>-2</v>
      </c>
      <c r="N18" s="2">
        <v>-2</v>
      </c>
      <c r="O18" s="2">
        <v>-2</v>
      </c>
      <c r="P18" s="2">
        <v>0</v>
      </c>
      <c r="Q18" s="2">
        <v>0</v>
      </c>
      <c r="R18" s="2">
        <v>0</v>
      </c>
      <c r="S18" s="2">
        <v>0</v>
      </c>
      <c r="T18" s="2">
        <v>-1</v>
      </c>
      <c r="U18" s="2">
        <v>-2</v>
      </c>
      <c r="V18" s="2">
        <v>-3</v>
      </c>
      <c r="W18" s="2">
        <v>-3</v>
      </c>
      <c r="X18" s="2">
        <v>-3</v>
      </c>
      <c r="Y18" s="2">
        <v>-4</v>
      </c>
      <c r="Z18" s="2">
        <v>-5</v>
      </c>
      <c r="AA18" s="2">
        <v>-5</v>
      </c>
      <c r="AB18" s="2">
        <v>-6</v>
      </c>
      <c r="AC18" s="2">
        <v>-6</v>
      </c>
      <c r="AD18" s="2">
        <v>-6</v>
      </c>
      <c r="AE18" s="2">
        <v>-6</v>
      </c>
      <c r="AF18" s="2">
        <v>-6</v>
      </c>
      <c r="AG18" s="2">
        <v>-6</v>
      </c>
      <c r="AH18" s="2">
        <v>-5</v>
      </c>
      <c r="AI18" s="2">
        <v>-5</v>
      </c>
      <c r="AJ18" s="2">
        <v>-6</v>
      </c>
      <c r="AK18" s="2">
        <v>-6</v>
      </c>
      <c r="AL18" s="2">
        <v>-4</v>
      </c>
      <c r="AM18" s="2">
        <v>-4</v>
      </c>
      <c r="AN18" s="2">
        <v>-4</v>
      </c>
      <c r="AO18" s="2">
        <v>-4</v>
      </c>
      <c r="AP18" s="2">
        <v>-3</v>
      </c>
      <c r="AQ18" s="2" t="e">
        <v>#N/A</v>
      </c>
      <c r="AR18" s="2" t="e">
        <v>#N/A</v>
      </c>
      <c r="AS18" s="2" t="e">
        <v>#N/A</v>
      </c>
      <c r="AT18" s="2" t="e">
        <v>#N/A</v>
      </c>
      <c r="AU18" s="2" t="e">
        <v>#N/A</v>
      </c>
      <c r="AV18" s="2" t="e">
        <v>#N/A</v>
      </c>
      <c r="AW18" s="2" t="e">
        <v>#N/A</v>
      </c>
      <c r="AX18" s="2" t="e">
        <v>#N/A</v>
      </c>
      <c r="AY18" s="2" t="e">
        <v>#N/A</v>
      </c>
      <c r="AZ18" s="2" t="e">
        <v>#N/A</v>
      </c>
      <c r="BA18" s="2" t="e">
        <v>#N/A</v>
      </c>
      <c r="BB18" s="2" t="e">
        <v>#N/A</v>
      </c>
      <c r="BC18" s="2" t="e">
        <v>#N/A</v>
      </c>
      <c r="BD18" s="2" t="e">
        <v>#N/A</v>
      </c>
      <c r="BE18" s="2" t="e">
        <v>#N/A</v>
      </c>
      <c r="BF18" s="2" t="e">
        <v>#N/A</v>
      </c>
      <c r="BG18" s="2" t="e">
        <v>#N/A</v>
      </c>
      <c r="BH18" s="2" t="e">
        <v>#N/A</v>
      </c>
      <c r="BI18" s="2" t="e">
        <v>#N/A</v>
      </c>
      <c r="BJ18" s="2" t="e">
        <v>#N/A</v>
      </c>
      <c r="BK18" s="2" t="e">
        <v>#N/A</v>
      </c>
      <c r="BL18" s="2" t="e">
        <v>#N/A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687</v>
      </c>
      <c r="B19" s="2">
        <v>95</v>
      </c>
      <c r="C19" s="2">
        <v>38</v>
      </c>
      <c r="D19" s="2">
        <v>0</v>
      </c>
      <c r="E19" s="2">
        <v>0</v>
      </c>
      <c r="F19" s="2">
        <v>0</v>
      </c>
      <c r="G19" s="2">
        <v>0</v>
      </c>
      <c r="H19" s="2">
        <v>-1</v>
      </c>
      <c r="I19" s="2">
        <v>-2</v>
      </c>
      <c r="J19" s="2">
        <v>-2</v>
      </c>
      <c r="K19" s="2">
        <v>-2</v>
      </c>
      <c r="L19" s="2">
        <v>-2</v>
      </c>
      <c r="M19" s="2">
        <v>-1</v>
      </c>
      <c r="N19" s="2">
        <v>0</v>
      </c>
      <c r="O19" s="2">
        <v>1</v>
      </c>
      <c r="P19" s="2">
        <v>1</v>
      </c>
      <c r="Q19" s="2">
        <v>1</v>
      </c>
      <c r="R19" s="2">
        <v>1</v>
      </c>
      <c r="S19" s="2">
        <v>1</v>
      </c>
      <c r="T19" s="2">
        <v>1</v>
      </c>
      <c r="U19" s="2">
        <v>1</v>
      </c>
      <c r="V19" s="2">
        <v>0</v>
      </c>
      <c r="W19" s="2">
        <v>0</v>
      </c>
      <c r="X19" s="2">
        <v>-1</v>
      </c>
      <c r="Y19" s="2">
        <v>-1</v>
      </c>
      <c r="Z19" s="2">
        <v>-1</v>
      </c>
      <c r="AA19" s="2">
        <v>-1</v>
      </c>
      <c r="AB19" s="2">
        <v>-2</v>
      </c>
      <c r="AC19" s="2">
        <v>-2</v>
      </c>
      <c r="AD19" s="2">
        <v>-2</v>
      </c>
      <c r="AE19" s="2">
        <v>-2</v>
      </c>
      <c r="AF19" s="2">
        <v>-2</v>
      </c>
      <c r="AG19" s="2">
        <v>-1</v>
      </c>
      <c r="AH19" s="2">
        <v>-1</v>
      </c>
      <c r="AI19" s="2">
        <v>-1</v>
      </c>
      <c r="AJ19" s="2">
        <v>0</v>
      </c>
      <c r="AK19" s="2">
        <v>-1</v>
      </c>
      <c r="AL19" s="2">
        <v>-1</v>
      </c>
      <c r="AM19" s="2">
        <v>-1</v>
      </c>
      <c r="AN19" s="2">
        <v>-1</v>
      </c>
      <c r="AO19" s="2">
        <v>-2</v>
      </c>
      <c r="AP19" s="2">
        <v>-2</v>
      </c>
      <c r="AQ19" s="2" t="e">
        <v>#N/A</v>
      </c>
      <c r="AR19" s="2" t="e">
        <v>#N/A</v>
      </c>
      <c r="AS19" s="2" t="e">
        <v>#N/A</v>
      </c>
      <c r="AT19" s="2" t="e">
        <v>#N/A</v>
      </c>
      <c r="AU19" s="2" t="e">
        <v>#N/A</v>
      </c>
      <c r="AV19" s="2" t="e">
        <v>#N/A</v>
      </c>
      <c r="AW19" s="2" t="e">
        <v>#N/A</v>
      </c>
      <c r="AX19" s="2" t="e">
        <v>#N/A</v>
      </c>
      <c r="AY19" s="2" t="e">
        <v>#N/A</v>
      </c>
      <c r="AZ19" s="2" t="e">
        <v>#N/A</v>
      </c>
      <c r="BA19" s="2" t="e">
        <v>#N/A</v>
      </c>
      <c r="BB19" s="2" t="e">
        <v>#N/A</v>
      </c>
      <c r="BC19" s="2" t="e">
        <v>#N/A</v>
      </c>
      <c r="BD19" s="2" t="e">
        <v>#N/A</v>
      </c>
      <c r="BE19" s="2" t="e">
        <v>#N/A</v>
      </c>
      <c r="BF19" s="2" t="e">
        <v>#N/A</v>
      </c>
      <c r="BG19" s="2" t="e">
        <v>#N/A</v>
      </c>
      <c r="BH19" s="2" t="e">
        <v>#N/A</v>
      </c>
      <c r="BI19" s="2" t="e">
        <v>#N/A</v>
      </c>
      <c r="BJ19" s="2" t="e">
        <v>#N/A</v>
      </c>
      <c r="BK19" s="2" t="e">
        <v>#N/A</v>
      </c>
      <c r="BL19" s="2" t="e">
        <v>#N/A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353</v>
      </c>
      <c r="B20" s="2">
        <v>96</v>
      </c>
      <c r="C20" s="2">
        <v>38</v>
      </c>
      <c r="D20" s="2">
        <v>0</v>
      </c>
      <c r="E20" s="2">
        <v>0</v>
      </c>
      <c r="F20" s="2">
        <v>-1</v>
      </c>
      <c r="G20" s="2">
        <v>-1</v>
      </c>
      <c r="H20" s="2">
        <v>0</v>
      </c>
      <c r="I20" s="2">
        <v>-1</v>
      </c>
      <c r="J20" s="2">
        <v>-2</v>
      </c>
      <c r="K20" s="2">
        <v>-2</v>
      </c>
      <c r="L20" s="2">
        <v>-3</v>
      </c>
      <c r="M20" s="2">
        <v>-3</v>
      </c>
      <c r="N20" s="2">
        <v>-4</v>
      </c>
      <c r="O20" s="2">
        <v>-1</v>
      </c>
      <c r="P20" s="2">
        <v>-1</v>
      </c>
      <c r="Q20" s="2">
        <v>-1</v>
      </c>
      <c r="R20" s="2">
        <v>-1</v>
      </c>
      <c r="S20" s="2">
        <v>-2</v>
      </c>
      <c r="T20" s="2">
        <v>-2</v>
      </c>
      <c r="U20" s="2">
        <v>-2</v>
      </c>
      <c r="V20" s="2">
        <v>-3</v>
      </c>
      <c r="W20" s="2">
        <v>-4</v>
      </c>
      <c r="X20" s="2">
        <v>-4</v>
      </c>
      <c r="Y20" s="2">
        <v>-3</v>
      </c>
      <c r="Z20" s="2">
        <v>-3</v>
      </c>
      <c r="AA20" s="2">
        <v>-3</v>
      </c>
      <c r="AB20" s="2">
        <v>-3</v>
      </c>
      <c r="AC20" s="2">
        <v>-3</v>
      </c>
      <c r="AD20" s="2">
        <v>-3</v>
      </c>
      <c r="AE20" s="2">
        <v>-4</v>
      </c>
      <c r="AF20" s="2">
        <v>-4</v>
      </c>
      <c r="AG20" s="2">
        <v>-4</v>
      </c>
      <c r="AH20" s="2">
        <v>-2</v>
      </c>
      <c r="AI20" s="2">
        <v>-3</v>
      </c>
      <c r="AJ20" s="2">
        <v>-4</v>
      </c>
      <c r="AK20" s="2">
        <v>-4</v>
      </c>
      <c r="AL20" s="2">
        <v>-5</v>
      </c>
      <c r="AM20" s="2">
        <v>-5</v>
      </c>
      <c r="AN20" s="2">
        <v>-5</v>
      </c>
      <c r="AO20" s="2">
        <v>-2</v>
      </c>
      <c r="AP20" s="2">
        <v>-2</v>
      </c>
      <c r="AQ20" s="2" t="e">
        <v>#N/A</v>
      </c>
      <c r="AR20" s="2" t="e">
        <v>#N/A</v>
      </c>
      <c r="AS20" s="2" t="e">
        <v>#N/A</v>
      </c>
      <c r="AT20" s="2" t="e">
        <v>#N/A</v>
      </c>
      <c r="AU20" s="2" t="e">
        <v>#N/A</v>
      </c>
      <c r="AV20" s="2" t="e">
        <v>#N/A</v>
      </c>
      <c r="AW20" s="2" t="e">
        <v>#N/A</v>
      </c>
      <c r="AX20" s="2" t="e">
        <v>#N/A</v>
      </c>
      <c r="AY20" s="2" t="e">
        <v>#N/A</v>
      </c>
      <c r="AZ20" s="2" t="e">
        <v>#N/A</v>
      </c>
      <c r="BA20" s="2" t="e">
        <v>#N/A</v>
      </c>
      <c r="BB20" s="2" t="e">
        <v>#N/A</v>
      </c>
      <c r="BC20" s="2" t="e">
        <v>#N/A</v>
      </c>
      <c r="BD20" s="2" t="e">
        <v>#N/A</v>
      </c>
      <c r="BE20" s="2" t="e">
        <v>#N/A</v>
      </c>
      <c r="BF20" s="2" t="e">
        <v>#N/A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697</v>
      </c>
      <c r="B21" s="2">
        <v>97</v>
      </c>
      <c r="C21" s="2">
        <v>38</v>
      </c>
      <c r="D21" s="2">
        <v>0</v>
      </c>
      <c r="E21" s="2">
        <v>0</v>
      </c>
      <c r="F21" s="2">
        <v>-1</v>
      </c>
      <c r="G21" s="2">
        <v>-2</v>
      </c>
      <c r="H21" s="2">
        <v>0</v>
      </c>
      <c r="I21" s="2">
        <v>1</v>
      </c>
      <c r="J21" s="2">
        <v>2</v>
      </c>
      <c r="K21" s="2">
        <v>2</v>
      </c>
      <c r="L21" s="2">
        <v>1</v>
      </c>
      <c r="M21" s="2">
        <v>1</v>
      </c>
      <c r="N21" s="2">
        <v>0</v>
      </c>
      <c r="O21" s="2">
        <v>-1</v>
      </c>
      <c r="P21" s="2">
        <v>0</v>
      </c>
      <c r="Q21" s="2">
        <v>-1</v>
      </c>
      <c r="R21" s="2">
        <v>-1</v>
      </c>
      <c r="S21" s="2">
        <v>0</v>
      </c>
      <c r="T21" s="2">
        <v>0</v>
      </c>
      <c r="U21" s="2">
        <v>1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-1</v>
      </c>
      <c r="AF21" s="2">
        <v>-1</v>
      </c>
      <c r="AG21" s="2">
        <v>-1</v>
      </c>
      <c r="AH21" s="2">
        <v>-1</v>
      </c>
      <c r="AI21" s="2">
        <v>-1</v>
      </c>
      <c r="AJ21" s="2">
        <v>-1</v>
      </c>
      <c r="AK21" s="2">
        <v>-1</v>
      </c>
      <c r="AL21" s="2">
        <v>-1</v>
      </c>
      <c r="AM21" s="2">
        <v>-1</v>
      </c>
      <c r="AN21" s="2">
        <v>-1</v>
      </c>
      <c r="AO21" s="2">
        <v>-2</v>
      </c>
      <c r="AP21" s="2">
        <v>-1</v>
      </c>
      <c r="AQ21" s="2" t="e">
        <v>#N/A</v>
      </c>
      <c r="AR21" s="2" t="e">
        <v>#N/A</v>
      </c>
      <c r="AS21" s="2" t="e">
        <v>#N/A</v>
      </c>
      <c r="AT21" s="2" t="e">
        <v>#N/A</v>
      </c>
      <c r="AU21" s="2" t="e">
        <v>#N/A</v>
      </c>
      <c r="AV21" s="2" t="e">
        <v>#N/A</v>
      </c>
      <c r="AW21" s="2" t="e">
        <v>#N/A</v>
      </c>
      <c r="AX21" s="2" t="e">
        <v>#N/A</v>
      </c>
      <c r="AY21" s="2" t="e">
        <v>#N/A</v>
      </c>
      <c r="AZ21" s="2" t="e">
        <v>#N/A</v>
      </c>
      <c r="BA21" s="2" t="e">
        <v>#N/A</v>
      </c>
      <c r="BB21" s="2" t="e">
        <v>#N/A</v>
      </c>
      <c r="BC21" s="2" t="e">
        <v>#N/A</v>
      </c>
      <c r="BD21" s="2" t="e">
        <v>#N/A</v>
      </c>
      <c r="BE21" s="2" t="e">
        <v>#N/A</v>
      </c>
      <c r="BF21" s="2" t="e">
        <v>#N/A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10</v>
      </c>
      <c r="B22" s="2">
        <v>98</v>
      </c>
      <c r="C22" s="2">
        <v>38</v>
      </c>
      <c r="D22" s="2">
        <v>0</v>
      </c>
      <c r="E22" s="2">
        <v>0</v>
      </c>
      <c r="F22" s="2">
        <v>-1</v>
      </c>
      <c r="G22" s="2">
        <v>-1</v>
      </c>
      <c r="H22" s="2">
        <v>-1</v>
      </c>
      <c r="I22" s="2">
        <v>-2</v>
      </c>
      <c r="J22" s="2">
        <v>-2</v>
      </c>
      <c r="K22" s="2">
        <v>-1</v>
      </c>
      <c r="L22" s="2">
        <v>0</v>
      </c>
      <c r="M22" s="2">
        <v>0</v>
      </c>
      <c r="N22" s="2">
        <v>0</v>
      </c>
      <c r="O22" s="2">
        <v>1</v>
      </c>
      <c r="P22" s="2">
        <v>1</v>
      </c>
      <c r="Q22" s="2">
        <v>0</v>
      </c>
      <c r="R22" s="2">
        <v>1</v>
      </c>
      <c r="S22" s="2">
        <v>1</v>
      </c>
      <c r="T22" s="2">
        <v>0</v>
      </c>
      <c r="U22" s="2">
        <v>-1</v>
      </c>
      <c r="V22" s="2">
        <v>1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-1</v>
      </c>
      <c r="AD22" s="2">
        <v>0</v>
      </c>
      <c r="AE22" s="2">
        <v>0</v>
      </c>
      <c r="AF22" s="2">
        <v>0</v>
      </c>
      <c r="AG22" s="2">
        <v>1</v>
      </c>
      <c r="AH22" s="2">
        <v>1</v>
      </c>
      <c r="AI22" s="2">
        <v>2</v>
      </c>
      <c r="AJ22" s="2">
        <v>1</v>
      </c>
      <c r="AK22" s="2">
        <v>1</v>
      </c>
      <c r="AL22" s="2">
        <v>1</v>
      </c>
      <c r="AM22" s="2">
        <v>0</v>
      </c>
      <c r="AN22" s="2">
        <v>-1</v>
      </c>
      <c r="AO22" s="2">
        <v>0</v>
      </c>
      <c r="AP22" s="2">
        <v>0</v>
      </c>
      <c r="AQ22" s="2" t="e">
        <v>#N/A</v>
      </c>
      <c r="AR22" s="2" t="e">
        <v>#N/A</v>
      </c>
      <c r="AS22" s="2" t="e">
        <v>#N/A</v>
      </c>
      <c r="AT22" s="2" t="e">
        <v>#N/A</v>
      </c>
      <c r="AU22" s="2" t="e">
        <v>#N/A</v>
      </c>
      <c r="AV22" s="2" t="e">
        <v>#N/A</v>
      </c>
      <c r="AW22" s="2" t="e">
        <v>#N/A</v>
      </c>
      <c r="AX22" s="2" t="e">
        <v>#N/A</v>
      </c>
      <c r="AY22" s="2" t="e">
        <v>#N/A</v>
      </c>
      <c r="AZ22" s="2" t="e">
        <v>#N/A</v>
      </c>
      <c r="BA22" s="2" t="e">
        <v>#N/A</v>
      </c>
      <c r="BB22" s="2" t="e">
        <v>#N/A</v>
      </c>
      <c r="BC22" s="2" t="e">
        <v>#N/A</v>
      </c>
      <c r="BD22" s="2" t="e">
        <v>#N/A</v>
      </c>
      <c r="BE22" s="2" t="e">
        <v>#N/A</v>
      </c>
      <c r="BF22" s="2" t="e">
        <v>#N/A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698</v>
      </c>
      <c r="B23" s="2">
        <v>99</v>
      </c>
      <c r="C23" s="2">
        <v>38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-1</v>
      </c>
      <c r="J23" s="2">
        <v>-1</v>
      </c>
      <c r="K23" s="2">
        <v>-1</v>
      </c>
      <c r="L23" s="2">
        <v>-1</v>
      </c>
      <c r="M23" s="2">
        <v>0</v>
      </c>
      <c r="N23" s="2">
        <v>1</v>
      </c>
      <c r="O23" s="2">
        <v>3</v>
      </c>
      <c r="P23" s="2">
        <v>3</v>
      </c>
      <c r="Q23" s="2">
        <v>4</v>
      </c>
      <c r="R23" s="2">
        <v>4</v>
      </c>
      <c r="S23" s="2">
        <v>4</v>
      </c>
      <c r="T23" s="2">
        <v>4</v>
      </c>
      <c r="U23" s="2">
        <v>4</v>
      </c>
      <c r="V23" s="2">
        <v>5</v>
      </c>
      <c r="W23" s="2">
        <v>6</v>
      </c>
      <c r="X23" s="2">
        <v>6</v>
      </c>
      <c r="Y23" s="2">
        <v>6</v>
      </c>
      <c r="Z23" s="2">
        <v>7</v>
      </c>
      <c r="AA23" s="2">
        <v>7</v>
      </c>
      <c r="AB23" s="2">
        <v>7</v>
      </c>
      <c r="AC23" s="2">
        <v>6</v>
      </c>
      <c r="AD23" s="2">
        <v>5</v>
      </c>
      <c r="AE23" s="2">
        <v>5</v>
      </c>
      <c r="AF23" s="2">
        <v>4</v>
      </c>
      <c r="AG23" s="2">
        <v>4</v>
      </c>
      <c r="AH23" s="2">
        <v>4</v>
      </c>
      <c r="AI23" s="2">
        <v>4</v>
      </c>
      <c r="AJ23" s="2">
        <v>4</v>
      </c>
      <c r="AK23" s="2">
        <v>4</v>
      </c>
      <c r="AL23" s="2">
        <v>3</v>
      </c>
      <c r="AM23" s="2">
        <v>2</v>
      </c>
      <c r="AN23" s="2">
        <v>2</v>
      </c>
      <c r="AO23" s="2">
        <v>1</v>
      </c>
      <c r="AP23" s="2">
        <v>1</v>
      </c>
      <c r="AQ23" s="2" t="e">
        <v>#N/A</v>
      </c>
      <c r="AR23" s="2" t="e">
        <v>#N/A</v>
      </c>
      <c r="AS23" s="2" t="e">
        <v>#N/A</v>
      </c>
      <c r="AT23" s="2" t="e">
        <v>#N/A</v>
      </c>
      <c r="AU23" s="2" t="e">
        <v>#N/A</v>
      </c>
      <c r="AV23" s="2" t="e">
        <v>#N/A</v>
      </c>
      <c r="AW23" s="2" t="e">
        <v>#N/A</v>
      </c>
      <c r="AX23" s="2" t="e">
        <v>#N/A</v>
      </c>
      <c r="AY23" s="2" t="e">
        <v>#N/A</v>
      </c>
      <c r="AZ23" s="2" t="e">
        <v>#N/A</v>
      </c>
      <c r="BA23" s="2" t="e">
        <v>#N/A</v>
      </c>
      <c r="BB23" s="2" t="e">
        <v>#N/A</v>
      </c>
      <c r="BC23" s="2" t="e">
        <v>#N/A</v>
      </c>
      <c r="BD23" s="2" t="e">
        <v>#N/A</v>
      </c>
      <c r="BE23" s="2" t="e">
        <v>#N/A</v>
      </c>
      <c r="BF23" s="2" t="e">
        <v>#N/A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7</v>
      </c>
      <c r="B24" s="2">
        <v>100</v>
      </c>
      <c r="C24" s="2">
        <v>38</v>
      </c>
      <c r="D24" s="2">
        <v>0</v>
      </c>
      <c r="E24" s="2">
        <v>-1</v>
      </c>
      <c r="F24" s="2">
        <v>-1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2</v>
      </c>
      <c r="P24" s="2">
        <v>2</v>
      </c>
      <c r="Q24" s="2">
        <v>2</v>
      </c>
      <c r="R24" s="2">
        <v>2</v>
      </c>
      <c r="S24" s="2">
        <v>1</v>
      </c>
      <c r="T24" s="2">
        <v>0</v>
      </c>
      <c r="U24" s="2">
        <v>1</v>
      </c>
      <c r="V24" s="2">
        <v>2</v>
      </c>
      <c r="W24" s="2">
        <v>2</v>
      </c>
      <c r="X24" s="2">
        <v>2</v>
      </c>
      <c r="Y24" s="2">
        <v>1</v>
      </c>
      <c r="Z24" s="2">
        <v>2</v>
      </c>
      <c r="AA24" s="2">
        <v>1</v>
      </c>
      <c r="AB24" s="2">
        <v>0</v>
      </c>
      <c r="AC24" s="2">
        <v>-1</v>
      </c>
      <c r="AD24" s="2">
        <v>-1</v>
      </c>
      <c r="AE24" s="2">
        <v>-2</v>
      </c>
      <c r="AF24" s="2">
        <v>-2</v>
      </c>
      <c r="AG24" s="2">
        <v>-1</v>
      </c>
      <c r="AH24" s="2">
        <v>1</v>
      </c>
      <c r="AI24" s="2">
        <v>1</v>
      </c>
      <c r="AJ24" s="2">
        <v>2</v>
      </c>
      <c r="AK24" s="2">
        <v>1</v>
      </c>
      <c r="AL24" s="2">
        <v>1</v>
      </c>
      <c r="AM24" s="2">
        <v>1</v>
      </c>
      <c r="AN24" s="2">
        <v>2</v>
      </c>
      <c r="AO24" s="2">
        <v>1</v>
      </c>
      <c r="AP24" s="2">
        <v>1</v>
      </c>
      <c r="AQ24" s="2" t="e">
        <v>#N/A</v>
      </c>
      <c r="AR24" s="2" t="e">
        <v>#N/A</v>
      </c>
      <c r="AS24" s="2" t="e">
        <v>#N/A</v>
      </c>
      <c r="AT24" s="2" t="e">
        <v>#N/A</v>
      </c>
      <c r="AU24" s="2" t="e">
        <v>#N/A</v>
      </c>
      <c r="AV24" s="2" t="e">
        <v>#N/A</v>
      </c>
      <c r="AW24" s="2" t="e">
        <v>#N/A</v>
      </c>
      <c r="AX24" s="2" t="e">
        <v>#N/A</v>
      </c>
      <c r="AY24" s="2" t="e">
        <v>#N/A</v>
      </c>
      <c r="AZ24" s="2" t="e">
        <v>#N/A</v>
      </c>
      <c r="BA24" s="2" t="e">
        <v>#N/A</v>
      </c>
      <c r="BB24" s="2" t="e">
        <v>#N/A</v>
      </c>
      <c r="BC24" s="2" t="e">
        <v>#N/A</v>
      </c>
      <c r="BD24" s="2" t="e">
        <v>#N/A</v>
      </c>
      <c r="BE24" s="2" t="e">
        <v>#N/A</v>
      </c>
      <c r="BF24" s="2" t="e">
        <v>#N/A</v>
      </c>
      <c r="BG24" s="2" t="e">
        <v>#N/A</v>
      </c>
      <c r="BH24" s="2" t="e">
        <v>#N/A</v>
      </c>
      <c r="BI24" s="2" t="e">
        <v>#N/A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4</v>
      </c>
      <c r="B25" s="2">
        <v>101</v>
      </c>
      <c r="C25" s="2">
        <v>38</v>
      </c>
      <c r="D25" s="2">
        <v>0</v>
      </c>
      <c r="E25" s="2">
        <v>0</v>
      </c>
      <c r="F25" s="2">
        <v>0</v>
      </c>
      <c r="G25" s="2">
        <v>0</v>
      </c>
      <c r="H25" s="2">
        <v>1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-1</v>
      </c>
      <c r="R25" s="2">
        <v>-1</v>
      </c>
      <c r="S25" s="2">
        <v>-2</v>
      </c>
      <c r="T25" s="2">
        <v>-3</v>
      </c>
      <c r="U25" s="2">
        <v>-3</v>
      </c>
      <c r="V25" s="2">
        <v>-2</v>
      </c>
      <c r="W25" s="2">
        <v>-2</v>
      </c>
      <c r="X25" s="2">
        <v>-3</v>
      </c>
      <c r="Y25" s="2">
        <v>-4</v>
      </c>
      <c r="Z25" s="2">
        <v>-5</v>
      </c>
      <c r="AA25" s="2">
        <v>-5</v>
      </c>
      <c r="AB25" s="2">
        <v>-5</v>
      </c>
      <c r="AC25" s="2">
        <v>-5</v>
      </c>
      <c r="AD25" s="2">
        <v>-3</v>
      </c>
      <c r="AE25" s="2">
        <v>-4</v>
      </c>
      <c r="AF25" s="2">
        <v>-2</v>
      </c>
      <c r="AG25" s="2">
        <v>-1</v>
      </c>
      <c r="AH25" s="2">
        <v>0</v>
      </c>
      <c r="AI25" s="2">
        <v>0</v>
      </c>
      <c r="AJ25" s="2">
        <v>0</v>
      </c>
      <c r="AK25" s="2">
        <v>-1</v>
      </c>
      <c r="AL25" s="2">
        <v>0</v>
      </c>
      <c r="AM25" s="2">
        <v>0</v>
      </c>
      <c r="AN25" s="2">
        <v>0</v>
      </c>
      <c r="AO25" s="2">
        <v>1</v>
      </c>
      <c r="AP25" s="2">
        <v>1</v>
      </c>
      <c r="AQ25" s="2" t="e">
        <v>#N/A</v>
      </c>
      <c r="AR25" s="2" t="e">
        <v>#N/A</v>
      </c>
      <c r="AS25" s="2" t="e">
        <v>#N/A</v>
      </c>
      <c r="AT25" s="2" t="e">
        <v>#N/A</v>
      </c>
      <c r="AU25" s="2" t="e">
        <v>#N/A</v>
      </c>
      <c r="AV25" s="2" t="e">
        <v>#N/A</v>
      </c>
      <c r="AW25" s="2" t="e">
        <v>#N/A</v>
      </c>
      <c r="AX25" s="2" t="e">
        <v>#N/A</v>
      </c>
      <c r="AY25" s="2" t="e">
        <v>#N/A</v>
      </c>
      <c r="AZ25" s="2" t="e">
        <v>#N/A</v>
      </c>
      <c r="BA25" s="2" t="e">
        <v>#N/A</v>
      </c>
      <c r="BB25" s="2" t="e">
        <v>#N/A</v>
      </c>
      <c r="BC25" s="2" t="e">
        <v>#N/A</v>
      </c>
      <c r="BD25" s="2" t="e">
        <v>#N/A</v>
      </c>
      <c r="BE25" s="2" t="e">
        <v>#N/A</v>
      </c>
      <c r="BF25" s="2" t="e">
        <v>#N/A</v>
      </c>
      <c r="BG25" s="2" t="e">
        <v>#N/A</v>
      </c>
      <c r="BH25" s="2" t="e">
        <v>#N/A</v>
      </c>
      <c r="BI25" s="2" t="e">
        <v>#N/A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340</v>
      </c>
      <c r="B26" s="2">
        <v>102</v>
      </c>
      <c r="C26" s="2">
        <v>38</v>
      </c>
      <c r="D26" s="2">
        <v>0</v>
      </c>
      <c r="E26" s="2">
        <v>-1</v>
      </c>
      <c r="F26" s="2">
        <v>1</v>
      </c>
      <c r="G26" s="2">
        <v>1</v>
      </c>
      <c r="H26" s="2">
        <v>1</v>
      </c>
      <c r="I26" s="2">
        <v>0</v>
      </c>
      <c r="J26" s="2">
        <v>-1</v>
      </c>
      <c r="K26" s="2">
        <v>0</v>
      </c>
      <c r="L26" s="2">
        <v>0</v>
      </c>
      <c r="M26" s="2">
        <v>0</v>
      </c>
      <c r="N26" s="2">
        <v>0</v>
      </c>
      <c r="O26" s="2">
        <v>1</v>
      </c>
      <c r="P26" s="2">
        <v>1</v>
      </c>
      <c r="Q26" s="2">
        <v>0</v>
      </c>
      <c r="R26" s="2">
        <v>-1</v>
      </c>
      <c r="S26" s="2">
        <v>0</v>
      </c>
      <c r="T26" s="2">
        <v>-1</v>
      </c>
      <c r="U26" s="2">
        <v>-1</v>
      </c>
      <c r="V26" s="2">
        <v>-2</v>
      </c>
      <c r="W26" s="2">
        <v>-2</v>
      </c>
      <c r="X26" s="2">
        <v>-2</v>
      </c>
      <c r="Y26" s="2">
        <v>-3</v>
      </c>
      <c r="Z26" s="2">
        <v>-2</v>
      </c>
      <c r="AA26" s="2">
        <v>-2</v>
      </c>
      <c r="AB26" s="2">
        <v>-2</v>
      </c>
      <c r="AC26" s="2">
        <v>-2</v>
      </c>
      <c r="AD26" s="2">
        <v>-2</v>
      </c>
      <c r="AE26" s="2">
        <v>-2</v>
      </c>
      <c r="AF26" s="2">
        <v>-2</v>
      </c>
      <c r="AG26" s="2">
        <v>-2</v>
      </c>
      <c r="AH26" s="2">
        <v>-1</v>
      </c>
      <c r="AI26" s="2">
        <v>-1</v>
      </c>
      <c r="AJ26" s="2">
        <v>-1</v>
      </c>
      <c r="AK26" s="2">
        <v>-1</v>
      </c>
      <c r="AL26" s="2">
        <v>-2</v>
      </c>
      <c r="AM26" s="2">
        <v>-2</v>
      </c>
      <c r="AN26" s="2">
        <v>-2</v>
      </c>
      <c r="AO26" s="2">
        <v>1</v>
      </c>
      <c r="AP26" s="2">
        <v>1</v>
      </c>
      <c r="AQ26" s="2" t="e">
        <v>#N/A</v>
      </c>
      <c r="AR26" s="2" t="e">
        <v>#N/A</v>
      </c>
      <c r="AS26" s="2" t="e">
        <v>#N/A</v>
      </c>
      <c r="AT26" s="2" t="e">
        <v>#N/A</v>
      </c>
      <c r="AU26" s="2" t="e">
        <v>#N/A</v>
      </c>
      <c r="AV26" s="2" t="e">
        <v>#N/A</v>
      </c>
      <c r="AW26" s="2" t="e">
        <v>#N/A</v>
      </c>
      <c r="AX26" s="2" t="e">
        <v>#N/A</v>
      </c>
      <c r="AY26" s="2" t="e">
        <v>#N/A</v>
      </c>
      <c r="AZ26" s="2" t="e">
        <v>#N/A</v>
      </c>
      <c r="BA26" s="2" t="e">
        <v>#N/A</v>
      </c>
      <c r="BB26" s="2" t="e">
        <v>#N/A</v>
      </c>
      <c r="BC26" s="2" t="e">
        <v>#N/A</v>
      </c>
      <c r="BD26" s="2" t="e">
        <v>#N/A</v>
      </c>
      <c r="BE26" s="2" t="e">
        <v>#N/A</v>
      </c>
      <c r="BF26" s="2" t="e">
        <v>#N/A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200</v>
      </c>
      <c r="B27" s="2">
        <v>103</v>
      </c>
      <c r="C27" s="2">
        <v>38</v>
      </c>
      <c r="D27" s="2">
        <v>0</v>
      </c>
      <c r="E27" s="2">
        <v>-1</v>
      </c>
      <c r="F27" s="2">
        <v>-2</v>
      </c>
      <c r="G27" s="2">
        <v>-3</v>
      </c>
      <c r="H27" s="2">
        <v>-3</v>
      </c>
      <c r="I27" s="2">
        <v>-3</v>
      </c>
      <c r="J27" s="2">
        <v>-2</v>
      </c>
      <c r="K27" s="2">
        <v>-2</v>
      </c>
      <c r="L27" s="2">
        <v>-3</v>
      </c>
      <c r="M27" s="2">
        <v>-1</v>
      </c>
      <c r="N27" s="2">
        <v>-1</v>
      </c>
      <c r="O27" s="2">
        <v>0</v>
      </c>
      <c r="P27" s="2">
        <v>1</v>
      </c>
      <c r="Q27" s="2">
        <v>1</v>
      </c>
      <c r="R27" s="2">
        <v>1</v>
      </c>
      <c r="S27" s="2">
        <v>1</v>
      </c>
      <c r="T27" s="2">
        <v>0</v>
      </c>
      <c r="U27" s="2">
        <v>0</v>
      </c>
      <c r="V27" s="2">
        <v>1</v>
      </c>
      <c r="W27" s="2">
        <v>1</v>
      </c>
      <c r="X27" s="2">
        <v>3</v>
      </c>
      <c r="Y27" s="2">
        <v>3</v>
      </c>
      <c r="Z27" s="2">
        <v>3</v>
      </c>
      <c r="AA27" s="2">
        <v>2</v>
      </c>
      <c r="AB27" s="2">
        <v>2</v>
      </c>
      <c r="AC27" s="2">
        <v>2</v>
      </c>
      <c r="AD27" s="2">
        <v>2</v>
      </c>
      <c r="AE27" s="2">
        <v>3</v>
      </c>
      <c r="AF27" s="2">
        <v>3</v>
      </c>
      <c r="AG27" s="2">
        <v>3</v>
      </c>
      <c r="AH27" s="2">
        <v>4</v>
      </c>
      <c r="AI27" s="2">
        <v>4</v>
      </c>
      <c r="AJ27" s="2">
        <v>4</v>
      </c>
      <c r="AK27" s="2">
        <v>3</v>
      </c>
      <c r="AL27" s="2">
        <v>3</v>
      </c>
      <c r="AM27" s="2">
        <v>3</v>
      </c>
      <c r="AN27" s="2">
        <v>3</v>
      </c>
      <c r="AO27" s="2">
        <v>2</v>
      </c>
      <c r="AP27" s="2">
        <v>2</v>
      </c>
      <c r="AQ27" s="2" t="e">
        <v>#N/A</v>
      </c>
      <c r="AR27" s="2" t="e">
        <v>#N/A</v>
      </c>
      <c r="AS27" s="2" t="e">
        <v>#N/A</v>
      </c>
      <c r="AT27" s="2" t="e">
        <v>#N/A</v>
      </c>
      <c r="AU27" s="2" t="e">
        <v>#N/A</v>
      </c>
      <c r="AV27" s="2" t="e">
        <v>#N/A</v>
      </c>
      <c r="AW27" s="2" t="e">
        <v>#N/A</v>
      </c>
      <c r="AX27" s="2" t="e">
        <v>#N/A</v>
      </c>
      <c r="AY27" s="2" t="e">
        <v>#N/A</v>
      </c>
      <c r="AZ27" s="2" t="e">
        <v>#N/A</v>
      </c>
      <c r="BA27" s="2" t="e">
        <v>#N/A</v>
      </c>
      <c r="BB27" s="2" t="e">
        <v>#N/A</v>
      </c>
      <c r="BC27" s="2" t="e">
        <v>#N/A</v>
      </c>
      <c r="BD27" s="2" t="e">
        <v>#N/A</v>
      </c>
      <c r="BE27" s="2" t="e">
        <v>#N/A</v>
      </c>
      <c r="BF27" s="2" t="e">
        <v>#N/A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699</v>
      </c>
      <c r="B28" s="2">
        <v>104</v>
      </c>
      <c r="C28" s="2">
        <v>38</v>
      </c>
      <c r="D28" s="2">
        <v>0</v>
      </c>
      <c r="E28" s="2">
        <v>-1</v>
      </c>
      <c r="F28" s="2">
        <v>0</v>
      </c>
      <c r="G28" s="2">
        <v>0</v>
      </c>
      <c r="H28" s="2">
        <v>-1</v>
      </c>
      <c r="I28" s="2">
        <v>-2</v>
      </c>
      <c r="J28" s="2">
        <v>-2</v>
      </c>
      <c r="K28" s="2">
        <v>-2</v>
      </c>
      <c r="L28" s="2">
        <v>-3</v>
      </c>
      <c r="M28" s="2">
        <v>-3</v>
      </c>
      <c r="N28" s="2">
        <v>-2</v>
      </c>
      <c r="O28" s="2">
        <v>-1</v>
      </c>
      <c r="P28" s="2">
        <v>0</v>
      </c>
      <c r="Q28" s="2">
        <v>1</v>
      </c>
      <c r="R28" s="2">
        <v>0</v>
      </c>
      <c r="S28" s="2">
        <v>2</v>
      </c>
      <c r="T28" s="2">
        <v>1</v>
      </c>
      <c r="U28" s="2">
        <v>1</v>
      </c>
      <c r="V28" s="2">
        <v>0</v>
      </c>
      <c r="W28" s="2">
        <v>0</v>
      </c>
      <c r="X28" s="2">
        <v>1</v>
      </c>
      <c r="Y28" s="2">
        <v>1</v>
      </c>
      <c r="Z28" s="2">
        <v>0</v>
      </c>
      <c r="AA28" s="2">
        <v>-1</v>
      </c>
      <c r="AB28" s="2">
        <v>-2</v>
      </c>
      <c r="AC28" s="2">
        <v>-3</v>
      </c>
      <c r="AD28" s="2">
        <v>-3</v>
      </c>
      <c r="AE28" s="2">
        <v>-3</v>
      </c>
      <c r="AF28" s="2">
        <v>-3</v>
      </c>
      <c r="AG28" s="2">
        <v>-3</v>
      </c>
      <c r="AH28" s="2">
        <v>-1</v>
      </c>
      <c r="AI28" s="2">
        <v>1</v>
      </c>
      <c r="AJ28" s="2">
        <v>0</v>
      </c>
      <c r="AK28" s="2">
        <v>0</v>
      </c>
      <c r="AL28" s="2">
        <v>2</v>
      </c>
      <c r="AM28" s="2">
        <v>2</v>
      </c>
      <c r="AN28" s="2">
        <v>2</v>
      </c>
      <c r="AO28" s="2">
        <v>2</v>
      </c>
      <c r="AP28" s="2">
        <v>2</v>
      </c>
      <c r="AQ28" s="2" t="e">
        <v>#N/A</v>
      </c>
      <c r="AR28" s="2" t="e">
        <v>#N/A</v>
      </c>
      <c r="AS28" s="2" t="e">
        <v>#N/A</v>
      </c>
      <c r="AT28" s="2" t="e">
        <v>#N/A</v>
      </c>
      <c r="AU28" s="2" t="e">
        <v>#N/A</v>
      </c>
      <c r="AV28" s="2" t="e">
        <v>#N/A</v>
      </c>
      <c r="AW28" s="2" t="e">
        <v>#N/A</v>
      </c>
      <c r="AX28" s="2" t="e">
        <v>#N/A</v>
      </c>
      <c r="AY28" s="2" t="e">
        <v>#N/A</v>
      </c>
      <c r="AZ28" s="2" t="e">
        <v>#N/A</v>
      </c>
      <c r="BA28" s="2" t="e">
        <v>#N/A</v>
      </c>
      <c r="BB28" s="2" t="e">
        <v>#N/A</v>
      </c>
      <c r="BC28" s="2" t="e">
        <v>#N/A</v>
      </c>
      <c r="BD28" s="2" t="e">
        <v>#N/A</v>
      </c>
      <c r="BE28" s="2" t="e">
        <v>#N/A</v>
      </c>
      <c r="BF28" s="2" t="e">
        <v>#N/A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197</v>
      </c>
      <c r="B29" s="2">
        <v>105</v>
      </c>
      <c r="C29" s="2">
        <v>38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1</v>
      </c>
      <c r="L29" s="2">
        <v>1</v>
      </c>
      <c r="M29" s="2">
        <v>1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-1</v>
      </c>
      <c r="U29" s="2">
        <v>-1</v>
      </c>
      <c r="V29" s="2">
        <v>1</v>
      </c>
      <c r="W29" s="2">
        <v>2</v>
      </c>
      <c r="X29" s="2">
        <v>2</v>
      </c>
      <c r="Y29" s="2">
        <v>2</v>
      </c>
      <c r="Z29" s="2">
        <v>2</v>
      </c>
      <c r="AA29" s="2">
        <v>2</v>
      </c>
      <c r="AB29" s="2">
        <v>2</v>
      </c>
      <c r="AC29" s="2">
        <v>2</v>
      </c>
      <c r="AD29" s="2">
        <v>2</v>
      </c>
      <c r="AE29" s="2">
        <v>1</v>
      </c>
      <c r="AF29" s="2">
        <v>1</v>
      </c>
      <c r="AG29" s="2">
        <v>1</v>
      </c>
      <c r="AH29" s="2">
        <v>2</v>
      </c>
      <c r="AI29" s="2">
        <v>1</v>
      </c>
      <c r="AJ29" s="2">
        <v>1</v>
      </c>
      <c r="AK29" s="2">
        <v>1</v>
      </c>
      <c r="AL29" s="2">
        <v>1</v>
      </c>
      <c r="AM29" s="2">
        <v>1</v>
      </c>
      <c r="AN29" s="2">
        <v>2</v>
      </c>
      <c r="AO29" s="2">
        <v>3</v>
      </c>
      <c r="AP29" s="2">
        <v>4</v>
      </c>
      <c r="AQ29" s="2" t="e">
        <v>#N/A</v>
      </c>
      <c r="AR29" s="2" t="e">
        <v>#N/A</v>
      </c>
      <c r="AS29" s="2" t="e">
        <v>#N/A</v>
      </c>
      <c r="AT29" s="2" t="e">
        <v>#N/A</v>
      </c>
      <c r="AU29" s="2" t="e">
        <v>#N/A</v>
      </c>
      <c r="AV29" s="2" t="e">
        <v>#N/A</v>
      </c>
      <c r="AW29" s="2" t="e">
        <v>#N/A</v>
      </c>
      <c r="AX29" s="2" t="e">
        <v>#N/A</v>
      </c>
      <c r="AY29" s="2" t="e">
        <v>#N/A</v>
      </c>
      <c r="AZ29" s="2" t="e">
        <v>#N/A</v>
      </c>
      <c r="BA29" s="2" t="e">
        <v>#N/A</v>
      </c>
      <c r="BB29" s="2" t="e">
        <v>#N/A</v>
      </c>
      <c r="BC29" s="2" t="e">
        <v>#N/A</v>
      </c>
      <c r="BD29" s="2" t="e">
        <v>#N/A</v>
      </c>
      <c r="BE29" s="2" t="e">
        <v>#N/A</v>
      </c>
      <c r="BF29" s="2" t="e">
        <v>#N/A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700</v>
      </c>
      <c r="B30" s="2">
        <v>106</v>
      </c>
      <c r="C30" s="2">
        <v>38</v>
      </c>
      <c r="D30" s="2">
        <v>0</v>
      </c>
      <c r="E30" s="2">
        <v>0</v>
      </c>
      <c r="F30" s="2">
        <v>0</v>
      </c>
      <c r="G30" s="2">
        <v>1</v>
      </c>
      <c r="H30" s="2">
        <v>1</v>
      </c>
      <c r="I30" s="2">
        <v>0</v>
      </c>
      <c r="J30" s="2">
        <v>-1</v>
      </c>
      <c r="K30" s="2">
        <v>0</v>
      </c>
      <c r="L30" s="2">
        <v>1</v>
      </c>
      <c r="M30" s="2">
        <v>1</v>
      </c>
      <c r="N30" s="2">
        <v>1</v>
      </c>
      <c r="O30" s="2">
        <v>1</v>
      </c>
      <c r="P30" s="2">
        <v>1</v>
      </c>
      <c r="Q30" s="2">
        <v>0</v>
      </c>
      <c r="R30" s="2">
        <v>0</v>
      </c>
      <c r="S30" s="2">
        <v>-1</v>
      </c>
      <c r="T30" s="2">
        <v>-1</v>
      </c>
      <c r="U30" s="2">
        <v>-1</v>
      </c>
      <c r="V30" s="2">
        <v>-1</v>
      </c>
      <c r="W30" s="2">
        <v>-1</v>
      </c>
      <c r="X30" s="2">
        <v>-2</v>
      </c>
      <c r="Y30" s="2">
        <v>-2</v>
      </c>
      <c r="Z30" s="2">
        <v>0</v>
      </c>
      <c r="AA30" s="2">
        <v>0</v>
      </c>
      <c r="AB30" s="2">
        <v>0</v>
      </c>
      <c r="AC30" s="2">
        <v>0</v>
      </c>
      <c r="AD30" s="2">
        <v>1</v>
      </c>
      <c r="AE30" s="2">
        <v>1</v>
      </c>
      <c r="AF30" s="2">
        <v>1</v>
      </c>
      <c r="AG30" s="2">
        <v>2</v>
      </c>
      <c r="AH30" s="2">
        <v>3</v>
      </c>
      <c r="AI30" s="2">
        <v>3</v>
      </c>
      <c r="AJ30" s="2">
        <v>2</v>
      </c>
      <c r="AK30" s="2">
        <v>2</v>
      </c>
      <c r="AL30" s="2">
        <v>2</v>
      </c>
      <c r="AM30" s="2">
        <v>2</v>
      </c>
      <c r="AN30" s="2">
        <v>2</v>
      </c>
      <c r="AO30" s="2">
        <v>3</v>
      </c>
      <c r="AP30" s="2">
        <v>4</v>
      </c>
      <c r="AQ30" s="2" t="e">
        <v>#N/A</v>
      </c>
      <c r="AR30" s="2" t="e">
        <v>#N/A</v>
      </c>
      <c r="AS30" s="2" t="e">
        <v>#N/A</v>
      </c>
      <c r="AT30" s="2" t="e">
        <v>#N/A</v>
      </c>
      <c r="AU30" s="2" t="e">
        <v>#N/A</v>
      </c>
      <c r="AV30" s="2" t="e">
        <v>#N/A</v>
      </c>
      <c r="AW30" s="2" t="e">
        <v>#N/A</v>
      </c>
      <c r="AX30" s="2" t="e">
        <v>#N/A</v>
      </c>
      <c r="AY30" s="2" t="e">
        <v>#N/A</v>
      </c>
      <c r="AZ30" s="2" t="e">
        <v>#N/A</v>
      </c>
      <c r="BA30" s="2" t="e">
        <v>#N/A</v>
      </c>
      <c r="BB30" s="2" t="e">
        <v>#N/A</v>
      </c>
      <c r="BC30" s="2" t="e">
        <v>#N/A</v>
      </c>
      <c r="BD30" s="2" t="e">
        <v>#N/A</v>
      </c>
      <c r="BE30" s="2" t="e">
        <v>#N/A</v>
      </c>
      <c r="BF30" s="2" t="e">
        <v>#N/A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3</v>
      </c>
      <c r="B31" s="2">
        <v>107</v>
      </c>
      <c r="C31" s="2">
        <v>38</v>
      </c>
      <c r="D31" s="2">
        <v>0</v>
      </c>
      <c r="E31" s="2">
        <v>-1</v>
      </c>
      <c r="F31" s="2">
        <v>-1</v>
      </c>
      <c r="G31" s="2">
        <v>0</v>
      </c>
      <c r="H31" s="2">
        <v>0</v>
      </c>
      <c r="I31" s="2">
        <v>0</v>
      </c>
      <c r="J31" s="2">
        <v>0</v>
      </c>
      <c r="K31" s="2">
        <v>2</v>
      </c>
      <c r="L31" s="2">
        <v>1</v>
      </c>
      <c r="M31" s="2">
        <v>1</v>
      </c>
      <c r="N31" s="2">
        <v>0</v>
      </c>
      <c r="O31" s="2">
        <v>1</v>
      </c>
      <c r="P31" s="2">
        <v>0</v>
      </c>
      <c r="Q31" s="2">
        <v>-1</v>
      </c>
      <c r="R31" s="2">
        <v>-1</v>
      </c>
      <c r="S31" s="2">
        <v>-2</v>
      </c>
      <c r="T31" s="2">
        <v>-3</v>
      </c>
      <c r="U31" s="2">
        <v>-3</v>
      </c>
      <c r="V31" s="2">
        <v>-4</v>
      </c>
      <c r="W31" s="2">
        <v>-2</v>
      </c>
      <c r="X31" s="2">
        <v>-3</v>
      </c>
      <c r="Y31" s="2">
        <v>-3</v>
      </c>
      <c r="Z31" s="2">
        <v>-2</v>
      </c>
      <c r="AA31" s="2">
        <v>0</v>
      </c>
      <c r="AB31" s="2">
        <v>1</v>
      </c>
      <c r="AC31" s="2">
        <v>1</v>
      </c>
      <c r="AD31" s="2">
        <v>1</v>
      </c>
      <c r="AE31" s="2">
        <v>1</v>
      </c>
      <c r="AF31" s="2">
        <v>1</v>
      </c>
      <c r="AG31" s="2">
        <v>1</v>
      </c>
      <c r="AH31" s="2">
        <v>4</v>
      </c>
      <c r="AI31" s="2">
        <v>4</v>
      </c>
      <c r="AJ31" s="2">
        <v>5</v>
      </c>
      <c r="AK31" s="2">
        <v>4</v>
      </c>
      <c r="AL31" s="2">
        <v>4</v>
      </c>
      <c r="AM31" s="2">
        <v>3</v>
      </c>
      <c r="AN31" s="2">
        <v>4</v>
      </c>
      <c r="AO31" s="2">
        <v>3</v>
      </c>
      <c r="AP31" s="2">
        <v>4</v>
      </c>
      <c r="AQ31" s="2" t="e">
        <v>#N/A</v>
      </c>
      <c r="AR31" s="2" t="e">
        <v>#N/A</v>
      </c>
      <c r="AS31" s="2" t="e">
        <v>#N/A</v>
      </c>
      <c r="AT31" s="2" t="e">
        <v>#N/A</v>
      </c>
      <c r="AU31" s="2" t="e">
        <v>#N/A</v>
      </c>
      <c r="AV31" s="2" t="e">
        <v>#N/A</v>
      </c>
      <c r="AW31" s="2" t="e">
        <v>#N/A</v>
      </c>
      <c r="AX31" s="2" t="e">
        <v>#N/A</v>
      </c>
      <c r="AY31" s="2" t="e">
        <v>#N/A</v>
      </c>
      <c r="AZ31" s="2" t="e">
        <v>#N/A</v>
      </c>
      <c r="BA31" s="2" t="e">
        <v>#N/A</v>
      </c>
      <c r="BB31" s="2" t="e">
        <v>#N/A</v>
      </c>
      <c r="BC31" s="2" t="e">
        <v>#N/A</v>
      </c>
      <c r="BD31" s="2" t="e">
        <v>#N/A</v>
      </c>
      <c r="BE31" s="2" t="e">
        <v>#N/A</v>
      </c>
      <c r="BF31" s="2" t="e">
        <v>#N/A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701</v>
      </c>
      <c r="B32" s="2">
        <v>108</v>
      </c>
      <c r="C32" s="2">
        <v>38</v>
      </c>
      <c r="D32" s="2">
        <v>0</v>
      </c>
      <c r="E32" s="2">
        <v>-1</v>
      </c>
      <c r="F32" s="2">
        <v>-1</v>
      </c>
      <c r="G32" s="2">
        <v>-2</v>
      </c>
      <c r="H32" s="2">
        <v>-3</v>
      </c>
      <c r="I32" s="2">
        <v>-3</v>
      </c>
      <c r="J32" s="2">
        <v>-3</v>
      </c>
      <c r="K32" s="2">
        <v>-3</v>
      </c>
      <c r="L32" s="2">
        <v>-2</v>
      </c>
      <c r="M32" s="2">
        <v>-2</v>
      </c>
      <c r="N32" s="2">
        <v>-2</v>
      </c>
      <c r="O32" s="2">
        <v>-2</v>
      </c>
      <c r="P32" s="2">
        <v>-1</v>
      </c>
      <c r="Q32" s="2">
        <v>-2</v>
      </c>
      <c r="R32" s="2">
        <v>-3</v>
      </c>
      <c r="S32" s="2">
        <v>-3</v>
      </c>
      <c r="T32" s="2">
        <v>-3</v>
      </c>
      <c r="U32" s="2">
        <v>-3</v>
      </c>
      <c r="V32" s="2">
        <v>-4</v>
      </c>
      <c r="W32" s="2">
        <v>-4</v>
      </c>
      <c r="X32" s="2">
        <v>-4</v>
      </c>
      <c r="Y32" s="2">
        <v>-5</v>
      </c>
      <c r="Z32" s="2">
        <v>-3</v>
      </c>
      <c r="AA32" s="2">
        <v>-3</v>
      </c>
      <c r="AB32" s="2">
        <v>-3</v>
      </c>
      <c r="AC32" s="2">
        <v>-2</v>
      </c>
      <c r="AD32" s="2">
        <v>-1</v>
      </c>
      <c r="AE32" s="2">
        <v>-1</v>
      </c>
      <c r="AF32" s="2">
        <v>-1</v>
      </c>
      <c r="AG32" s="2">
        <v>-1</v>
      </c>
      <c r="AH32" s="2">
        <v>1</v>
      </c>
      <c r="AI32" s="2">
        <v>3</v>
      </c>
      <c r="AJ32" s="2">
        <v>2</v>
      </c>
      <c r="AK32" s="2">
        <v>3</v>
      </c>
      <c r="AL32" s="2">
        <v>2</v>
      </c>
      <c r="AM32" s="2">
        <v>2</v>
      </c>
      <c r="AN32" s="2">
        <v>2</v>
      </c>
      <c r="AO32" s="2">
        <v>4</v>
      </c>
      <c r="AP32" s="2">
        <v>4</v>
      </c>
      <c r="AQ32" s="2" t="e">
        <v>#N/A</v>
      </c>
      <c r="AR32" s="2" t="e">
        <v>#N/A</v>
      </c>
      <c r="AS32" s="2" t="e">
        <v>#N/A</v>
      </c>
      <c r="AT32" s="2" t="e">
        <v>#N/A</v>
      </c>
      <c r="AU32" s="2" t="e">
        <v>#N/A</v>
      </c>
      <c r="AV32" s="2" t="e">
        <v>#N/A</v>
      </c>
      <c r="AW32" s="2" t="e">
        <v>#N/A</v>
      </c>
      <c r="AX32" s="2" t="e">
        <v>#N/A</v>
      </c>
      <c r="AY32" s="2" t="e">
        <v>#N/A</v>
      </c>
      <c r="AZ32" s="2" t="e">
        <v>#N/A</v>
      </c>
      <c r="BA32" s="2" t="e">
        <v>#N/A</v>
      </c>
      <c r="BB32" s="2" t="e">
        <v>#N/A</v>
      </c>
      <c r="BC32" s="2" t="e">
        <v>#N/A</v>
      </c>
      <c r="BD32" s="2" t="e">
        <v>#N/A</v>
      </c>
      <c r="BE32" s="2" t="e">
        <v>#N/A</v>
      </c>
      <c r="BF32" s="2" t="e">
        <v>#N/A</v>
      </c>
      <c r="BG32" s="2" t="e">
        <v>#N/A</v>
      </c>
      <c r="BH32" s="2" t="e">
        <v>#N/A</v>
      </c>
      <c r="BI32" s="2" t="e">
        <v>#N/A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341</v>
      </c>
      <c r="B33" s="2">
        <v>109</v>
      </c>
      <c r="C33" s="2">
        <v>38</v>
      </c>
      <c r="D33" s="2">
        <v>0</v>
      </c>
      <c r="E33" s="2">
        <v>0</v>
      </c>
      <c r="F33" s="2">
        <v>0</v>
      </c>
      <c r="G33" s="2">
        <v>0</v>
      </c>
      <c r="H33" s="2">
        <v>1</v>
      </c>
      <c r="I33" s="2">
        <v>2</v>
      </c>
      <c r="J33" s="2">
        <v>2</v>
      </c>
      <c r="K33" s="2">
        <v>2</v>
      </c>
      <c r="L33" s="2">
        <v>1</v>
      </c>
      <c r="M33" s="2">
        <v>2</v>
      </c>
      <c r="N33" s="2">
        <v>2</v>
      </c>
      <c r="O33" s="2">
        <v>2</v>
      </c>
      <c r="P33" s="2">
        <v>3</v>
      </c>
      <c r="Q33" s="2">
        <v>3</v>
      </c>
      <c r="R33" s="2">
        <v>4</v>
      </c>
      <c r="S33" s="2">
        <v>3</v>
      </c>
      <c r="T33" s="2">
        <v>3</v>
      </c>
      <c r="U33" s="2">
        <v>2</v>
      </c>
      <c r="V33" s="2">
        <v>1</v>
      </c>
      <c r="W33" s="2">
        <v>2</v>
      </c>
      <c r="X33" s="2">
        <v>1</v>
      </c>
      <c r="Y33" s="2">
        <v>1</v>
      </c>
      <c r="Z33" s="2">
        <v>1</v>
      </c>
      <c r="AA33" s="2">
        <v>0</v>
      </c>
      <c r="AB33" s="2">
        <v>1</v>
      </c>
      <c r="AC33" s="2">
        <v>2</v>
      </c>
      <c r="AD33" s="2">
        <v>2</v>
      </c>
      <c r="AE33" s="2">
        <v>2</v>
      </c>
      <c r="AF33" s="2">
        <v>2</v>
      </c>
      <c r="AG33" s="2">
        <v>1</v>
      </c>
      <c r="AH33" s="2">
        <v>2</v>
      </c>
      <c r="AI33" s="2">
        <v>3</v>
      </c>
      <c r="AJ33" s="2">
        <v>3</v>
      </c>
      <c r="AK33" s="2">
        <v>3</v>
      </c>
      <c r="AL33" s="2">
        <v>3</v>
      </c>
      <c r="AM33" s="2">
        <v>2</v>
      </c>
      <c r="AN33" s="2">
        <v>3</v>
      </c>
      <c r="AO33" s="2">
        <v>5</v>
      </c>
      <c r="AP33" s="2">
        <v>5</v>
      </c>
      <c r="AQ33" s="2" t="e">
        <v>#N/A</v>
      </c>
      <c r="AR33" s="2" t="e">
        <v>#N/A</v>
      </c>
      <c r="AS33" s="2" t="e">
        <v>#N/A</v>
      </c>
      <c r="AT33" s="2" t="e">
        <v>#N/A</v>
      </c>
      <c r="AU33" s="2" t="e">
        <v>#N/A</v>
      </c>
      <c r="AV33" s="2" t="e">
        <v>#N/A</v>
      </c>
      <c r="AW33" s="2" t="e">
        <v>#N/A</v>
      </c>
      <c r="AX33" s="2" t="e">
        <v>#N/A</v>
      </c>
      <c r="AY33" s="2" t="e">
        <v>#N/A</v>
      </c>
      <c r="AZ33" s="2" t="e">
        <v>#N/A</v>
      </c>
      <c r="BA33" s="2" t="e">
        <v>#N/A</v>
      </c>
      <c r="BB33" s="2" t="e">
        <v>#N/A</v>
      </c>
      <c r="BC33" s="2" t="e">
        <v>#N/A</v>
      </c>
      <c r="BD33" s="2" t="e">
        <v>#N/A</v>
      </c>
      <c r="BE33" s="2" t="e">
        <v>#N/A</v>
      </c>
      <c r="BF33" s="2" t="e">
        <v>#N/A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702</v>
      </c>
      <c r="B34" s="2">
        <v>110</v>
      </c>
      <c r="C34" s="2">
        <v>38</v>
      </c>
      <c r="D34" s="2">
        <v>0</v>
      </c>
      <c r="E34" s="2">
        <v>0</v>
      </c>
      <c r="F34" s="2">
        <v>0</v>
      </c>
      <c r="G34" s="2">
        <v>0</v>
      </c>
      <c r="H34" s="2">
        <v>1</v>
      </c>
      <c r="I34" s="2">
        <v>1</v>
      </c>
      <c r="J34" s="2">
        <v>1</v>
      </c>
      <c r="K34" s="2">
        <v>1</v>
      </c>
      <c r="L34" s="2">
        <v>1</v>
      </c>
      <c r="M34" s="2">
        <v>1</v>
      </c>
      <c r="N34" s="2">
        <v>1</v>
      </c>
      <c r="O34" s="2">
        <v>2</v>
      </c>
      <c r="P34" s="2">
        <v>3</v>
      </c>
      <c r="Q34" s="2">
        <v>3</v>
      </c>
      <c r="R34" s="2">
        <v>3</v>
      </c>
      <c r="S34" s="2">
        <v>3</v>
      </c>
      <c r="T34" s="2">
        <v>3</v>
      </c>
      <c r="U34" s="2">
        <v>3</v>
      </c>
      <c r="V34" s="2">
        <v>4</v>
      </c>
      <c r="W34" s="2">
        <v>4</v>
      </c>
      <c r="X34" s="2">
        <v>4</v>
      </c>
      <c r="Y34" s="2">
        <v>4</v>
      </c>
      <c r="Z34" s="2">
        <v>4</v>
      </c>
      <c r="AA34" s="2">
        <v>5</v>
      </c>
      <c r="AB34" s="2">
        <v>4</v>
      </c>
      <c r="AC34" s="2">
        <v>5</v>
      </c>
      <c r="AD34" s="2">
        <v>5</v>
      </c>
      <c r="AE34" s="2">
        <v>5</v>
      </c>
      <c r="AF34" s="2">
        <v>6</v>
      </c>
      <c r="AG34" s="2">
        <v>6</v>
      </c>
      <c r="AH34" s="2">
        <v>8</v>
      </c>
      <c r="AI34" s="2">
        <v>7</v>
      </c>
      <c r="AJ34" s="2">
        <v>7</v>
      </c>
      <c r="AK34" s="2">
        <v>7</v>
      </c>
      <c r="AL34" s="2">
        <v>7</v>
      </c>
      <c r="AM34" s="2">
        <v>6</v>
      </c>
      <c r="AN34" s="2">
        <v>6</v>
      </c>
      <c r="AO34" s="2">
        <v>5</v>
      </c>
      <c r="AP34" s="2">
        <v>6</v>
      </c>
      <c r="AQ34" s="2" t="e">
        <v>#N/A</v>
      </c>
      <c r="AR34" s="2" t="e">
        <v>#N/A</v>
      </c>
      <c r="AS34" s="2" t="e">
        <v>#N/A</v>
      </c>
      <c r="AT34" s="2" t="e">
        <v>#N/A</v>
      </c>
      <c r="AU34" s="2" t="e">
        <v>#N/A</v>
      </c>
      <c r="AV34" s="2" t="e">
        <v>#N/A</v>
      </c>
      <c r="AW34" s="2" t="e">
        <v>#N/A</v>
      </c>
      <c r="AX34" s="2" t="e">
        <v>#N/A</v>
      </c>
      <c r="AY34" s="2" t="e">
        <v>#N/A</v>
      </c>
      <c r="AZ34" s="2" t="e">
        <v>#N/A</v>
      </c>
      <c r="BA34" s="2" t="e">
        <v>#N/A</v>
      </c>
      <c r="BB34" s="2" t="e">
        <v>#N/A</v>
      </c>
      <c r="BC34" s="2" t="e">
        <v>#N/A</v>
      </c>
      <c r="BD34" s="2" t="e">
        <v>#N/A</v>
      </c>
      <c r="BE34" s="2" t="e">
        <v>#N/A</v>
      </c>
      <c r="BF34" s="2" t="e">
        <v>#N/A</v>
      </c>
      <c r="BG34" s="2" t="e">
        <v>#N/A</v>
      </c>
      <c r="BH34" s="2" t="e">
        <v>#N/A</v>
      </c>
      <c r="BI34" s="2" t="e">
        <v>#N/A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11</v>
      </c>
      <c r="B35" s="2">
        <v>111</v>
      </c>
      <c r="C35" s="2">
        <v>38</v>
      </c>
      <c r="D35" s="2">
        <v>0</v>
      </c>
      <c r="E35" s="2">
        <v>2</v>
      </c>
      <c r="F35" s="2">
        <v>3</v>
      </c>
      <c r="G35" s="2">
        <v>3</v>
      </c>
      <c r="H35" s="2">
        <v>3</v>
      </c>
      <c r="I35" s="2">
        <v>4</v>
      </c>
      <c r="J35" s="2">
        <v>3</v>
      </c>
      <c r="K35" s="2">
        <v>3</v>
      </c>
      <c r="L35" s="2">
        <v>3</v>
      </c>
      <c r="M35" s="2">
        <v>4</v>
      </c>
      <c r="N35" s="2">
        <v>4</v>
      </c>
      <c r="O35" s="2">
        <v>5</v>
      </c>
      <c r="P35" s="2">
        <v>6</v>
      </c>
      <c r="Q35" s="2">
        <v>6</v>
      </c>
      <c r="R35" s="2">
        <v>6</v>
      </c>
      <c r="S35" s="2">
        <v>6</v>
      </c>
      <c r="T35" s="2">
        <v>5</v>
      </c>
      <c r="U35" s="2">
        <v>4</v>
      </c>
      <c r="V35" s="2">
        <v>3</v>
      </c>
      <c r="W35" s="2">
        <v>3</v>
      </c>
      <c r="X35" s="2">
        <v>4</v>
      </c>
      <c r="Y35" s="2">
        <v>4</v>
      </c>
      <c r="Z35" s="2">
        <v>4</v>
      </c>
      <c r="AA35" s="2">
        <v>5</v>
      </c>
      <c r="AB35" s="2">
        <v>5</v>
      </c>
      <c r="AC35" s="2">
        <v>5</v>
      </c>
      <c r="AD35" s="2">
        <v>4</v>
      </c>
      <c r="AE35" s="2">
        <v>5</v>
      </c>
      <c r="AF35" s="2">
        <v>5</v>
      </c>
      <c r="AG35" s="2">
        <v>5</v>
      </c>
      <c r="AH35" s="2">
        <v>7</v>
      </c>
      <c r="AI35" s="2">
        <v>7</v>
      </c>
      <c r="AJ35" s="2">
        <v>8</v>
      </c>
      <c r="AK35" s="2">
        <v>7</v>
      </c>
      <c r="AL35" s="2">
        <v>7</v>
      </c>
      <c r="AM35" s="2">
        <v>6</v>
      </c>
      <c r="AN35" s="2">
        <v>6</v>
      </c>
      <c r="AO35" s="2">
        <v>5</v>
      </c>
      <c r="AP35" s="2">
        <v>6</v>
      </c>
      <c r="AQ35" s="2" t="e">
        <v>#N/A</v>
      </c>
      <c r="AR35" s="2" t="e">
        <v>#N/A</v>
      </c>
      <c r="AS35" s="2" t="e">
        <v>#N/A</v>
      </c>
      <c r="AT35" s="2" t="e">
        <v>#N/A</v>
      </c>
      <c r="AU35" s="2" t="e">
        <v>#N/A</v>
      </c>
      <c r="AV35" s="2" t="e">
        <v>#N/A</v>
      </c>
      <c r="AW35" s="2" t="e">
        <v>#N/A</v>
      </c>
      <c r="AX35" s="2" t="e">
        <v>#N/A</v>
      </c>
      <c r="AY35" s="2" t="e">
        <v>#N/A</v>
      </c>
      <c r="AZ35" s="2" t="e">
        <v>#N/A</v>
      </c>
      <c r="BA35" s="2" t="e">
        <v>#N/A</v>
      </c>
      <c r="BB35" s="2" t="e">
        <v>#N/A</v>
      </c>
      <c r="BC35" s="2" t="e">
        <v>#N/A</v>
      </c>
      <c r="BD35" s="2" t="e">
        <v>#N/A</v>
      </c>
      <c r="BE35" s="2" t="e">
        <v>#N/A</v>
      </c>
      <c r="BF35" s="2" t="e">
        <v>#N/A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458</v>
      </c>
      <c r="B36" s="2">
        <v>112</v>
      </c>
      <c r="C36" s="2">
        <v>38</v>
      </c>
      <c r="D36" s="2">
        <v>0</v>
      </c>
      <c r="E36" s="2">
        <v>0</v>
      </c>
      <c r="F36" s="2">
        <v>0</v>
      </c>
      <c r="G36" s="2">
        <v>0</v>
      </c>
      <c r="H36" s="2">
        <v>1</v>
      </c>
      <c r="I36" s="2">
        <v>1</v>
      </c>
      <c r="J36" s="2">
        <v>1</v>
      </c>
      <c r="K36" s="2">
        <v>1</v>
      </c>
      <c r="L36" s="2">
        <v>1</v>
      </c>
      <c r="M36" s="2">
        <v>0</v>
      </c>
      <c r="N36" s="2">
        <v>-1</v>
      </c>
      <c r="O36" s="2">
        <v>-1</v>
      </c>
      <c r="P36" s="2">
        <v>-1</v>
      </c>
      <c r="Q36" s="2">
        <v>0</v>
      </c>
      <c r="R36" s="2">
        <v>0</v>
      </c>
      <c r="S36" s="2">
        <v>0</v>
      </c>
      <c r="T36" s="2">
        <v>-1</v>
      </c>
      <c r="U36" s="2">
        <v>-1</v>
      </c>
      <c r="V36" s="2">
        <v>2</v>
      </c>
      <c r="W36" s="2">
        <v>2</v>
      </c>
      <c r="X36" s="2">
        <v>3</v>
      </c>
      <c r="Y36" s="2">
        <v>3</v>
      </c>
      <c r="Z36" s="2">
        <v>2</v>
      </c>
      <c r="AA36" s="2">
        <v>2</v>
      </c>
      <c r="AB36" s="2">
        <v>2</v>
      </c>
      <c r="AC36" s="2">
        <v>1</v>
      </c>
      <c r="AD36" s="2">
        <v>1</v>
      </c>
      <c r="AE36" s="2">
        <v>1</v>
      </c>
      <c r="AF36" s="2">
        <v>2</v>
      </c>
      <c r="AG36" s="2">
        <v>2</v>
      </c>
      <c r="AH36" s="2">
        <v>3</v>
      </c>
      <c r="AI36" s="2">
        <v>4</v>
      </c>
      <c r="AJ36" s="2">
        <v>6</v>
      </c>
      <c r="AK36" s="2">
        <v>6</v>
      </c>
      <c r="AL36" s="2">
        <v>7</v>
      </c>
      <c r="AM36" s="2">
        <v>6</v>
      </c>
      <c r="AN36" s="2">
        <v>6</v>
      </c>
      <c r="AO36" s="2">
        <v>5</v>
      </c>
      <c r="AP36" s="2">
        <v>6</v>
      </c>
      <c r="AQ36" s="2" t="e">
        <v>#N/A</v>
      </c>
      <c r="AR36" s="2" t="e">
        <v>#N/A</v>
      </c>
      <c r="AS36" s="2" t="e">
        <v>#N/A</v>
      </c>
      <c r="AT36" s="2" t="e">
        <v>#N/A</v>
      </c>
      <c r="AU36" s="2" t="e">
        <v>#N/A</v>
      </c>
      <c r="AV36" s="2" t="e">
        <v>#N/A</v>
      </c>
      <c r="AW36" s="2" t="e">
        <v>#N/A</v>
      </c>
      <c r="AX36" s="2" t="e">
        <v>#N/A</v>
      </c>
      <c r="AY36" s="2" t="e">
        <v>#N/A</v>
      </c>
      <c r="AZ36" s="2" t="e">
        <v>#N/A</v>
      </c>
      <c r="BA36" s="2" t="e">
        <v>#N/A</v>
      </c>
      <c r="BB36" s="2" t="e">
        <v>#N/A</v>
      </c>
      <c r="BC36" s="2" t="e">
        <v>#N/A</v>
      </c>
      <c r="BD36" s="2" t="e">
        <v>#N/A</v>
      </c>
      <c r="BE36" s="2" t="e">
        <v>#N/A</v>
      </c>
      <c r="BF36" s="2" t="e">
        <v>#N/A</v>
      </c>
      <c r="BG36" s="2" t="e">
        <v>#N/A</v>
      </c>
      <c r="BH36" s="2" t="e">
        <v>#N/A</v>
      </c>
      <c r="BI36" s="2" t="e">
        <v>#N/A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334</v>
      </c>
      <c r="B37" s="2">
        <v>113</v>
      </c>
      <c r="C37" s="2">
        <v>38</v>
      </c>
      <c r="D37" s="2">
        <v>0</v>
      </c>
      <c r="E37" s="2">
        <v>0</v>
      </c>
      <c r="F37" s="2">
        <v>0</v>
      </c>
      <c r="G37" s="2">
        <v>0</v>
      </c>
      <c r="H37" s="2">
        <v>-1</v>
      </c>
      <c r="I37" s="2">
        <v>-2</v>
      </c>
      <c r="J37" s="2">
        <v>-2</v>
      </c>
      <c r="K37" s="2">
        <v>-2</v>
      </c>
      <c r="L37" s="2">
        <v>-3</v>
      </c>
      <c r="M37" s="2">
        <v>-2</v>
      </c>
      <c r="N37" s="2">
        <v>-2</v>
      </c>
      <c r="O37" s="2">
        <v>-1</v>
      </c>
      <c r="P37" s="2">
        <v>0</v>
      </c>
      <c r="Q37" s="2">
        <v>-1</v>
      </c>
      <c r="R37" s="2">
        <v>-1</v>
      </c>
      <c r="S37" s="2">
        <v>-1</v>
      </c>
      <c r="T37" s="2">
        <v>-1</v>
      </c>
      <c r="U37" s="2">
        <v>-1</v>
      </c>
      <c r="V37" s="2">
        <v>1</v>
      </c>
      <c r="W37" s="2">
        <v>2</v>
      </c>
      <c r="X37" s="2">
        <v>2</v>
      </c>
      <c r="Y37" s="2">
        <v>2</v>
      </c>
      <c r="Z37" s="2">
        <v>2</v>
      </c>
      <c r="AA37" s="2">
        <v>2</v>
      </c>
      <c r="AB37" s="2">
        <v>1</v>
      </c>
      <c r="AC37" s="2">
        <v>1</v>
      </c>
      <c r="AD37" s="2">
        <v>2</v>
      </c>
      <c r="AE37" s="2">
        <v>2</v>
      </c>
      <c r="AF37" s="2">
        <v>3</v>
      </c>
      <c r="AG37" s="2">
        <v>3</v>
      </c>
      <c r="AH37" s="2">
        <v>5</v>
      </c>
      <c r="AI37" s="2">
        <v>5</v>
      </c>
      <c r="AJ37" s="2">
        <v>4</v>
      </c>
      <c r="AK37" s="2">
        <v>5</v>
      </c>
      <c r="AL37" s="2">
        <v>4</v>
      </c>
      <c r="AM37" s="2">
        <v>4</v>
      </c>
      <c r="AN37" s="2">
        <v>4</v>
      </c>
      <c r="AO37" s="2">
        <v>5</v>
      </c>
      <c r="AP37" s="2">
        <v>6</v>
      </c>
      <c r="AQ37" s="2" t="e">
        <v>#N/A</v>
      </c>
      <c r="AR37" s="2" t="e">
        <v>#N/A</v>
      </c>
      <c r="AS37" s="2" t="e">
        <v>#N/A</v>
      </c>
      <c r="AT37" s="2" t="e">
        <v>#N/A</v>
      </c>
      <c r="AU37" s="2" t="e">
        <v>#N/A</v>
      </c>
      <c r="AV37" s="2" t="e">
        <v>#N/A</v>
      </c>
      <c r="AW37" s="2" t="e">
        <v>#N/A</v>
      </c>
      <c r="AX37" s="2" t="e">
        <v>#N/A</v>
      </c>
      <c r="AY37" s="2" t="e">
        <v>#N/A</v>
      </c>
      <c r="AZ37" s="2" t="e">
        <v>#N/A</v>
      </c>
      <c r="BA37" s="2" t="e">
        <v>#N/A</v>
      </c>
      <c r="BB37" s="2" t="e">
        <v>#N/A</v>
      </c>
      <c r="BC37" s="2" t="e">
        <v>#N/A</v>
      </c>
      <c r="BD37" s="2" t="e">
        <v>#N/A</v>
      </c>
      <c r="BE37" s="2" t="e">
        <v>#N/A</v>
      </c>
      <c r="BF37" s="2" t="e">
        <v>#N/A</v>
      </c>
      <c r="BG37" s="2" t="e">
        <v>#N/A</v>
      </c>
      <c r="BH37" s="2" t="e">
        <v>#N/A</v>
      </c>
      <c r="BI37" s="2" t="e">
        <v>#N/A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703</v>
      </c>
      <c r="B38" s="2">
        <v>114</v>
      </c>
      <c r="C38" s="2">
        <v>38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1</v>
      </c>
      <c r="K38" s="2">
        <v>1</v>
      </c>
      <c r="L38" s="2">
        <v>1</v>
      </c>
      <c r="M38" s="2">
        <v>1</v>
      </c>
      <c r="N38" s="2">
        <v>1</v>
      </c>
      <c r="O38" s="2">
        <v>2</v>
      </c>
      <c r="P38" s="2">
        <v>4</v>
      </c>
      <c r="Q38" s="2">
        <v>4</v>
      </c>
      <c r="R38" s="2">
        <v>4</v>
      </c>
      <c r="S38" s="2">
        <v>4</v>
      </c>
      <c r="T38" s="2">
        <v>4</v>
      </c>
      <c r="U38" s="2">
        <v>4</v>
      </c>
      <c r="V38" s="2">
        <v>3</v>
      </c>
      <c r="W38" s="2">
        <v>3</v>
      </c>
      <c r="X38" s="2">
        <v>5</v>
      </c>
      <c r="Y38" s="2">
        <v>5</v>
      </c>
      <c r="Z38" s="2">
        <v>5</v>
      </c>
      <c r="AA38" s="2">
        <v>5</v>
      </c>
      <c r="AB38" s="2">
        <v>5</v>
      </c>
      <c r="AC38" s="2">
        <v>5</v>
      </c>
      <c r="AD38" s="2">
        <v>5</v>
      </c>
      <c r="AE38" s="2">
        <v>4</v>
      </c>
      <c r="AF38" s="2">
        <v>5</v>
      </c>
      <c r="AG38" s="2">
        <v>7</v>
      </c>
      <c r="AH38" s="2">
        <v>7</v>
      </c>
      <c r="AI38" s="2">
        <v>7</v>
      </c>
      <c r="AJ38" s="2">
        <v>7</v>
      </c>
      <c r="AK38" s="2">
        <v>7</v>
      </c>
      <c r="AL38" s="2">
        <v>7</v>
      </c>
      <c r="AM38" s="2">
        <v>7</v>
      </c>
      <c r="AN38" s="2">
        <v>7</v>
      </c>
      <c r="AO38" s="2">
        <v>6</v>
      </c>
      <c r="AP38" s="2">
        <v>7</v>
      </c>
      <c r="AQ38" s="2" t="e">
        <v>#N/A</v>
      </c>
      <c r="AR38" s="2" t="e">
        <v>#N/A</v>
      </c>
      <c r="AS38" s="2" t="e">
        <v>#N/A</v>
      </c>
      <c r="AT38" s="2" t="e">
        <v>#N/A</v>
      </c>
      <c r="AU38" s="2" t="e">
        <v>#N/A</v>
      </c>
      <c r="AV38" s="2" t="e">
        <v>#N/A</v>
      </c>
      <c r="AW38" s="2" t="e">
        <v>#N/A</v>
      </c>
      <c r="AX38" s="2" t="e">
        <v>#N/A</v>
      </c>
      <c r="AY38" s="2" t="e">
        <v>#N/A</v>
      </c>
      <c r="AZ38" s="2" t="e">
        <v>#N/A</v>
      </c>
      <c r="BA38" s="2" t="e">
        <v>#N/A</v>
      </c>
      <c r="BB38" s="2" t="e">
        <v>#N/A</v>
      </c>
      <c r="BC38" s="2" t="e">
        <v>#N/A</v>
      </c>
      <c r="BD38" s="2" t="e">
        <v>#N/A</v>
      </c>
      <c r="BE38" s="2" t="e">
        <v>#N/A</v>
      </c>
      <c r="BF38" s="2" t="e">
        <v>#N/A</v>
      </c>
      <c r="BG38" s="2" t="e">
        <v>#N/A</v>
      </c>
      <c r="BH38" s="2" t="e">
        <v>#N/A</v>
      </c>
      <c r="BI38" s="2" t="e">
        <v>#N/A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410</v>
      </c>
      <c r="B39" s="2">
        <v>115</v>
      </c>
      <c r="C39" s="2">
        <v>38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-1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1</v>
      </c>
      <c r="R39" s="2">
        <v>1</v>
      </c>
      <c r="S39" s="2">
        <v>2</v>
      </c>
      <c r="T39" s="2">
        <v>1</v>
      </c>
      <c r="U39" s="2">
        <v>1</v>
      </c>
      <c r="V39" s="2">
        <v>0</v>
      </c>
      <c r="W39" s="2">
        <v>1</v>
      </c>
      <c r="X39" s="2">
        <v>1</v>
      </c>
      <c r="Y39" s="2">
        <v>1</v>
      </c>
      <c r="Z39" s="2">
        <v>2</v>
      </c>
      <c r="AA39" s="2">
        <v>2</v>
      </c>
      <c r="AB39" s="2">
        <v>2</v>
      </c>
      <c r="AC39" s="2">
        <v>1</v>
      </c>
      <c r="AD39" s="2">
        <v>2</v>
      </c>
      <c r="AE39" s="2">
        <v>1</v>
      </c>
      <c r="AF39" s="2">
        <v>1</v>
      </c>
      <c r="AG39" s="2">
        <v>2</v>
      </c>
      <c r="AH39" s="2">
        <v>3</v>
      </c>
      <c r="AI39" s="2">
        <v>2</v>
      </c>
      <c r="AJ39" s="2">
        <v>2</v>
      </c>
      <c r="AK39" s="2">
        <v>2</v>
      </c>
      <c r="AL39" s="2">
        <v>3</v>
      </c>
      <c r="AM39" s="2">
        <v>3</v>
      </c>
      <c r="AN39" s="2">
        <v>3</v>
      </c>
      <c r="AO39" s="2">
        <v>6</v>
      </c>
      <c r="AP39" s="2">
        <v>7</v>
      </c>
      <c r="AQ39" s="2" t="e">
        <v>#N/A</v>
      </c>
      <c r="AR39" s="2" t="e">
        <v>#N/A</v>
      </c>
      <c r="AS39" s="2" t="e">
        <v>#N/A</v>
      </c>
      <c r="AT39" s="2" t="e">
        <v>#N/A</v>
      </c>
      <c r="AU39" s="2" t="e">
        <v>#N/A</v>
      </c>
      <c r="AV39" s="2" t="e">
        <v>#N/A</v>
      </c>
      <c r="AW39" s="2" t="e">
        <v>#N/A</v>
      </c>
      <c r="AX39" s="2" t="e">
        <v>#N/A</v>
      </c>
      <c r="AY39" s="2" t="e">
        <v>#N/A</v>
      </c>
      <c r="AZ39" s="2" t="e">
        <v>#N/A</v>
      </c>
      <c r="BA39" s="2" t="e">
        <v>#N/A</v>
      </c>
      <c r="BB39" s="2" t="e">
        <v>#N/A</v>
      </c>
      <c r="BC39" s="2" t="e">
        <v>#N/A</v>
      </c>
      <c r="BD39" s="2" t="e">
        <v>#N/A</v>
      </c>
      <c r="BE39" s="2" t="e">
        <v>#N/A</v>
      </c>
      <c r="BF39" s="2" t="e">
        <v>#N/A</v>
      </c>
      <c r="BG39" s="2" t="e">
        <v>#N/A</v>
      </c>
      <c r="BH39" s="2" t="e">
        <v>#N/A</v>
      </c>
      <c r="BI39" s="2" t="e">
        <v>#N/A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455</v>
      </c>
      <c r="B40" s="2">
        <v>116</v>
      </c>
      <c r="C40" s="2">
        <v>38</v>
      </c>
      <c r="D40" s="2">
        <v>0</v>
      </c>
      <c r="E40" s="2">
        <v>1</v>
      </c>
      <c r="F40" s="2">
        <v>2</v>
      </c>
      <c r="G40" s="2">
        <v>2</v>
      </c>
      <c r="H40" s="2">
        <v>2</v>
      </c>
      <c r="I40" s="2">
        <v>2</v>
      </c>
      <c r="J40" s="2">
        <v>2</v>
      </c>
      <c r="K40" s="2">
        <v>2</v>
      </c>
      <c r="L40" s="2">
        <v>2</v>
      </c>
      <c r="M40" s="2">
        <v>2</v>
      </c>
      <c r="N40" s="2">
        <v>2</v>
      </c>
      <c r="O40" s="2">
        <v>2</v>
      </c>
      <c r="P40" s="2">
        <v>4</v>
      </c>
      <c r="Q40" s="2">
        <v>3</v>
      </c>
      <c r="R40" s="2">
        <v>3</v>
      </c>
      <c r="S40" s="2">
        <v>3</v>
      </c>
      <c r="T40" s="2">
        <v>3</v>
      </c>
      <c r="U40" s="2">
        <v>3</v>
      </c>
      <c r="V40" s="2">
        <v>2</v>
      </c>
      <c r="W40" s="2">
        <v>3</v>
      </c>
      <c r="X40" s="2">
        <v>3</v>
      </c>
      <c r="Y40" s="2">
        <v>3</v>
      </c>
      <c r="Z40" s="2">
        <v>4</v>
      </c>
      <c r="AA40" s="2">
        <v>4</v>
      </c>
      <c r="AB40" s="2">
        <v>4</v>
      </c>
      <c r="AC40" s="2">
        <v>4</v>
      </c>
      <c r="AD40" s="2">
        <v>4</v>
      </c>
      <c r="AE40" s="2">
        <v>3</v>
      </c>
      <c r="AF40" s="2">
        <v>3</v>
      </c>
      <c r="AG40" s="2">
        <v>3</v>
      </c>
      <c r="AH40" s="2">
        <v>5</v>
      </c>
      <c r="AI40" s="2">
        <v>6</v>
      </c>
      <c r="AJ40" s="2">
        <v>6</v>
      </c>
      <c r="AK40" s="2">
        <v>7</v>
      </c>
      <c r="AL40" s="2">
        <v>7</v>
      </c>
      <c r="AM40" s="2">
        <v>7</v>
      </c>
      <c r="AN40" s="2">
        <v>6</v>
      </c>
      <c r="AO40" s="2">
        <v>7</v>
      </c>
      <c r="AP40" s="2">
        <v>8</v>
      </c>
      <c r="AQ40" s="2" t="e">
        <v>#N/A</v>
      </c>
      <c r="AR40" s="2" t="e">
        <v>#N/A</v>
      </c>
      <c r="AS40" s="2" t="e">
        <v>#N/A</v>
      </c>
      <c r="AT40" s="2" t="e">
        <v>#N/A</v>
      </c>
      <c r="AU40" s="2" t="e">
        <v>#N/A</v>
      </c>
      <c r="AV40" s="2" t="e">
        <v>#N/A</v>
      </c>
      <c r="AW40" s="2" t="e">
        <v>#N/A</v>
      </c>
      <c r="AX40" s="2" t="e">
        <v>#N/A</v>
      </c>
      <c r="AY40" s="2" t="e">
        <v>#N/A</v>
      </c>
      <c r="AZ40" s="2" t="e">
        <v>#N/A</v>
      </c>
      <c r="BA40" s="2" t="e">
        <v>#N/A</v>
      </c>
      <c r="BB40" s="2" t="e">
        <v>#N/A</v>
      </c>
      <c r="BC40" s="2" t="e">
        <v>#N/A</v>
      </c>
      <c r="BD40" s="2" t="e">
        <v>#N/A</v>
      </c>
      <c r="BE40" s="2" t="e">
        <v>#N/A</v>
      </c>
      <c r="BF40" s="2" t="e">
        <v>#N/A</v>
      </c>
      <c r="BG40" s="2" t="e">
        <v>#N/A</v>
      </c>
      <c r="BH40" s="2" t="e">
        <v>#N/A</v>
      </c>
      <c r="BI40" s="2" t="e">
        <v>#N/A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704</v>
      </c>
      <c r="B41" s="2">
        <v>117</v>
      </c>
      <c r="C41" s="2">
        <v>38</v>
      </c>
      <c r="D41" s="2">
        <v>0</v>
      </c>
      <c r="E41" s="2">
        <v>0</v>
      </c>
      <c r="F41" s="2">
        <v>-1</v>
      </c>
      <c r="G41" s="2">
        <v>-1</v>
      </c>
      <c r="H41" s="2">
        <v>-1</v>
      </c>
      <c r="I41" s="2">
        <v>-1</v>
      </c>
      <c r="J41" s="2">
        <v>-1</v>
      </c>
      <c r="K41" s="2">
        <v>-1</v>
      </c>
      <c r="L41" s="2">
        <v>-1</v>
      </c>
      <c r="M41" s="2">
        <v>-1</v>
      </c>
      <c r="N41" s="2">
        <v>0</v>
      </c>
      <c r="O41" s="2">
        <v>0</v>
      </c>
      <c r="P41" s="2">
        <v>0</v>
      </c>
      <c r="Q41" s="2">
        <v>1</v>
      </c>
      <c r="R41" s="2">
        <v>0</v>
      </c>
      <c r="S41" s="2">
        <v>0</v>
      </c>
      <c r="T41" s="2">
        <v>-1</v>
      </c>
      <c r="U41" s="2">
        <v>-1</v>
      </c>
      <c r="V41" s="2">
        <v>0</v>
      </c>
      <c r="W41" s="2">
        <v>0</v>
      </c>
      <c r="X41" s="2">
        <v>1</v>
      </c>
      <c r="Y41" s="2">
        <v>1</v>
      </c>
      <c r="Z41" s="2">
        <v>2</v>
      </c>
      <c r="AA41" s="2">
        <v>2</v>
      </c>
      <c r="AB41" s="2">
        <v>2</v>
      </c>
      <c r="AC41" s="2">
        <v>2</v>
      </c>
      <c r="AD41" s="2">
        <v>3</v>
      </c>
      <c r="AE41" s="2">
        <v>3</v>
      </c>
      <c r="AF41" s="2">
        <v>3</v>
      </c>
      <c r="AG41" s="2">
        <v>3</v>
      </c>
      <c r="AH41" s="2">
        <v>3</v>
      </c>
      <c r="AI41" s="2">
        <v>4</v>
      </c>
      <c r="AJ41" s="2">
        <v>6</v>
      </c>
      <c r="AK41" s="2">
        <v>7</v>
      </c>
      <c r="AL41" s="2">
        <v>8</v>
      </c>
      <c r="AM41" s="2">
        <v>9</v>
      </c>
      <c r="AN41" s="2">
        <v>9</v>
      </c>
      <c r="AO41" s="2">
        <v>8</v>
      </c>
      <c r="AP41" s="2">
        <v>8</v>
      </c>
      <c r="AQ41" s="2" t="e">
        <v>#N/A</v>
      </c>
      <c r="AR41" s="2" t="e">
        <v>#N/A</v>
      </c>
      <c r="AS41" s="2" t="e">
        <v>#N/A</v>
      </c>
      <c r="AT41" s="2" t="e">
        <v>#N/A</v>
      </c>
      <c r="AU41" s="2" t="e">
        <v>#N/A</v>
      </c>
      <c r="AV41" s="2" t="e">
        <v>#N/A</v>
      </c>
      <c r="AW41" s="2" t="e">
        <v>#N/A</v>
      </c>
      <c r="AX41" s="2" t="e">
        <v>#N/A</v>
      </c>
      <c r="AY41" s="2" t="e">
        <v>#N/A</v>
      </c>
      <c r="AZ41" s="2" t="e">
        <v>#N/A</v>
      </c>
      <c r="BA41" s="2" t="e">
        <v>#N/A</v>
      </c>
      <c r="BB41" s="2" t="e">
        <v>#N/A</v>
      </c>
      <c r="BC41" s="2" t="e">
        <v>#N/A</v>
      </c>
      <c r="BD41" s="2" t="e">
        <v>#N/A</v>
      </c>
      <c r="BE41" s="2" t="e">
        <v>#N/A</v>
      </c>
      <c r="BF41" s="2" t="e">
        <v>#N/A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19</v>
      </c>
      <c r="B42" s="2">
        <v>118</v>
      </c>
      <c r="C42" s="2">
        <v>38</v>
      </c>
      <c r="D42" s="2">
        <v>0</v>
      </c>
      <c r="E42" s="2">
        <v>0</v>
      </c>
      <c r="F42" s="2">
        <v>1</v>
      </c>
      <c r="G42" s="2">
        <v>1</v>
      </c>
      <c r="H42" s="2">
        <v>2</v>
      </c>
      <c r="I42" s="2">
        <v>1</v>
      </c>
      <c r="J42" s="2">
        <v>2</v>
      </c>
      <c r="K42" s="2">
        <v>2</v>
      </c>
      <c r="L42" s="2">
        <v>1</v>
      </c>
      <c r="M42" s="2">
        <v>2</v>
      </c>
      <c r="N42" s="2">
        <v>2</v>
      </c>
      <c r="O42" s="2">
        <v>4</v>
      </c>
      <c r="P42" s="2">
        <v>4</v>
      </c>
      <c r="Q42" s="2">
        <v>5</v>
      </c>
      <c r="R42" s="2">
        <v>5</v>
      </c>
      <c r="S42" s="2">
        <v>7</v>
      </c>
      <c r="T42" s="2">
        <v>7</v>
      </c>
      <c r="U42" s="2">
        <v>7</v>
      </c>
      <c r="V42" s="2">
        <v>6</v>
      </c>
      <c r="W42" s="2">
        <v>6</v>
      </c>
      <c r="X42" s="2">
        <v>5</v>
      </c>
      <c r="Y42" s="2">
        <v>5</v>
      </c>
      <c r="Z42" s="2">
        <v>5</v>
      </c>
      <c r="AA42" s="2">
        <v>6</v>
      </c>
      <c r="AB42" s="2">
        <v>6</v>
      </c>
      <c r="AC42" s="2">
        <v>6</v>
      </c>
      <c r="AD42" s="2">
        <v>6</v>
      </c>
      <c r="AE42" s="2">
        <v>6</v>
      </c>
      <c r="AF42" s="2">
        <v>6</v>
      </c>
      <c r="AG42" s="2">
        <v>7</v>
      </c>
      <c r="AH42" s="2">
        <v>7</v>
      </c>
      <c r="AI42" s="2">
        <v>7</v>
      </c>
      <c r="AJ42" s="2">
        <v>7</v>
      </c>
      <c r="AK42" s="2">
        <v>8</v>
      </c>
      <c r="AL42" s="2">
        <v>8</v>
      </c>
      <c r="AM42" s="2">
        <v>8</v>
      </c>
      <c r="AN42" s="2">
        <v>8</v>
      </c>
      <c r="AO42" s="2">
        <v>8</v>
      </c>
      <c r="AP42" s="2">
        <v>9</v>
      </c>
      <c r="AQ42" s="2" t="e">
        <v>#N/A</v>
      </c>
      <c r="AR42" s="2" t="e">
        <v>#N/A</v>
      </c>
      <c r="AS42" s="2" t="e">
        <v>#N/A</v>
      </c>
      <c r="AT42" s="2" t="e">
        <v>#N/A</v>
      </c>
      <c r="AU42" s="2" t="e">
        <v>#N/A</v>
      </c>
      <c r="AV42" s="2" t="e">
        <v>#N/A</v>
      </c>
      <c r="AW42" s="2" t="e">
        <v>#N/A</v>
      </c>
      <c r="AX42" s="2" t="e">
        <v>#N/A</v>
      </c>
      <c r="AY42" s="2" t="e">
        <v>#N/A</v>
      </c>
      <c r="AZ42" s="2" t="e">
        <v>#N/A</v>
      </c>
      <c r="BA42" s="2" t="e">
        <v>#N/A</v>
      </c>
      <c r="BB42" s="2" t="e">
        <v>#N/A</v>
      </c>
      <c r="BC42" s="2" t="e">
        <v>#N/A</v>
      </c>
      <c r="BD42" s="2" t="e">
        <v>#N/A</v>
      </c>
      <c r="BE42" s="2" t="e">
        <v>#N/A</v>
      </c>
      <c r="BF42" s="2" t="e">
        <v>#N/A</v>
      </c>
      <c r="BG42" s="2" t="e">
        <v>#N/A</v>
      </c>
      <c r="BH42" s="2" t="e">
        <v>#N/A</v>
      </c>
      <c r="BI42" s="2" t="e">
        <v>#N/A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705</v>
      </c>
      <c r="B43" s="2">
        <v>119</v>
      </c>
      <c r="C43" s="2">
        <v>38</v>
      </c>
      <c r="D43" s="2">
        <v>0</v>
      </c>
      <c r="E43" s="2">
        <v>1</v>
      </c>
      <c r="F43" s="2">
        <v>1</v>
      </c>
      <c r="G43" s="2">
        <v>2</v>
      </c>
      <c r="H43" s="2">
        <v>3</v>
      </c>
      <c r="I43" s="2">
        <v>3</v>
      </c>
      <c r="J43" s="2">
        <v>3</v>
      </c>
      <c r="K43" s="2">
        <v>3</v>
      </c>
      <c r="L43" s="2">
        <v>3</v>
      </c>
      <c r="M43" s="2">
        <v>3</v>
      </c>
      <c r="N43" s="2">
        <v>3</v>
      </c>
      <c r="O43" s="2">
        <v>3</v>
      </c>
      <c r="P43" s="2">
        <v>3</v>
      </c>
      <c r="Q43" s="2">
        <v>3</v>
      </c>
      <c r="R43" s="2">
        <v>4</v>
      </c>
      <c r="S43" s="2">
        <v>4</v>
      </c>
      <c r="T43" s="2">
        <v>3</v>
      </c>
      <c r="U43" s="2">
        <v>3</v>
      </c>
      <c r="V43" s="2">
        <v>2</v>
      </c>
      <c r="W43" s="2">
        <v>2</v>
      </c>
      <c r="X43" s="2">
        <v>2</v>
      </c>
      <c r="Y43" s="2">
        <v>2</v>
      </c>
      <c r="Z43" s="2">
        <v>3</v>
      </c>
      <c r="AA43" s="2">
        <v>3</v>
      </c>
      <c r="AB43" s="2">
        <v>3</v>
      </c>
      <c r="AC43" s="2">
        <v>4</v>
      </c>
      <c r="AD43" s="2">
        <v>4</v>
      </c>
      <c r="AE43" s="2">
        <v>4</v>
      </c>
      <c r="AF43" s="2">
        <v>5</v>
      </c>
      <c r="AG43" s="2">
        <v>5</v>
      </c>
      <c r="AH43" s="2">
        <v>7</v>
      </c>
      <c r="AI43" s="2">
        <v>7</v>
      </c>
      <c r="AJ43" s="2">
        <v>7</v>
      </c>
      <c r="AK43" s="2">
        <v>7</v>
      </c>
      <c r="AL43" s="2">
        <v>8</v>
      </c>
      <c r="AM43" s="2">
        <v>8</v>
      </c>
      <c r="AN43" s="2">
        <v>8</v>
      </c>
      <c r="AO43" s="2">
        <v>9</v>
      </c>
      <c r="AP43" s="2">
        <v>9</v>
      </c>
      <c r="AQ43" s="2" t="e">
        <v>#N/A</v>
      </c>
      <c r="AR43" s="2" t="e">
        <v>#N/A</v>
      </c>
      <c r="AS43" s="2" t="e">
        <v>#N/A</v>
      </c>
      <c r="AT43" s="2" t="e">
        <v>#N/A</v>
      </c>
      <c r="AU43" s="2" t="e">
        <v>#N/A</v>
      </c>
      <c r="AV43" s="2" t="e">
        <v>#N/A</v>
      </c>
      <c r="AW43" s="2" t="e">
        <v>#N/A</v>
      </c>
      <c r="AX43" s="2" t="e">
        <v>#N/A</v>
      </c>
      <c r="AY43" s="2" t="e">
        <v>#N/A</v>
      </c>
      <c r="AZ43" s="2" t="e">
        <v>#N/A</v>
      </c>
      <c r="BA43" s="2" t="e">
        <v>#N/A</v>
      </c>
      <c r="BB43" s="2" t="e">
        <v>#N/A</v>
      </c>
      <c r="BC43" s="2" t="e">
        <v>#N/A</v>
      </c>
      <c r="BD43" s="2" t="e">
        <v>#N/A</v>
      </c>
      <c r="BE43" s="2" t="e">
        <v>#N/A</v>
      </c>
      <c r="BF43" s="2" t="e">
        <v>#N/A</v>
      </c>
      <c r="BG43" s="2" t="e">
        <v>#N/A</v>
      </c>
      <c r="BH43" s="2" t="e">
        <v>#N/A</v>
      </c>
      <c r="BI43" s="2" t="e">
        <v>#N/A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348</v>
      </c>
      <c r="B44" s="2">
        <v>120</v>
      </c>
      <c r="C44" s="2">
        <v>38</v>
      </c>
      <c r="D44" s="2">
        <v>0</v>
      </c>
      <c r="E44" s="2">
        <v>0</v>
      </c>
      <c r="F44" s="2">
        <v>0</v>
      </c>
      <c r="G44" s="2">
        <v>0</v>
      </c>
      <c r="H44" s="2">
        <v>1</v>
      </c>
      <c r="I44" s="2">
        <v>0</v>
      </c>
      <c r="J44" s="2">
        <v>0</v>
      </c>
      <c r="K44" s="2">
        <v>1</v>
      </c>
      <c r="L44" s="2">
        <v>1</v>
      </c>
      <c r="M44" s="2">
        <v>0</v>
      </c>
      <c r="N44" s="2">
        <v>1</v>
      </c>
      <c r="O44" s="2">
        <v>1</v>
      </c>
      <c r="P44" s="2">
        <v>3</v>
      </c>
      <c r="Q44" s="2">
        <v>2</v>
      </c>
      <c r="R44" s="2">
        <v>2</v>
      </c>
      <c r="S44" s="2">
        <v>4</v>
      </c>
      <c r="T44" s="2">
        <v>4</v>
      </c>
      <c r="U44" s="2">
        <v>4</v>
      </c>
      <c r="V44" s="2">
        <v>5</v>
      </c>
      <c r="W44" s="2">
        <v>5</v>
      </c>
      <c r="X44" s="2">
        <v>7</v>
      </c>
      <c r="Y44" s="2">
        <v>7</v>
      </c>
      <c r="Z44" s="2">
        <v>9</v>
      </c>
      <c r="AA44" s="2">
        <v>8</v>
      </c>
      <c r="AB44" s="2">
        <v>8</v>
      </c>
      <c r="AC44" s="2">
        <v>9</v>
      </c>
      <c r="AD44" s="2">
        <v>9</v>
      </c>
      <c r="AE44" s="2">
        <v>9</v>
      </c>
      <c r="AF44" s="2">
        <v>9</v>
      </c>
      <c r="AG44" s="2">
        <v>9</v>
      </c>
      <c r="AH44" s="2">
        <v>9</v>
      </c>
      <c r="AI44" s="2">
        <v>9</v>
      </c>
      <c r="AJ44" s="2">
        <v>9</v>
      </c>
      <c r="AK44" s="2">
        <v>10</v>
      </c>
      <c r="AL44" s="2">
        <v>10</v>
      </c>
      <c r="AM44" s="2">
        <v>10</v>
      </c>
      <c r="AN44" s="2">
        <v>10</v>
      </c>
      <c r="AO44" s="2">
        <v>9</v>
      </c>
      <c r="AP44" s="2">
        <v>10</v>
      </c>
      <c r="AQ44" s="2" t="e">
        <v>#N/A</v>
      </c>
      <c r="AR44" s="2" t="e">
        <v>#N/A</v>
      </c>
      <c r="AS44" s="2" t="e">
        <v>#N/A</v>
      </c>
      <c r="AT44" s="2" t="e">
        <v>#N/A</v>
      </c>
      <c r="AU44" s="2" t="e">
        <v>#N/A</v>
      </c>
      <c r="AV44" s="2" t="e">
        <v>#N/A</v>
      </c>
      <c r="AW44" s="2" t="e">
        <v>#N/A</v>
      </c>
      <c r="AX44" s="2" t="e">
        <v>#N/A</v>
      </c>
      <c r="AY44" s="2" t="e">
        <v>#N/A</v>
      </c>
      <c r="AZ44" s="2" t="e">
        <v>#N/A</v>
      </c>
      <c r="BA44" s="2" t="e">
        <v>#N/A</v>
      </c>
      <c r="BB44" s="2" t="e">
        <v>#N/A</v>
      </c>
      <c r="BC44" s="2" t="e">
        <v>#N/A</v>
      </c>
      <c r="BD44" s="2" t="e">
        <v>#N/A</v>
      </c>
      <c r="BE44" s="2" t="e">
        <v>#N/A</v>
      </c>
      <c r="BF44" s="2" t="e">
        <v>#N/A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539</v>
      </c>
      <c r="B45" s="2">
        <v>121</v>
      </c>
      <c r="C45" s="2">
        <v>38</v>
      </c>
      <c r="D45" s="2">
        <v>0</v>
      </c>
      <c r="E45" s="2">
        <v>0</v>
      </c>
      <c r="F45" s="2">
        <v>0</v>
      </c>
      <c r="G45" s="2">
        <v>0</v>
      </c>
      <c r="H45" s="2">
        <v>1</v>
      </c>
      <c r="I45" s="2">
        <v>0</v>
      </c>
      <c r="J45" s="2">
        <v>1</v>
      </c>
      <c r="K45" s="2">
        <v>1</v>
      </c>
      <c r="L45" s="2">
        <v>1</v>
      </c>
      <c r="M45" s="2">
        <v>2</v>
      </c>
      <c r="N45" s="2">
        <v>2</v>
      </c>
      <c r="O45" s="2">
        <v>4</v>
      </c>
      <c r="P45" s="2">
        <v>4</v>
      </c>
      <c r="Q45" s="2">
        <v>3</v>
      </c>
      <c r="R45" s="2">
        <v>3</v>
      </c>
      <c r="S45" s="2">
        <v>3</v>
      </c>
      <c r="T45" s="2">
        <v>3</v>
      </c>
      <c r="U45" s="2">
        <v>3</v>
      </c>
      <c r="V45" s="2">
        <v>4</v>
      </c>
      <c r="W45" s="2">
        <v>4</v>
      </c>
      <c r="X45" s="2">
        <v>3</v>
      </c>
      <c r="Y45" s="2">
        <v>3</v>
      </c>
      <c r="Z45" s="2">
        <v>4</v>
      </c>
      <c r="AA45" s="2">
        <v>4</v>
      </c>
      <c r="AB45" s="2">
        <v>4</v>
      </c>
      <c r="AC45" s="2">
        <v>4</v>
      </c>
      <c r="AD45" s="2">
        <v>6</v>
      </c>
      <c r="AE45" s="2">
        <v>6</v>
      </c>
      <c r="AF45" s="2">
        <v>7</v>
      </c>
      <c r="AG45" s="2">
        <v>9</v>
      </c>
      <c r="AH45" s="2">
        <v>10</v>
      </c>
      <c r="AI45" s="2">
        <v>10</v>
      </c>
      <c r="AJ45" s="2">
        <v>11</v>
      </c>
      <c r="AK45" s="2">
        <v>11</v>
      </c>
      <c r="AL45" s="2">
        <v>10</v>
      </c>
      <c r="AM45" s="2">
        <v>10</v>
      </c>
      <c r="AN45" s="2">
        <v>10</v>
      </c>
      <c r="AO45" s="2">
        <v>9</v>
      </c>
      <c r="AP45" s="2">
        <v>10</v>
      </c>
      <c r="AQ45" s="2" t="e">
        <v>#N/A</v>
      </c>
      <c r="AR45" s="2" t="e">
        <v>#N/A</v>
      </c>
      <c r="AS45" s="2" t="e">
        <v>#N/A</v>
      </c>
      <c r="AT45" s="2" t="e">
        <v>#N/A</v>
      </c>
      <c r="AU45" s="2" t="e">
        <v>#N/A</v>
      </c>
      <c r="AV45" s="2" t="e">
        <v>#N/A</v>
      </c>
      <c r="AW45" s="2" t="e">
        <v>#N/A</v>
      </c>
      <c r="AX45" s="2" t="e">
        <v>#N/A</v>
      </c>
      <c r="AY45" s="2" t="e">
        <v>#N/A</v>
      </c>
      <c r="AZ45" s="2" t="e">
        <v>#N/A</v>
      </c>
      <c r="BA45" s="2" t="e">
        <v>#N/A</v>
      </c>
      <c r="BB45" s="2" t="e">
        <v>#N/A</v>
      </c>
      <c r="BC45" s="2" t="e">
        <v>#N/A</v>
      </c>
      <c r="BD45" s="2" t="e">
        <v>#N/A</v>
      </c>
      <c r="BE45" s="2" t="e">
        <v>#N/A</v>
      </c>
      <c r="BF45" s="2" t="e">
        <v>#N/A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464</v>
      </c>
      <c r="B46" s="2">
        <v>122</v>
      </c>
      <c r="C46" s="2">
        <v>38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1</v>
      </c>
      <c r="J46" s="2">
        <v>2</v>
      </c>
      <c r="K46" s="2">
        <v>1</v>
      </c>
      <c r="L46" s="2">
        <v>0</v>
      </c>
      <c r="M46" s="2">
        <v>1</v>
      </c>
      <c r="N46" s="2">
        <v>1</v>
      </c>
      <c r="O46" s="2">
        <v>2</v>
      </c>
      <c r="P46" s="2">
        <v>1</v>
      </c>
      <c r="Q46" s="2">
        <v>1</v>
      </c>
      <c r="R46" s="2">
        <v>2</v>
      </c>
      <c r="S46" s="2">
        <v>3</v>
      </c>
      <c r="T46" s="2">
        <v>2</v>
      </c>
      <c r="U46" s="2">
        <v>1</v>
      </c>
      <c r="V46" s="2">
        <v>3</v>
      </c>
      <c r="W46" s="2">
        <v>4</v>
      </c>
      <c r="X46" s="2">
        <v>4</v>
      </c>
      <c r="Y46" s="2">
        <v>4</v>
      </c>
      <c r="Z46" s="2">
        <v>4</v>
      </c>
      <c r="AA46" s="2">
        <v>4</v>
      </c>
      <c r="AB46" s="2">
        <v>5</v>
      </c>
      <c r="AC46" s="2">
        <v>6</v>
      </c>
      <c r="AD46" s="2">
        <v>6</v>
      </c>
      <c r="AE46" s="2">
        <v>6</v>
      </c>
      <c r="AF46" s="2">
        <v>6</v>
      </c>
      <c r="AG46" s="2">
        <v>6</v>
      </c>
      <c r="AH46" s="2">
        <v>6</v>
      </c>
      <c r="AI46" s="2">
        <v>7</v>
      </c>
      <c r="AJ46" s="2">
        <v>7</v>
      </c>
      <c r="AK46" s="2">
        <v>7</v>
      </c>
      <c r="AL46" s="2">
        <v>7</v>
      </c>
      <c r="AM46" s="2">
        <v>7</v>
      </c>
      <c r="AN46" s="2">
        <v>7</v>
      </c>
      <c r="AO46" s="2">
        <v>10</v>
      </c>
      <c r="AP46" s="2">
        <v>10</v>
      </c>
      <c r="AQ46" s="2" t="e">
        <v>#N/A</v>
      </c>
      <c r="AR46" s="2" t="e">
        <v>#N/A</v>
      </c>
      <c r="AS46" s="2" t="e">
        <v>#N/A</v>
      </c>
      <c r="AT46" s="2" t="e">
        <v>#N/A</v>
      </c>
      <c r="AU46" s="2" t="e">
        <v>#N/A</v>
      </c>
      <c r="AV46" s="2" t="e">
        <v>#N/A</v>
      </c>
      <c r="AW46" s="2" t="e">
        <v>#N/A</v>
      </c>
      <c r="AX46" s="2" t="e">
        <v>#N/A</v>
      </c>
      <c r="AY46" s="2" t="e">
        <v>#N/A</v>
      </c>
      <c r="AZ46" s="2" t="e">
        <v>#N/A</v>
      </c>
      <c r="BA46" s="2" t="e">
        <v>#N/A</v>
      </c>
      <c r="BB46" s="2" t="e">
        <v>#N/A</v>
      </c>
      <c r="BC46" s="2" t="e">
        <v>#N/A</v>
      </c>
      <c r="BD46" s="2" t="e">
        <v>#N/A</v>
      </c>
      <c r="BE46" s="2" t="e">
        <v>#N/A</v>
      </c>
      <c r="BF46" s="2" t="e">
        <v>#N/A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706</v>
      </c>
      <c r="B47" s="2">
        <v>123</v>
      </c>
      <c r="C47" s="2">
        <v>38</v>
      </c>
      <c r="D47" s="2">
        <v>0</v>
      </c>
      <c r="E47" s="2">
        <v>0</v>
      </c>
      <c r="F47" s="2">
        <v>0</v>
      </c>
      <c r="G47" s="2">
        <v>0</v>
      </c>
      <c r="H47" s="2">
        <v>1</v>
      </c>
      <c r="I47" s="2">
        <v>1</v>
      </c>
      <c r="J47" s="2">
        <v>1</v>
      </c>
      <c r="K47" s="2">
        <v>0</v>
      </c>
      <c r="L47" s="2">
        <v>-1</v>
      </c>
      <c r="M47" s="2">
        <v>-1</v>
      </c>
      <c r="N47" s="2">
        <v>-1</v>
      </c>
      <c r="O47" s="2">
        <v>1</v>
      </c>
      <c r="P47" s="2">
        <v>1</v>
      </c>
      <c r="Q47" s="2">
        <v>1</v>
      </c>
      <c r="R47" s="2">
        <v>0</v>
      </c>
      <c r="S47" s="2">
        <v>2</v>
      </c>
      <c r="T47" s="2">
        <v>2</v>
      </c>
      <c r="U47" s="2">
        <v>2</v>
      </c>
      <c r="V47" s="2">
        <v>2</v>
      </c>
      <c r="W47" s="2">
        <v>2</v>
      </c>
      <c r="X47" s="2">
        <v>2</v>
      </c>
      <c r="Y47" s="2">
        <v>2</v>
      </c>
      <c r="Z47" s="2">
        <v>2</v>
      </c>
      <c r="AA47" s="2">
        <v>2</v>
      </c>
      <c r="AB47" s="2">
        <v>3</v>
      </c>
      <c r="AC47" s="2">
        <v>4</v>
      </c>
      <c r="AD47" s="2">
        <v>5</v>
      </c>
      <c r="AE47" s="2">
        <v>6</v>
      </c>
      <c r="AF47" s="2">
        <v>7</v>
      </c>
      <c r="AG47" s="2">
        <v>8</v>
      </c>
      <c r="AH47" s="2">
        <v>8</v>
      </c>
      <c r="AI47" s="2">
        <v>8</v>
      </c>
      <c r="AJ47" s="2">
        <v>8</v>
      </c>
      <c r="AK47" s="2">
        <v>8</v>
      </c>
      <c r="AL47" s="2">
        <v>9</v>
      </c>
      <c r="AM47" s="2">
        <v>8</v>
      </c>
      <c r="AN47" s="2">
        <v>8</v>
      </c>
      <c r="AO47" s="2">
        <v>8</v>
      </c>
      <c r="AP47" s="2">
        <v>10</v>
      </c>
      <c r="AQ47" s="2" t="e">
        <v>#N/A</v>
      </c>
      <c r="AR47" s="2" t="e">
        <v>#N/A</v>
      </c>
      <c r="AS47" s="2" t="e">
        <v>#N/A</v>
      </c>
      <c r="AT47" s="2" t="e">
        <v>#N/A</v>
      </c>
      <c r="AU47" s="2" t="e">
        <v>#N/A</v>
      </c>
      <c r="AV47" s="2" t="e">
        <v>#N/A</v>
      </c>
      <c r="AW47" s="2" t="e">
        <v>#N/A</v>
      </c>
      <c r="AX47" s="2" t="e">
        <v>#N/A</v>
      </c>
      <c r="AY47" s="2" t="e">
        <v>#N/A</v>
      </c>
      <c r="AZ47" s="2" t="e">
        <v>#N/A</v>
      </c>
      <c r="BA47" s="2" t="e">
        <v>#N/A</v>
      </c>
      <c r="BB47" s="2" t="e">
        <v>#N/A</v>
      </c>
      <c r="BC47" s="2" t="e">
        <v>#N/A</v>
      </c>
      <c r="BD47" s="2" t="e">
        <v>#N/A</v>
      </c>
      <c r="BE47" s="2" t="e">
        <v>#N/A</v>
      </c>
      <c r="BF47" s="2" t="e">
        <v>#N/A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707</v>
      </c>
      <c r="B48" s="2">
        <v>124</v>
      </c>
      <c r="C48" s="2">
        <v>38</v>
      </c>
      <c r="D48" s="2">
        <v>0</v>
      </c>
      <c r="E48" s="2">
        <v>0</v>
      </c>
      <c r="F48" s="2">
        <v>0</v>
      </c>
      <c r="G48" s="2">
        <v>1</v>
      </c>
      <c r="H48" s="2">
        <v>2</v>
      </c>
      <c r="I48" s="2">
        <v>1</v>
      </c>
      <c r="J48" s="2">
        <v>1</v>
      </c>
      <c r="K48" s="2">
        <v>1</v>
      </c>
      <c r="L48" s="2">
        <v>1</v>
      </c>
      <c r="M48" s="2">
        <v>1</v>
      </c>
      <c r="N48" s="2">
        <v>2</v>
      </c>
      <c r="O48" s="2">
        <v>3</v>
      </c>
      <c r="P48" s="2">
        <v>3</v>
      </c>
      <c r="Q48" s="2">
        <v>3</v>
      </c>
      <c r="R48" s="2">
        <v>3</v>
      </c>
      <c r="S48" s="2">
        <v>4</v>
      </c>
      <c r="T48" s="2">
        <v>3</v>
      </c>
      <c r="U48" s="2">
        <v>3</v>
      </c>
      <c r="V48" s="2">
        <v>2</v>
      </c>
      <c r="W48" s="2">
        <v>2</v>
      </c>
      <c r="X48" s="2">
        <v>3</v>
      </c>
      <c r="Y48" s="2">
        <v>3</v>
      </c>
      <c r="Z48" s="2">
        <v>3</v>
      </c>
      <c r="AA48" s="2">
        <v>3</v>
      </c>
      <c r="AB48" s="2">
        <v>3</v>
      </c>
      <c r="AC48" s="2">
        <v>4</v>
      </c>
      <c r="AD48" s="2">
        <v>4</v>
      </c>
      <c r="AE48" s="2">
        <v>3</v>
      </c>
      <c r="AF48" s="2">
        <v>4</v>
      </c>
      <c r="AG48" s="2">
        <v>4</v>
      </c>
      <c r="AH48" s="2">
        <v>4</v>
      </c>
      <c r="AI48" s="2">
        <v>5</v>
      </c>
      <c r="AJ48" s="2">
        <v>5</v>
      </c>
      <c r="AK48" s="2">
        <v>6</v>
      </c>
      <c r="AL48" s="2">
        <v>7</v>
      </c>
      <c r="AM48" s="2">
        <v>7</v>
      </c>
      <c r="AN48" s="2">
        <v>7</v>
      </c>
      <c r="AO48" s="2">
        <v>9</v>
      </c>
      <c r="AP48" s="2">
        <v>10</v>
      </c>
      <c r="AQ48" s="2" t="e">
        <v>#N/A</v>
      </c>
      <c r="AR48" s="2" t="e">
        <v>#N/A</v>
      </c>
      <c r="AS48" s="2" t="e">
        <v>#N/A</v>
      </c>
      <c r="AT48" s="2" t="e">
        <v>#N/A</v>
      </c>
      <c r="AU48" s="2" t="e">
        <v>#N/A</v>
      </c>
      <c r="AV48" s="2" t="e">
        <v>#N/A</v>
      </c>
      <c r="AW48" s="2" t="e">
        <v>#N/A</v>
      </c>
      <c r="AX48" s="2" t="e">
        <v>#N/A</v>
      </c>
      <c r="AY48" s="2" t="e">
        <v>#N/A</v>
      </c>
      <c r="AZ48" s="2" t="e">
        <v>#N/A</v>
      </c>
      <c r="BA48" s="2" t="e">
        <v>#N/A</v>
      </c>
      <c r="BB48" s="2" t="e">
        <v>#N/A</v>
      </c>
      <c r="BC48" s="2" t="e">
        <v>#N/A</v>
      </c>
      <c r="BD48" s="2" t="e">
        <v>#N/A</v>
      </c>
      <c r="BE48" s="2" t="e">
        <v>#N/A</v>
      </c>
      <c r="BF48" s="2" t="e">
        <v>#N/A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708</v>
      </c>
      <c r="B49" s="2">
        <v>125</v>
      </c>
      <c r="C49" s="2">
        <v>38</v>
      </c>
      <c r="D49" s="2">
        <v>0</v>
      </c>
      <c r="E49" s="2">
        <v>-1</v>
      </c>
      <c r="F49" s="2">
        <v>-2</v>
      </c>
      <c r="G49" s="2">
        <v>-2</v>
      </c>
      <c r="H49" s="2">
        <v>-2</v>
      </c>
      <c r="I49" s="2">
        <v>-2</v>
      </c>
      <c r="J49" s="2">
        <v>-1</v>
      </c>
      <c r="K49" s="2">
        <v>0</v>
      </c>
      <c r="L49" s="2">
        <v>1</v>
      </c>
      <c r="M49" s="2">
        <v>3</v>
      </c>
      <c r="N49" s="2">
        <v>3</v>
      </c>
      <c r="O49" s="2">
        <v>4</v>
      </c>
      <c r="P49" s="2">
        <v>4</v>
      </c>
      <c r="Q49" s="2">
        <v>5</v>
      </c>
      <c r="R49" s="2">
        <v>5</v>
      </c>
      <c r="S49" s="2">
        <v>5</v>
      </c>
      <c r="T49" s="2">
        <v>4</v>
      </c>
      <c r="U49" s="2">
        <v>4</v>
      </c>
      <c r="V49" s="2">
        <v>5</v>
      </c>
      <c r="W49" s="2">
        <v>6</v>
      </c>
      <c r="X49" s="2">
        <v>5</v>
      </c>
      <c r="Y49" s="2">
        <v>5</v>
      </c>
      <c r="Z49" s="2">
        <v>7</v>
      </c>
      <c r="AA49" s="2">
        <v>7</v>
      </c>
      <c r="AB49" s="2">
        <v>8</v>
      </c>
      <c r="AC49" s="2">
        <v>10</v>
      </c>
      <c r="AD49" s="2">
        <v>10</v>
      </c>
      <c r="AE49" s="2">
        <v>10</v>
      </c>
      <c r="AF49" s="2">
        <v>9</v>
      </c>
      <c r="AG49" s="2">
        <v>9</v>
      </c>
      <c r="AH49" s="2">
        <v>10</v>
      </c>
      <c r="AI49" s="2">
        <v>10</v>
      </c>
      <c r="AJ49" s="2">
        <v>11</v>
      </c>
      <c r="AK49" s="2">
        <v>11</v>
      </c>
      <c r="AL49" s="2">
        <v>11</v>
      </c>
      <c r="AM49" s="2">
        <v>12</v>
      </c>
      <c r="AN49" s="2">
        <v>11</v>
      </c>
      <c r="AO49" s="2">
        <v>11</v>
      </c>
      <c r="AP49" s="2">
        <v>12</v>
      </c>
      <c r="AQ49" s="2" t="e">
        <v>#N/A</v>
      </c>
      <c r="AR49" s="2" t="e">
        <v>#N/A</v>
      </c>
      <c r="AS49" s="2" t="e">
        <v>#N/A</v>
      </c>
      <c r="AT49" s="2" t="e">
        <v>#N/A</v>
      </c>
      <c r="AU49" s="2" t="e">
        <v>#N/A</v>
      </c>
      <c r="AV49" s="2" t="e">
        <v>#N/A</v>
      </c>
      <c r="AW49" s="2" t="e">
        <v>#N/A</v>
      </c>
      <c r="AX49" s="2" t="e">
        <v>#N/A</v>
      </c>
      <c r="AY49" s="2" t="e">
        <v>#N/A</v>
      </c>
      <c r="AZ49" s="2" t="e">
        <v>#N/A</v>
      </c>
      <c r="BA49" s="2" t="e">
        <v>#N/A</v>
      </c>
      <c r="BB49" s="2" t="e">
        <v>#N/A</v>
      </c>
      <c r="BC49" s="2" t="e">
        <v>#N/A</v>
      </c>
      <c r="BD49" s="2" t="e">
        <v>#N/A</v>
      </c>
      <c r="BE49" s="2" t="e">
        <v>#N/A</v>
      </c>
      <c r="BF49" s="2" t="e">
        <v>#N/A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709</v>
      </c>
      <c r="B50" s="2">
        <v>126</v>
      </c>
      <c r="C50" s="2">
        <v>38</v>
      </c>
      <c r="D50" s="2">
        <v>0</v>
      </c>
      <c r="E50" s="2">
        <v>-1</v>
      </c>
      <c r="F50" s="2">
        <v>-1</v>
      </c>
      <c r="G50" s="2">
        <v>-1</v>
      </c>
      <c r="H50" s="2">
        <v>-1</v>
      </c>
      <c r="I50" s="2">
        <v>-1</v>
      </c>
      <c r="J50" s="2">
        <v>-1</v>
      </c>
      <c r="K50" s="2">
        <v>-1</v>
      </c>
      <c r="L50" s="2">
        <v>0</v>
      </c>
      <c r="M50" s="2">
        <v>0</v>
      </c>
      <c r="N50" s="2">
        <v>1</v>
      </c>
      <c r="O50" s="2">
        <v>1</v>
      </c>
      <c r="P50" s="2">
        <v>3</v>
      </c>
      <c r="Q50" s="2">
        <v>3</v>
      </c>
      <c r="R50" s="2">
        <v>4</v>
      </c>
      <c r="S50" s="2">
        <v>4</v>
      </c>
      <c r="T50" s="2">
        <v>6</v>
      </c>
      <c r="U50" s="2">
        <v>6</v>
      </c>
      <c r="V50" s="2">
        <v>5</v>
      </c>
      <c r="W50" s="2">
        <v>5</v>
      </c>
      <c r="X50" s="2">
        <v>5</v>
      </c>
      <c r="Y50" s="2">
        <v>5</v>
      </c>
      <c r="Z50" s="2">
        <v>5</v>
      </c>
      <c r="AA50" s="2">
        <v>5</v>
      </c>
      <c r="AB50" s="2">
        <v>5</v>
      </c>
      <c r="AC50" s="2">
        <v>6</v>
      </c>
      <c r="AD50" s="2">
        <v>6</v>
      </c>
      <c r="AE50" s="2">
        <v>6</v>
      </c>
      <c r="AF50" s="2">
        <v>5</v>
      </c>
      <c r="AG50" s="2">
        <v>6</v>
      </c>
      <c r="AH50" s="2">
        <v>7</v>
      </c>
      <c r="AI50" s="2">
        <v>7</v>
      </c>
      <c r="AJ50" s="2">
        <v>7</v>
      </c>
      <c r="AK50" s="2">
        <v>8</v>
      </c>
      <c r="AL50" s="2">
        <v>9</v>
      </c>
      <c r="AM50" s="2">
        <v>9</v>
      </c>
      <c r="AN50" s="2">
        <v>9</v>
      </c>
      <c r="AO50" s="2">
        <v>11</v>
      </c>
      <c r="AP50" s="2">
        <v>12</v>
      </c>
      <c r="AQ50" s="2" t="e">
        <v>#N/A</v>
      </c>
      <c r="AR50" s="2" t="e">
        <v>#N/A</v>
      </c>
      <c r="AS50" s="2" t="e">
        <v>#N/A</v>
      </c>
      <c r="AT50" s="2" t="e">
        <v>#N/A</v>
      </c>
      <c r="AU50" s="2" t="e">
        <v>#N/A</v>
      </c>
      <c r="AV50" s="2" t="e">
        <v>#N/A</v>
      </c>
      <c r="AW50" s="2" t="e">
        <v>#N/A</v>
      </c>
      <c r="AX50" s="2" t="e">
        <v>#N/A</v>
      </c>
      <c r="AY50" s="2" t="e">
        <v>#N/A</v>
      </c>
      <c r="AZ50" s="2" t="e">
        <v>#N/A</v>
      </c>
      <c r="BA50" s="2" t="e">
        <v>#N/A</v>
      </c>
      <c r="BB50" s="2" t="e">
        <v>#N/A</v>
      </c>
      <c r="BC50" s="2" t="e">
        <v>#N/A</v>
      </c>
      <c r="BD50" s="2" t="e">
        <v>#N/A</v>
      </c>
      <c r="BE50" s="2" t="e">
        <v>#N/A</v>
      </c>
      <c r="BF50" s="2" t="e">
        <v>#N/A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710</v>
      </c>
      <c r="B51" s="2">
        <v>127</v>
      </c>
      <c r="C51" s="2">
        <v>38</v>
      </c>
      <c r="D51" s="2">
        <v>0</v>
      </c>
      <c r="E51" s="2">
        <v>-1</v>
      </c>
      <c r="F51" s="2">
        <v>-1</v>
      </c>
      <c r="G51" s="2">
        <v>0</v>
      </c>
      <c r="H51" s="2">
        <v>1</v>
      </c>
      <c r="I51" s="2">
        <v>1</v>
      </c>
      <c r="J51" s="2">
        <v>1</v>
      </c>
      <c r="K51" s="2">
        <v>1</v>
      </c>
      <c r="L51" s="2">
        <v>1</v>
      </c>
      <c r="M51" s="2">
        <v>2</v>
      </c>
      <c r="N51" s="2">
        <v>2</v>
      </c>
      <c r="O51" s="2">
        <v>3</v>
      </c>
      <c r="P51" s="2">
        <v>3</v>
      </c>
      <c r="Q51" s="2">
        <v>2</v>
      </c>
      <c r="R51" s="2">
        <v>2</v>
      </c>
      <c r="S51" s="2">
        <v>2</v>
      </c>
      <c r="T51" s="2">
        <v>2</v>
      </c>
      <c r="U51" s="2">
        <v>3</v>
      </c>
      <c r="V51" s="2">
        <v>3</v>
      </c>
      <c r="W51" s="2">
        <v>3</v>
      </c>
      <c r="X51" s="2">
        <v>3</v>
      </c>
      <c r="Y51" s="2">
        <v>3</v>
      </c>
      <c r="Z51" s="2">
        <v>3</v>
      </c>
      <c r="AA51" s="2">
        <v>3</v>
      </c>
      <c r="AB51" s="2">
        <v>3</v>
      </c>
      <c r="AC51" s="2">
        <v>4</v>
      </c>
      <c r="AD51" s="2">
        <v>4</v>
      </c>
      <c r="AE51" s="2">
        <v>4</v>
      </c>
      <c r="AF51" s="2">
        <v>4</v>
      </c>
      <c r="AG51" s="2">
        <v>7</v>
      </c>
      <c r="AH51" s="2">
        <v>7</v>
      </c>
      <c r="AI51" s="2">
        <v>7</v>
      </c>
      <c r="AJ51" s="2">
        <v>8</v>
      </c>
      <c r="AK51" s="2">
        <v>7</v>
      </c>
      <c r="AL51" s="2">
        <v>8</v>
      </c>
      <c r="AM51" s="2">
        <v>8</v>
      </c>
      <c r="AN51" s="2">
        <v>10</v>
      </c>
      <c r="AO51" s="2">
        <v>12</v>
      </c>
      <c r="AP51" s="2">
        <v>13</v>
      </c>
      <c r="AQ51" s="2" t="e">
        <v>#N/A</v>
      </c>
      <c r="AR51" s="2" t="e">
        <v>#N/A</v>
      </c>
      <c r="AS51" s="2" t="e">
        <v>#N/A</v>
      </c>
      <c r="AT51" s="2" t="e">
        <v>#N/A</v>
      </c>
      <c r="AU51" s="2" t="e">
        <v>#N/A</v>
      </c>
      <c r="AV51" s="2" t="e">
        <v>#N/A</v>
      </c>
      <c r="AW51" s="2" t="e">
        <v>#N/A</v>
      </c>
      <c r="AX51" s="2" t="e">
        <v>#N/A</v>
      </c>
      <c r="AY51" s="2" t="e">
        <v>#N/A</v>
      </c>
      <c r="AZ51" s="2" t="e">
        <v>#N/A</v>
      </c>
      <c r="BA51" s="2" t="e">
        <v>#N/A</v>
      </c>
      <c r="BB51" s="2" t="e">
        <v>#N/A</v>
      </c>
      <c r="BC51" s="2" t="e">
        <v>#N/A</v>
      </c>
      <c r="BD51" s="2" t="e">
        <v>#N/A</v>
      </c>
      <c r="BE51" s="2" t="e">
        <v>#N/A</v>
      </c>
      <c r="BF51" s="2" t="e">
        <v>#N/A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207</v>
      </c>
      <c r="B52" s="2">
        <v>128</v>
      </c>
      <c r="C52" s="2">
        <v>38</v>
      </c>
      <c r="D52" s="2">
        <v>0</v>
      </c>
      <c r="E52" s="2">
        <v>0</v>
      </c>
      <c r="F52" s="2">
        <v>0</v>
      </c>
      <c r="G52" s="2">
        <v>2</v>
      </c>
      <c r="H52" s="2">
        <v>3</v>
      </c>
      <c r="I52" s="2">
        <v>5</v>
      </c>
      <c r="J52" s="2">
        <v>6</v>
      </c>
      <c r="K52" s="2">
        <v>5</v>
      </c>
      <c r="L52" s="2">
        <v>6</v>
      </c>
      <c r="M52" s="2">
        <v>6</v>
      </c>
      <c r="N52" s="2">
        <v>6</v>
      </c>
      <c r="O52" s="2">
        <v>8</v>
      </c>
      <c r="P52" s="2">
        <v>9</v>
      </c>
      <c r="Q52" s="2">
        <v>8</v>
      </c>
      <c r="R52" s="2">
        <v>8</v>
      </c>
      <c r="S52" s="2">
        <v>8</v>
      </c>
      <c r="T52" s="2">
        <v>8</v>
      </c>
      <c r="U52" s="2">
        <v>8</v>
      </c>
      <c r="V52" s="2">
        <v>7</v>
      </c>
      <c r="W52" s="2">
        <v>8</v>
      </c>
      <c r="X52" s="2">
        <v>8</v>
      </c>
      <c r="Y52" s="2">
        <v>8</v>
      </c>
      <c r="Z52" s="2">
        <v>9</v>
      </c>
      <c r="AA52" s="2">
        <v>11</v>
      </c>
      <c r="AB52" s="2">
        <v>11</v>
      </c>
      <c r="AC52" s="2">
        <v>11</v>
      </c>
      <c r="AD52" s="2">
        <v>12</v>
      </c>
      <c r="AE52" s="2">
        <v>12</v>
      </c>
      <c r="AF52" s="2">
        <v>12</v>
      </c>
      <c r="AG52" s="2">
        <v>12</v>
      </c>
      <c r="AH52" s="2">
        <v>12</v>
      </c>
      <c r="AI52" s="2">
        <v>12</v>
      </c>
      <c r="AJ52" s="2">
        <v>12</v>
      </c>
      <c r="AK52" s="2">
        <v>12</v>
      </c>
      <c r="AL52" s="2">
        <v>13</v>
      </c>
      <c r="AM52" s="2">
        <v>13</v>
      </c>
      <c r="AN52" s="2">
        <v>13</v>
      </c>
      <c r="AO52" s="2">
        <v>12</v>
      </c>
      <c r="AP52" s="2">
        <v>14</v>
      </c>
      <c r="AQ52" s="2" t="e">
        <v>#N/A</v>
      </c>
      <c r="AR52" s="2" t="e">
        <v>#N/A</v>
      </c>
      <c r="AS52" s="2" t="e">
        <v>#N/A</v>
      </c>
      <c r="AT52" s="2" t="e">
        <v>#N/A</v>
      </c>
      <c r="AU52" s="2" t="e">
        <v>#N/A</v>
      </c>
      <c r="AV52" s="2" t="e">
        <v>#N/A</v>
      </c>
      <c r="AW52" s="2" t="e">
        <v>#N/A</v>
      </c>
      <c r="AX52" s="2" t="e">
        <v>#N/A</v>
      </c>
      <c r="AY52" s="2" t="e">
        <v>#N/A</v>
      </c>
      <c r="AZ52" s="2" t="e">
        <v>#N/A</v>
      </c>
      <c r="BA52" s="2" t="e">
        <v>#N/A</v>
      </c>
      <c r="BB52" s="2" t="e">
        <v>#N/A</v>
      </c>
      <c r="BC52" s="2" t="e">
        <v>#N/A</v>
      </c>
      <c r="BD52" s="2" t="e">
        <v>#N/A</v>
      </c>
      <c r="BE52" s="2" t="e">
        <v>#N/A</v>
      </c>
      <c r="BF52" s="2" t="e">
        <v>#N/A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711</v>
      </c>
      <c r="B53" s="2">
        <v>129</v>
      </c>
      <c r="C53" s="2">
        <v>38</v>
      </c>
      <c r="D53" s="2">
        <v>0</v>
      </c>
      <c r="E53" s="2">
        <v>-1</v>
      </c>
      <c r="F53" s="2">
        <v>-1</v>
      </c>
      <c r="G53" s="2">
        <v>0</v>
      </c>
      <c r="H53" s="2">
        <v>2</v>
      </c>
      <c r="I53" s="2">
        <v>2</v>
      </c>
      <c r="J53" s="2">
        <v>2</v>
      </c>
      <c r="K53" s="2">
        <v>2</v>
      </c>
      <c r="L53" s="2">
        <v>3</v>
      </c>
      <c r="M53" s="2">
        <v>4</v>
      </c>
      <c r="N53" s="2">
        <v>4</v>
      </c>
      <c r="O53" s="2">
        <v>6</v>
      </c>
      <c r="P53" s="2">
        <v>6</v>
      </c>
      <c r="Q53" s="2">
        <v>6</v>
      </c>
      <c r="R53" s="2">
        <v>6</v>
      </c>
      <c r="S53" s="2">
        <v>7</v>
      </c>
      <c r="T53" s="2">
        <v>7</v>
      </c>
      <c r="U53" s="2">
        <v>8</v>
      </c>
      <c r="V53" s="2">
        <v>7</v>
      </c>
      <c r="W53" s="2">
        <v>8</v>
      </c>
      <c r="X53" s="2">
        <v>9</v>
      </c>
      <c r="Y53" s="2">
        <v>10</v>
      </c>
      <c r="Z53" s="2">
        <v>10</v>
      </c>
      <c r="AA53" s="2">
        <v>12</v>
      </c>
      <c r="AB53" s="2">
        <v>12</v>
      </c>
      <c r="AC53" s="2">
        <v>13</v>
      </c>
      <c r="AD53" s="2">
        <v>13</v>
      </c>
      <c r="AE53" s="2">
        <v>13</v>
      </c>
      <c r="AF53" s="2">
        <v>13</v>
      </c>
      <c r="AG53" s="2">
        <v>13</v>
      </c>
      <c r="AH53" s="2">
        <v>14</v>
      </c>
      <c r="AI53" s="2">
        <v>14</v>
      </c>
      <c r="AJ53" s="2">
        <v>14</v>
      </c>
      <c r="AK53" s="2">
        <v>15</v>
      </c>
      <c r="AL53" s="2">
        <v>15</v>
      </c>
      <c r="AM53" s="2">
        <v>14</v>
      </c>
      <c r="AN53" s="2">
        <v>14</v>
      </c>
      <c r="AO53" s="2">
        <v>15</v>
      </c>
      <c r="AP53" s="2">
        <v>16</v>
      </c>
      <c r="AQ53" s="2" t="e">
        <v>#N/A</v>
      </c>
      <c r="AR53" s="2" t="e">
        <v>#N/A</v>
      </c>
      <c r="AS53" s="2" t="e">
        <v>#N/A</v>
      </c>
      <c r="AT53" s="2" t="e">
        <v>#N/A</v>
      </c>
      <c r="AU53" s="2" t="e">
        <v>#N/A</v>
      </c>
      <c r="AV53" s="2" t="e">
        <v>#N/A</v>
      </c>
      <c r="AW53" s="2" t="e">
        <v>#N/A</v>
      </c>
      <c r="AX53" s="2" t="e">
        <v>#N/A</v>
      </c>
      <c r="AY53" s="2" t="e">
        <v>#N/A</v>
      </c>
      <c r="AZ53" s="2" t="e">
        <v>#N/A</v>
      </c>
      <c r="BA53" s="2" t="e">
        <v>#N/A</v>
      </c>
      <c r="BB53" s="2" t="e">
        <v>#N/A</v>
      </c>
      <c r="BC53" s="2" t="e">
        <v>#N/A</v>
      </c>
      <c r="BD53" s="2" t="e">
        <v>#N/A</v>
      </c>
      <c r="BE53" s="2" t="e">
        <v>#N/A</v>
      </c>
      <c r="BF53" s="2" t="e">
        <v>#N/A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690</v>
      </c>
      <c r="B54" s="2">
        <v>130</v>
      </c>
      <c r="C54" s="2">
        <v>38</v>
      </c>
      <c r="D54" s="2">
        <v>0</v>
      </c>
      <c r="E54" s="2">
        <v>0</v>
      </c>
      <c r="F54" s="2">
        <v>1</v>
      </c>
      <c r="G54" s="2">
        <v>2</v>
      </c>
      <c r="H54" s="2">
        <v>3</v>
      </c>
      <c r="I54" s="2">
        <v>4</v>
      </c>
      <c r="J54" s="2">
        <v>5</v>
      </c>
      <c r="K54" s="2">
        <v>5</v>
      </c>
      <c r="L54" s="2">
        <v>5</v>
      </c>
      <c r="M54" s="2">
        <v>5</v>
      </c>
      <c r="N54" s="2">
        <v>7</v>
      </c>
      <c r="O54" s="2">
        <v>7</v>
      </c>
      <c r="P54" s="2">
        <v>9</v>
      </c>
      <c r="Q54" s="2">
        <v>9</v>
      </c>
      <c r="R54" s="2">
        <v>9</v>
      </c>
      <c r="S54" s="2">
        <v>11</v>
      </c>
      <c r="T54" s="2">
        <v>11</v>
      </c>
      <c r="U54" s="2">
        <v>12</v>
      </c>
      <c r="V54" s="2">
        <v>12</v>
      </c>
      <c r="W54" s="2">
        <v>12</v>
      </c>
      <c r="X54" s="2">
        <v>12</v>
      </c>
      <c r="Y54" s="2">
        <v>11</v>
      </c>
      <c r="Z54" s="2">
        <v>11</v>
      </c>
      <c r="AA54" s="2">
        <v>13</v>
      </c>
      <c r="AB54" s="2">
        <v>13</v>
      </c>
      <c r="AC54" s="2">
        <v>13</v>
      </c>
      <c r="AD54" s="2">
        <v>13</v>
      </c>
      <c r="AE54" s="2">
        <v>13</v>
      </c>
      <c r="AF54" s="2">
        <v>13</v>
      </c>
      <c r="AG54" s="2">
        <v>13</v>
      </c>
      <c r="AH54" s="2">
        <v>13</v>
      </c>
      <c r="AI54" s="2">
        <v>13</v>
      </c>
      <c r="AJ54" s="2">
        <v>13</v>
      </c>
      <c r="AK54" s="2">
        <v>14</v>
      </c>
      <c r="AL54" s="2">
        <v>16</v>
      </c>
      <c r="AM54" s="2">
        <v>16</v>
      </c>
      <c r="AN54" s="2">
        <v>16</v>
      </c>
      <c r="AO54" s="2">
        <v>17</v>
      </c>
      <c r="AP54" s="2">
        <v>17</v>
      </c>
      <c r="AQ54" s="2" t="e">
        <v>#N/A</v>
      </c>
      <c r="AR54" s="2" t="e">
        <v>#N/A</v>
      </c>
      <c r="AS54" s="2" t="e">
        <v>#N/A</v>
      </c>
      <c r="AT54" s="2" t="e">
        <v>#N/A</v>
      </c>
      <c r="AU54" s="2" t="e">
        <v>#N/A</v>
      </c>
      <c r="AV54" s="2" t="e">
        <v>#N/A</v>
      </c>
      <c r="AW54" s="2" t="e">
        <v>#N/A</v>
      </c>
      <c r="AX54" s="2" t="e">
        <v>#N/A</v>
      </c>
      <c r="AY54" s="2" t="e">
        <v>#N/A</v>
      </c>
      <c r="AZ54" s="2" t="e">
        <v>#N/A</v>
      </c>
      <c r="BA54" s="2" t="e">
        <v>#N/A</v>
      </c>
      <c r="BB54" s="2" t="e">
        <v>#N/A</v>
      </c>
      <c r="BC54" s="2" t="e">
        <v>#N/A</v>
      </c>
      <c r="BD54" s="2" t="e">
        <v>#N/A</v>
      </c>
      <c r="BE54" s="2" t="e">
        <v>#N/A</v>
      </c>
      <c r="BF54" s="2" t="e">
        <v>#N/A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712</v>
      </c>
      <c r="B55" s="2">
        <v>131</v>
      </c>
      <c r="C55" s="2">
        <v>38</v>
      </c>
      <c r="D55" s="2">
        <v>0</v>
      </c>
      <c r="E55" s="2">
        <v>0</v>
      </c>
      <c r="F55" s="2">
        <v>1</v>
      </c>
      <c r="G55" s="2">
        <v>2</v>
      </c>
      <c r="H55" s="2">
        <v>2</v>
      </c>
      <c r="I55" s="2">
        <v>1</v>
      </c>
      <c r="J55" s="2">
        <v>0</v>
      </c>
      <c r="K55" s="2">
        <v>0</v>
      </c>
      <c r="L55" s="2">
        <v>0</v>
      </c>
      <c r="M55" s="2">
        <v>3</v>
      </c>
      <c r="N55" s="2">
        <v>3</v>
      </c>
      <c r="O55" s="2">
        <v>4</v>
      </c>
      <c r="P55" s="2">
        <v>3</v>
      </c>
      <c r="Q55" s="2">
        <v>3</v>
      </c>
      <c r="R55" s="2">
        <v>3</v>
      </c>
      <c r="S55" s="2">
        <v>4</v>
      </c>
      <c r="T55" s="2">
        <v>4</v>
      </c>
      <c r="U55" s="2">
        <v>5</v>
      </c>
      <c r="V55" s="2">
        <v>7</v>
      </c>
      <c r="W55" s="2">
        <v>7</v>
      </c>
      <c r="X55" s="2">
        <v>8</v>
      </c>
      <c r="Y55" s="2">
        <v>8</v>
      </c>
      <c r="Z55" s="2">
        <v>9</v>
      </c>
      <c r="AA55" s="2">
        <v>10</v>
      </c>
      <c r="AB55" s="2">
        <v>11</v>
      </c>
      <c r="AC55" s="2">
        <v>12</v>
      </c>
      <c r="AD55" s="2">
        <v>13</v>
      </c>
      <c r="AE55" s="2">
        <v>13</v>
      </c>
      <c r="AF55" s="2">
        <v>13</v>
      </c>
      <c r="AG55" s="2">
        <v>14</v>
      </c>
      <c r="AH55" s="2">
        <v>15</v>
      </c>
      <c r="AI55" s="2">
        <v>17</v>
      </c>
      <c r="AJ55" s="2">
        <v>17</v>
      </c>
      <c r="AK55" s="2">
        <v>18</v>
      </c>
      <c r="AL55" s="2">
        <v>18</v>
      </c>
      <c r="AM55" s="2">
        <v>18</v>
      </c>
      <c r="AN55" s="2">
        <v>18</v>
      </c>
      <c r="AO55" s="2">
        <v>17</v>
      </c>
      <c r="AP55" s="2">
        <v>18</v>
      </c>
      <c r="AQ55" s="2" t="e">
        <v>#N/A</v>
      </c>
      <c r="AR55" s="2" t="e">
        <v>#N/A</v>
      </c>
      <c r="AS55" s="2" t="e">
        <v>#N/A</v>
      </c>
      <c r="AT55" s="2" t="e">
        <v>#N/A</v>
      </c>
      <c r="AU55" s="2" t="e">
        <v>#N/A</v>
      </c>
      <c r="AV55" s="2" t="e">
        <v>#N/A</v>
      </c>
      <c r="AW55" s="2" t="e">
        <v>#N/A</v>
      </c>
      <c r="AX55" s="2" t="e">
        <v>#N/A</v>
      </c>
      <c r="AY55" s="2" t="e">
        <v>#N/A</v>
      </c>
      <c r="AZ55" s="2" t="e">
        <v>#N/A</v>
      </c>
      <c r="BA55" s="2" t="e">
        <v>#N/A</v>
      </c>
      <c r="BB55" s="2" t="e">
        <v>#N/A</v>
      </c>
      <c r="BC55" s="2" t="e">
        <v>#N/A</v>
      </c>
      <c r="BD55" s="2" t="e">
        <v>#N/A</v>
      </c>
      <c r="BE55" s="2" t="e">
        <v>#N/A</v>
      </c>
      <c r="BF55" s="2" t="e">
        <v>#N/A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713</v>
      </c>
      <c r="B56" s="2">
        <v>132</v>
      </c>
      <c r="C56" s="2">
        <v>38</v>
      </c>
      <c r="D56" s="2">
        <v>0</v>
      </c>
      <c r="E56" s="2">
        <v>-1</v>
      </c>
      <c r="F56" s="2">
        <v>-1</v>
      </c>
      <c r="G56" s="2">
        <v>-1</v>
      </c>
      <c r="H56" s="2">
        <v>-1</v>
      </c>
      <c r="I56" s="2">
        <v>0</v>
      </c>
      <c r="J56" s="2">
        <v>0</v>
      </c>
      <c r="K56" s="2">
        <v>1</v>
      </c>
      <c r="L56" s="2">
        <v>1</v>
      </c>
      <c r="M56" s="2">
        <v>2</v>
      </c>
      <c r="N56" s="2">
        <v>3</v>
      </c>
      <c r="O56" s="2">
        <v>3</v>
      </c>
      <c r="P56" s="2">
        <v>3</v>
      </c>
      <c r="Q56" s="2">
        <v>3</v>
      </c>
      <c r="R56" s="2">
        <v>3</v>
      </c>
      <c r="S56" s="2">
        <v>3</v>
      </c>
      <c r="T56" s="2">
        <v>3</v>
      </c>
      <c r="U56" s="2">
        <v>4</v>
      </c>
      <c r="V56" s="2">
        <v>5</v>
      </c>
      <c r="W56" s="2">
        <v>6</v>
      </c>
      <c r="X56" s="2">
        <v>7</v>
      </c>
      <c r="Y56" s="2">
        <v>7</v>
      </c>
      <c r="Z56" s="2">
        <v>10</v>
      </c>
      <c r="AA56" s="2">
        <v>10</v>
      </c>
      <c r="AB56" s="2">
        <v>11</v>
      </c>
      <c r="AC56" s="2">
        <v>12</v>
      </c>
      <c r="AD56" s="2">
        <v>12</v>
      </c>
      <c r="AE56" s="2">
        <v>12</v>
      </c>
      <c r="AF56" s="2">
        <v>12</v>
      </c>
      <c r="AG56" s="2">
        <v>12</v>
      </c>
      <c r="AH56" s="2">
        <v>13</v>
      </c>
      <c r="AI56" s="2">
        <v>13</v>
      </c>
      <c r="AJ56" s="2">
        <v>14</v>
      </c>
      <c r="AK56" s="2">
        <v>15</v>
      </c>
      <c r="AL56" s="2">
        <v>16</v>
      </c>
      <c r="AM56" s="2">
        <v>16</v>
      </c>
      <c r="AN56" s="2">
        <v>17</v>
      </c>
      <c r="AO56" s="2">
        <v>18</v>
      </c>
      <c r="AP56" s="2">
        <v>19</v>
      </c>
      <c r="AQ56" s="2" t="e">
        <v>#N/A</v>
      </c>
      <c r="AR56" s="2" t="e">
        <v>#N/A</v>
      </c>
      <c r="AS56" s="2" t="e">
        <v>#N/A</v>
      </c>
      <c r="AT56" s="2" t="e">
        <v>#N/A</v>
      </c>
      <c r="AU56" s="2" t="e">
        <v>#N/A</v>
      </c>
      <c r="AV56" s="2" t="e">
        <v>#N/A</v>
      </c>
      <c r="AW56" s="2" t="e">
        <v>#N/A</v>
      </c>
      <c r="AX56" s="2" t="e">
        <v>#N/A</v>
      </c>
      <c r="AY56" s="2" t="e">
        <v>#N/A</v>
      </c>
      <c r="AZ56" s="2" t="e">
        <v>#N/A</v>
      </c>
      <c r="BA56" s="2" t="e">
        <v>#N/A</v>
      </c>
      <c r="BB56" s="2" t="e">
        <v>#N/A</v>
      </c>
      <c r="BC56" s="2" t="e">
        <v>#N/A</v>
      </c>
      <c r="BD56" s="2" t="e">
        <v>#N/A</v>
      </c>
      <c r="BE56" s="2" t="e">
        <v>#N/A</v>
      </c>
      <c r="BF56" s="2" t="e">
        <v>#N/A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691</v>
      </c>
      <c r="B57" s="2">
        <v>133</v>
      </c>
      <c r="C57" s="2">
        <v>38</v>
      </c>
      <c r="D57" s="2">
        <v>0</v>
      </c>
      <c r="E57" s="2">
        <v>0</v>
      </c>
      <c r="F57" s="2">
        <v>0</v>
      </c>
      <c r="G57" s="2">
        <v>1</v>
      </c>
      <c r="H57" s="2">
        <v>1</v>
      </c>
      <c r="I57" s="2">
        <v>1</v>
      </c>
      <c r="J57" s="2">
        <v>3</v>
      </c>
      <c r="K57" s="2">
        <v>4</v>
      </c>
      <c r="L57" s="2">
        <v>4</v>
      </c>
      <c r="M57" s="2">
        <v>5</v>
      </c>
      <c r="N57" s="2">
        <v>5</v>
      </c>
      <c r="O57" s="2">
        <v>7</v>
      </c>
      <c r="P57" s="2">
        <v>7</v>
      </c>
      <c r="Q57" s="2">
        <v>8</v>
      </c>
      <c r="R57" s="2">
        <v>8</v>
      </c>
      <c r="S57" s="2">
        <v>9</v>
      </c>
      <c r="T57" s="2">
        <v>9</v>
      </c>
      <c r="U57" s="2">
        <v>10</v>
      </c>
      <c r="V57" s="2">
        <v>11</v>
      </c>
      <c r="W57" s="2">
        <v>11</v>
      </c>
      <c r="X57" s="2">
        <v>12</v>
      </c>
      <c r="Y57" s="2">
        <v>12</v>
      </c>
      <c r="Z57" s="2">
        <v>14</v>
      </c>
      <c r="AA57" s="2">
        <v>14</v>
      </c>
      <c r="AB57" s="2">
        <v>14</v>
      </c>
      <c r="AC57" s="2">
        <v>16</v>
      </c>
      <c r="AD57" s="2">
        <v>16</v>
      </c>
      <c r="AE57" s="2">
        <v>16</v>
      </c>
      <c r="AF57" s="2">
        <v>16</v>
      </c>
      <c r="AG57" s="2">
        <v>17</v>
      </c>
      <c r="AH57" s="2">
        <v>17</v>
      </c>
      <c r="AI57" s="2">
        <v>17</v>
      </c>
      <c r="AJ57" s="2">
        <v>18</v>
      </c>
      <c r="AK57" s="2">
        <v>18</v>
      </c>
      <c r="AL57" s="2">
        <v>20</v>
      </c>
      <c r="AM57" s="2">
        <v>20</v>
      </c>
      <c r="AN57" s="2">
        <v>21</v>
      </c>
      <c r="AO57" s="2">
        <v>20</v>
      </c>
      <c r="AP57" s="2">
        <v>21</v>
      </c>
      <c r="AQ57" s="2" t="e">
        <v>#N/A</v>
      </c>
      <c r="AR57" s="2" t="e">
        <v>#N/A</v>
      </c>
      <c r="AS57" s="2" t="e">
        <v>#N/A</v>
      </c>
      <c r="AT57" s="2" t="e">
        <v>#N/A</v>
      </c>
      <c r="AU57" s="2" t="e">
        <v>#N/A</v>
      </c>
      <c r="AV57" s="2" t="e">
        <v>#N/A</v>
      </c>
      <c r="AW57" s="2" t="e">
        <v>#N/A</v>
      </c>
      <c r="AX57" s="2" t="e">
        <v>#N/A</v>
      </c>
      <c r="AY57" s="2" t="e">
        <v>#N/A</v>
      </c>
      <c r="AZ57" s="2" t="e">
        <v>#N/A</v>
      </c>
      <c r="BA57" s="2" t="e">
        <v>#N/A</v>
      </c>
      <c r="BB57" s="2" t="e">
        <v>#N/A</v>
      </c>
      <c r="BC57" s="2" t="e">
        <v>#N/A</v>
      </c>
      <c r="BD57" s="2" t="e">
        <v>#N/A</v>
      </c>
      <c r="BE57" s="2" t="e">
        <v>#N/A</v>
      </c>
      <c r="BF57" s="2" t="e">
        <v>#N/A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420</v>
      </c>
      <c r="B58" s="2">
        <v>134</v>
      </c>
      <c r="C58" s="2">
        <v>38</v>
      </c>
      <c r="D58" s="2">
        <v>0</v>
      </c>
      <c r="E58" s="2">
        <v>-1</v>
      </c>
      <c r="F58" s="2">
        <v>-1</v>
      </c>
      <c r="G58" s="2">
        <v>0</v>
      </c>
      <c r="H58" s="2">
        <v>1</v>
      </c>
      <c r="I58" s="2">
        <v>2</v>
      </c>
      <c r="J58" s="2">
        <v>2</v>
      </c>
      <c r="K58" s="2">
        <v>3</v>
      </c>
      <c r="L58" s="2">
        <v>3</v>
      </c>
      <c r="M58" s="2">
        <v>3</v>
      </c>
      <c r="N58" s="2">
        <v>4</v>
      </c>
      <c r="O58" s="2">
        <v>4</v>
      </c>
      <c r="P58" s="2">
        <v>4</v>
      </c>
      <c r="Q58" s="2">
        <v>5</v>
      </c>
      <c r="R58" s="2">
        <v>5</v>
      </c>
      <c r="S58" s="2">
        <v>5</v>
      </c>
      <c r="T58" s="2">
        <v>5</v>
      </c>
      <c r="U58" s="2">
        <v>5</v>
      </c>
      <c r="V58" s="2">
        <v>4</v>
      </c>
      <c r="W58" s="2">
        <v>4</v>
      </c>
      <c r="X58" s="2">
        <v>5</v>
      </c>
      <c r="Y58" s="2">
        <v>5</v>
      </c>
      <c r="Z58" s="2">
        <v>7</v>
      </c>
      <c r="AA58" s="2">
        <v>7</v>
      </c>
      <c r="AB58" s="2">
        <v>8</v>
      </c>
      <c r="AC58" s="2">
        <v>9</v>
      </c>
      <c r="AD58" s="2">
        <v>11</v>
      </c>
      <c r="AE58" s="2">
        <v>11</v>
      </c>
      <c r="AF58" s="2">
        <v>11</v>
      </c>
      <c r="AG58" s="2">
        <v>13</v>
      </c>
      <c r="AH58" s="2">
        <v>16</v>
      </c>
      <c r="AI58" s="2">
        <v>16</v>
      </c>
      <c r="AJ58" s="2">
        <v>17</v>
      </c>
      <c r="AK58" s="2">
        <v>17</v>
      </c>
      <c r="AL58" s="2">
        <v>18</v>
      </c>
      <c r="AM58" s="2">
        <v>18</v>
      </c>
      <c r="AN58" s="2">
        <v>19</v>
      </c>
      <c r="AO58" s="2">
        <v>20</v>
      </c>
      <c r="AP58" s="2">
        <v>21</v>
      </c>
      <c r="AQ58" s="2" t="e">
        <v>#N/A</v>
      </c>
      <c r="AR58" s="2" t="e">
        <v>#N/A</v>
      </c>
      <c r="AS58" s="2" t="e">
        <v>#N/A</v>
      </c>
      <c r="AT58" s="2" t="e">
        <v>#N/A</v>
      </c>
      <c r="AU58" s="2" t="e">
        <v>#N/A</v>
      </c>
      <c r="AV58" s="2" t="e">
        <v>#N/A</v>
      </c>
      <c r="AW58" s="2" t="e">
        <v>#N/A</v>
      </c>
      <c r="AX58" s="2" t="e">
        <v>#N/A</v>
      </c>
      <c r="AY58" s="2" t="e">
        <v>#N/A</v>
      </c>
      <c r="AZ58" s="2" t="e">
        <v>#N/A</v>
      </c>
      <c r="BA58" s="2" t="e">
        <v>#N/A</v>
      </c>
      <c r="BB58" s="2" t="e">
        <v>#N/A</v>
      </c>
      <c r="BC58" s="2" t="e">
        <v>#N/A</v>
      </c>
      <c r="BD58" s="2" t="e">
        <v>#N/A</v>
      </c>
      <c r="BE58" s="2" t="e">
        <v>#N/A</v>
      </c>
      <c r="BF58" s="2" t="e">
        <v>#N/A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571</v>
      </c>
      <c r="B59" s="2">
        <v>135</v>
      </c>
      <c r="C59" s="2">
        <v>38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1</v>
      </c>
      <c r="K59" s="2">
        <v>1</v>
      </c>
      <c r="L59" s="2">
        <v>1</v>
      </c>
      <c r="M59" s="2">
        <v>1</v>
      </c>
      <c r="N59" s="2">
        <v>1</v>
      </c>
      <c r="O59" s="2">
        <v>2</v>
      </c>
      <c r="P59" s="2">
        <v>4</v>
      </c>
      <c r="Q59" s="2">
        <v>5</v>
      </c>
      <c r="R59" s="2">
        <v>5</v>
      </c>
      <c r="S59" s="2">
        <v>5</v>
      </c>
      <c r="T59" s="2">
        <v>6</v>
      </c>
      <c r="U59" s="2">
        <v>6</v>
      </c>
      <c r="V59" s="2">
        <v>7</v>
      </c>
      <c r="W59" s="2">
        <v>7</v>
      </c>
      <c r="X59" s="2">
        <v>8</v>
      </c>
      <c r="Y59" s="2">
        <v>9</v>
      </c>
      <c r="Z59" s="2">
        <v>10</v>
      </c>
      <c r="AA59" s="2">
        <v>10</v>
      </c>
      <c r="AB59" s="2">
        <v>10</v>
      </c>
      <c r="AC59" s="2">
        <v>13</v>
      </c>
      <c r="AD59" s="2">
        <v>15</v>
      </c>
      <c r="AE59" s="2">
        <v>15</v>
      </c>
      <c r="AF59" s="2">
        <v>15</v>
      </c>
      <c r="AG59" s="2">
        <v>16</v>
      </c>
      <c r="AH59" s="2">
        <v>17</v>
      </c>
      <c r="AI59" s="2">
        <v>17</v>
      </c>
      <c r="AJ59" s="2">
        <v>17</v>
      </c>
      <c r="AK59" s="2">
        <v>17</v>
      </c>
      <c r="AL59" s="2">
        <v>17</v>
      </c>
      <c r="AM59" s="2">
        <v>16</v>
      </c>
      <c r="AN59" s="2">
        <v>18</v>
      </c>
      <c r="AO59" s="2">
        <v>21</v>
      </c>
      <c r="AP59" s="2">
        <v>22</v>
      </c>
      <c r="AQ59" s="2" t="e">
        <v>#N/A</v>
      </c>
      <c r="AR59" s="2" t="e">
        <v>#N/A</v>
      </c>
      <c r="AS59" s="2" t="e">
        <v>#N/A</v>
      </c>
      <c r="AT59" s="2" t="e">
        <v>#N/A</v>
      </c>
      <c r="AU59" s="2" t="e">
        <v>#N/A</v>
      </c>
      <c r="AV59" s="2" t="e">
        <v>#N/A</v>
      </c>
      <c r="AW59" s="2" t="e">
        <v>#N/A</v>
      </c>
      <c r="AX59" s="2" t="e">
        <v>#N/A</v>
      </c>
      <c r="AY59" s="2" t="e">
        <v>#N/A</v>
      </c>
      <c r="AZ59" s="2" t="e">
        <v>#N/A</v>
      </c>
      <c r="BA59" s="2" t="e">
        <v>#N/A</v>
      </c>
      <c r="BB59" s="2" t="e">
        <v>#N/A</v>
      </c>
      <c r="BC59" s="2" t="e">
        <v>#N/A</v>
      </c>
      <c r="BD59" s="2" t="e">
        <v>#N/A</v>
      </c>
      <c r="BE59" s="2" t="e">
        <v>#N/A</v>
      </c>
      <c r="BF59" s="2" t="e">
        <v>#N/A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486</v>
      </c>
      <c r="B60" s="2">
        <v>136</v>
      </c>
      <c r="C60" s="2">
        <v>38</v>
      </c>
      <c r="D60" s="2">
        <v>0</v>
      </c>
      <c r="E60" s="2">
        <v>0</v>
      </c>
      <c r="F60" s="2">
        <v>0</v>
      </c>
      <c r="G60" s="2">
        <v>1</v>
      </c>
      <c r="H60" s="2">
        <v>2</v>
      </c>
      <c r="I60" s="2">
        <v>3</v>
      </c>
      <c r="J60" s="2">
        <v>4</v>
      </c>
      <c r="K60" s="2">
        <v>5</v>
      </c>
      <c r="L60" s="2">
        <v>5</v>
      </c>
      <c r="M60" s="2">
        <v>7</v>
      </c>
      <c r="N60" s="2">
        <v>7</v>
      </c>
      <c r="O60" s="2">
        <v>9</v>
      </c>
      <c r="P60" s="2">
        <v>11</v>
      </c>
      <c r="Q60" s="2">
        <v>11</v>
      </c>
      <c r="R60" s="2">
        <v>11</v>
      </c>
      <c r="S60" s="2">
        <v>11</v>
      </c>
      <c r="T60" s="2">
        <v>11</v>
      </c>
      <c r="U60" s="2">
        <v>12</v>
      </c>
      <c r="V60" s="2">
        <v>13</v>
      </c>
      <c r="W60" s="2">
        <v>13</v>
      </c>
      <c r="X60" s="2">
        <v>13</v>
      </c>
      <c r="Y60" s="2">
        <v>13</v>
      </c>
      <c r="Z60" s="2">
        <v>14</v>
      </c>
      <c r="AA60" s="2">
        <v>14</v>
      </c>
      <c r="AB60" s="2">
        <v>14</v>
      </c>
      <c r="AC60" s="2">
        <v>16</v>
      </c>
      <c r="AD60" s="2">
        <v>17</v>
      </c>
      <c r="AE60" s="2">
        <v>17</v>
      </c>
      <c r="AF60" s="2">
        <v>18</v>
      </c>
      <c r="AG60" s="2">
        <v>19</v>
      </c>
      <c r="AH60" s="2">
        <v>21</v>
      </c>
      <c r="AI60" s="2">
        <v>21</v>
      </c>
      <c r="AJ60" s="2">
        <v>21</v>
      </c>
      <c r="AK60" s="2">
        <v>22</v>
      </c>
      <c r="AL60" s="2">
        <v>23</v>
      </c>
      <c r="AM60" s="2">
        <v>24</v>
      </c>
      <c r="AN60" s="2">
        <v>24</v>
      </c>
      <c r="AO60" s="2">
        <v>23</v>
      </c>
      <c r="AP60" s="2">
        <v>23</v>
      </c>
      <c r="AQ60" s="2" t="e">
        <v>#N/A</v>
      </c>
      <c r="AR60" s="2" t="e">
        <v>#N/A</v>
      </c>
      <c r="AS60" s="2" t="e">
        <v>#N/A</v>
      </c>
      <c r="AT60" s="2" t="e">
        <v>#N/A</v>
      </c>
      <c r="AU60" s="2" t="e">
        <v>#N/A</v>
      </c>
      <c r="AV60" s="2" t="e">
        <v>#N/A</v>
      </c>
      <c r="AW60" s="2" t="e">
        <v>#N/A</v>
      </c>
      <c r="AX60" s="2" t="e">
        <v>#N/A</v>
      </c>
      <c r="AY60" s="2" t="e">
        <v>#N/A</v>
      </c>
      <c r="AZ60" s="2" t="e">
        <v>#N/A</v>
      </c>
      <c r="BA60" s="2" t="e">
        <v>#N/A</v>
      </c>
      <c r="BB60" s="2" t="e">
        <v>#N/A</v>
      </c>
      <c r="BC60" s="2" t="e">
        <v>#N/A</v>
      </c>
      <c r="BD60" s="2" t="e">
        <v>#N/A</v>
      </c>
      <c r="BE60" s="2" t="e">
        <v>#N/A</v>
      </c>
      <c r="BF60" s="2" t="e">
        <v>#N/A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13</v>
      </c>
      <c r="B61" s="2">
        <v>137</v>
      </c>
      <c r="C61" s="2">
        <v>38</v>
      </c>
      <c r="D61" s="2">
        <v>0</v>
      </c>
      <c r="E61" s="2">
        <v>1</v>
      </c>
      <c r="F61" s="2">
        <v>1</v>
      </c>
      <c r="G61" s="2">
        <v>1</v>
      </c>
      <c r="H61" s="2">
        <v>3</v>
      </c>
      <c r="I61" s="2">
        <v>5</v>
      </c>
      <c r="J61" s="2">
        <v>5</v>
      </c>
      <c r="K61" s="2">
        <v>5</v>
      </c>
      <c r="L61" s="2">
        <v>5</v>
      </c>
      <c r="M61" s="2">
        <v>6</v>
      </c>
      <c r="N61" s="2">
        <v>8</v>
      </c>
      <c r="O61" s="2">
        <v>9</v>
      </c>
      <c r="P61" s="2">
        <v>11</v>
      </c>
      <c r="Q61" s="2">
        <v>11</v>
      </c>
      <c r="R61" s="2">
        <v>12</v>
      </c>
      <c r="S61" s="2">
        <v>12</v>
      </c>
      <c r="T61" s="2">
        <v>12</v>
      </c>
      <c r="U61" s="2">
        <v>13</v>
      </c>
      <c r="V61" s="2">
        <v>12</v>
      </c>
      <c r="W61" s="2">
        <v>13</v>
      </c>
      <c r="X61" s="2">
        <v>12</v>
      </c>
      <c r="Y61" s="2">
        <v>12</v>
      </c>
      <c r="Z61" s="2">
        <v>13</v>
      </c>
      <c r="AA61" s="2">
        <v>13</v>
      </c>
      <c r="AB61" s="2">
        <v>14</v>
      </c>
      <c r="AC61" s="2">
        <v>15</v>
      </c>
      <c r="AD61" s="2">
        <v>16</v>
      </c>
      <c r="AE61" s="2">
        <v>16</v>
      </c>
      <c r="AF61" s="2">
        <v>18</v>
      </c>
      <c r="AG61" s="2">
        <v>18</v>
      </c>
      <c r="AH61" s="2">
        <v>19</v>
      </c>
      <c r="AI61" s="2">
        <v>20</v>
      </c>
      <c r="AJ61" s="2">
        <v>19</v>
      </c>
      <c r="AK61" s="2">
        <v>19</v>
      </c>
      <c r="AL61" s="2">
        <v>19</v>
      </c>
      <c r="AM61" s="2">
        <v>19</v>
      </c>
      <c r="AN61" s="2">
        <v>20</v>
      </c>
      <c r="AO61" s="2">
        <v>23</v>
      </c>
      <c r="AP61" s="2">
        <v>24</v>
      </c>
      <c r="AQ61" s="2" t="e">
        <v>#N/A</v>
      </c>
      <c r="AR61" s="2" t="e">
        <v>#N/A</v>
      </c>
      <c r="AS61" s="2" t="e">
        <v>#N/A</v>
      </c>
      <c r="AT61" s="2" t="e">
        <v>#N/A</v>
      </c>
      <c r="AU61" s="2" t="e">
        <v>#N/A</v>
      </c>
      <c r="AV61" s="2" t="e">
        <v>#N/A</v>
      </c>
      <c r="AW61" s="2" t="e">
        <v>#N/A</v>
      </c>
      <c r="AX61" s="2" t="e">
        <v>#N/A</v>
      </c>
      <c r="AY61" s="2" t="e">
        <v>#N/A</v>
      </c>
      <c r="AZ61" s="2" t="e">
        <v>#N/A</v>
      </c>
      <c r="BA61" s="2" t="e">
        <v>#N/A</v>
      </c>
      <c r="BB61" s="2" t="e">
        <v>#N/A</v>
      </c>
      <c r="BC61" s="2" t="e">
        <v>#N/A</v>
      </c>
      <c r="BD61" s="2" t="e">
        <v>#N/A</v>
      </c>
      <c r="BE61" s="2" t="e">
        <v>#N/A</v>
      </c>
      <c r="BF61" s="2" t="e">
        <v>#N/A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456</v>
      </c>
      <c r="B62" s="2">
        <v>138</v>
      </c>
      <c r="C62" s="2">
        <v>38</v>
      </c>
      <c r="D62" s="2">
        <v>0</v>
      </c>
      <c r="E62" s="2">
        <v>0</v>
      </c>
      <c r="F62" s="2">
        <v>1</v>
      </c>
      <c r="G62" s="2">
        <v>2</v>
      </c>
      <c r="H62" s="2">
        <v>3</v>
      </c>
      <c r="I62" s="2">
        <v>2</v>
      </c>
      <c r="J62" s="2">
        <v>4</v>
      </c>
      <c r="K62" s="2">
        <v>4</v>
      </c>
      <c r="L62" s="2">
        <v>4</v>
      </c>
      <c r="M62" s="2">
        <v>6</v>
      </c>
      <c r="N62" s="2">
        <v>6</v>
      </c>
      <c r="O62" s="2">
        <v>7</v>
      </c>
      <c r="P62" s="2">
        <v>7</v>
      </c>
      <c r="Q62" s="2">
        <v>7</v>
      </c>
      <c r="R62" s="2">
        <v>9</v>
      </c>
      <c r="S62" s="2">
        <v>9</v>
      </c>
      <c r="T62" s="2">
        <v>9</v>
      </c>
      <c r="U62" s="2">
        <v>11</v>
      </c>
      <c r="V62" s="2">
        <v>12</v>
      </c>
      <c r="W62" s="2">
        <v>13</v>
      </c>
      <c r="X62" s="2">
        <v>14</v>
      </c>
      <c r="Y62" s="2">
        <v>16</v>
      </c>
      <c r="Z62" s="2">
        <v>16</v>
      </c>
      <c r="AA62" s="2">
        <v>17</v>
      </c>
      <c r="AB62" s="2">
        <v>18</v>
      </c>
      <c r="AC62" s="2">
        <v>19</v>
      </c>
      <c r="AD62" s="2">
        <v>18</v>
      </c>
      <c r="AE62" s="2">
        <v>19</v>
      </c>
      <c r="AF62" s="2">
        <v>20</v>
      </c>
      <c r="AG62" s="2">
        <v>20</v>
      </c>
      <c r="AH62" s="2">
        <v>21</v>
      </c>
      <c r="AI62" s="2">
        <v>21</v>
      </c>
      <c r="AJ62" s="2">
        <v>21</v>
      </c>
      <c r="AK62" s="2">
        <v>21</v>
      </c>
      <c r="AL62" s="2">
        <v>21</v>
      </c>
      <c r="AM62" s="2">
        <v>21</v>
      </c>
      <c r="AN62" s="2">
        <v>22</v>
      </c>
      <c r="AO62" s="2">
        <v>24</v>
      </c>
      <c r="AP62" s="2">
        <v>24</v>
      </c>
      <c r="AQ62" s="2" t="e">
        <v>#N/A</v>
      </c>
      <c r="AR62" s="2" t="e">
        <v>#N/A</v>
      </c>
      <c r="AS62" s="2" t="e">
        <v>#N/A</v>
      </c>
      <c r="AT62" s="2" t="e">
        <v>#N/A</v>
      </c>
      <c r="AU62" s="2" t="e">
        <v>#N/A</v>
      </c>
      <c r="AV62" s="2" t="e">
        <v>#N/A</v>
      </c>
      <c r="AW62" s="2" t="e">
        <v>#N/A</v>
      </c>
      <c r="AX62" s="2" t="e">
        <v>#N/A</v>
      </c>
      <c r="AY62" s="2" t="e">
        <v>#N/A</v>
      </c>
      <c r="AZ62" s="2" t="e">
        <v>#N/A</v>
      </c>
      <c r="BA62" s="2" t="e">
        <v>#N/A</v>
      </c>
      <c r="BB62" s="2" t="e">
        <v>#N/A</v>
      </c>
      <c r="BC62" s="2" t="e">
        <v>#N/A</v>
      </c>
      <c r="BD62" s="2" t="e">
        <v>#N/A</v>
      </c>
      <c r="BE62" s="2" t="e">
        <v>#N/A</v>
      </c>
      <c r="BF62" s="2" t="e">
        <v>#N/A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577</v>
      </c>
      <c r="B63" s="2">
        <v>139</v>
      </c>
      <c r="C63" s="2">
        <v>38</v>
      </c>
      <c r="D63" s="2">
        <v>0</v>
      </c>
      <c r="E63" s="2">
        <v>0</v>
      </c>
      <c r="F63" s="2">
        <v>1</v>
      </c>
      <c r="G63" s="2">
        <v>2</v>
      </c>
      <c r="H63" s="2">
        <v>3</v>
      </c>
      <c r="I63" s="2">
        <v>3</v>
      </c>
      <c r="J63" s="2">
        <v>4</v>
      </c>
      <c r="K63" s="2">
        <v>5</v>
      </c>
      <c r="L63" s="2">
        <v>6</v>
      </c>
      <c r="M63" s="2">
        <v>6</v>
      </c>
      <c r="N63" s="2">
        <v>7</v>
      </c>
      <c r="O63" s="2">
        <v>8</v>
      </c>
      <c r="P63" s="2">
        <v>8</v>
      </c>
      <c r="Q63" s="2">
        <v>8</v>
      </c>
      <c r="R63" s="2">
        <v>10</v>
      </c>
      <c r="S63" s="2">
        <v>10</v>
      </c>
      <c r="T63" s="2">
        <v>10</v>
      </c>
      <c r="U63" s="2">
        <v>11</v>
      </c>
      <c r="V63" s="2">
        <v>10</v>
      </c>
      <c r="W63" s="2">
        <v>10</v>
      </c>
      <c r="X63" s="2">
        <v>12</v>
      </c>
      <c r="Y63" s="2">
        <v>12</v>
      </c>
      <c r="Z63" s="2">
        <v>14</v>
      </c>
      <c r="AA63" s="2">
        <v>14</v>
      </c>
      <c r="AB63" s="2">
        <v>14</v>
      </c>
      <c r="AC63" s="2">
        <v>15</v>
      </c>
      <c r="AD63" s="2">
        <v>16</v>
      </c>
      <c r="AE63" s="2">
        <v>16</v>
      </c>
      <c r="AF63" s="2">
        <v>16</v>
      </c>
      <c r="AG63" s="2">
        <v>16</v>
      </c>
      <c r="AH63" s="2">
        <v>17</v>
      </c>
      <c r="AI63" s="2">
        <v>19</v>
      </c>
      <c r="AJ63" s="2">
        <v>19</v>
      </c>
      <c r="AK63" s="2">
        <v>20</v>
      </c>
      <c r="AL63" s="2">
        <v>20</v>
      </c>
      <c r="AM63" s="2">
        <v>20</v>
      </c>
      <c r="AN63" s="2">
        <v>20</v>
      </c>
      <c r="AO63" s="2">
        <v>23</v>
      </c>
      <c r="AP63" s="2">
        <v>24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714</v>
      </c>
      <c r="B64" s="2">
        <v>140</v>
      </c>
      <c r="C64" s="2">
        <v>38</v>
      </c>
      <c r="D64" s="2">
        <v>0</v>
      </c>
      <c r="E64" s="2">
        <v>0</v>
      </c>
      <c r="F64" s="2">
        <v>1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1</v>
      </c>
      <c r="N64" s="2">
        <v>2</v>
      </c>
      <c r="O64" s="2">
        <v>3</v>
      </c>
      <c r="P64" s="2">
        <v>4</v>
      </c>
      <c r="Q64" s="2">
        <v>4</v>
      </c>
      <c r="R64" s="2">
        <v>5</v>
      </c>
      <c r="S64" s="2">
        <v>6</v>
      </c>
      <c r="T64" s="2">
        <v>6</v>
      </c>
      <c r="U64" s="2">
        <v>7</v>
      </c>
      <c r="V64" s="2">
        <v>6</v>
      </c>
      <c r="W64" s="2">
        <v>8</v>
      </c>
      <c r="X64" s="2">
        <v>9</v>
      </c>
      <c r="Y64" s="2">
        <v>10</v>
      </c>
      <c r="Z64" s="2">
        <v>10</v>
      </c>
      <c r="AA64" s="2">
        <v>10</v>
      </c>
      <c r="AB64" s="2">
        <v>12</v>
      </c>
      <c r="AC64" s="2">
        <v>13</v>
      </c>
      <c r="AD64" s="2">
        <v>13</v>
      </c>
      <c r="AE64" s="2">
        <v>13</v>
      </c>
      <c r="AF64" s="2">
        <v>14</v>
      </c>
      <c r="AG64" s="2">
        <v>14</v>
      </c>
      <c r="AH64" s="2">
        <v>17</v>
      </c>
      <c r="AI64" s="2">
        <v>17</v>
      </c>
      <c r="AJ64" s="2">
        <v>18</v>
      </c>
      <c r="AK64" s="2">
        <v>18</v>
      </c>
      <c r="AL64" s="2">
        <v>20</v>
      </c>
      <c r="AM64" s="2">
        <v>20</v>
      </c>
      <c r="AN64" s="2">
        <v>22</v>
      </c>
      <c r="AO64" s="2">
        <v>23</v>
      </c>
      <c r="AP64" s="2">
        <v>24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411</v>
      </c>
      <c r="B65" s="2">
        <v>141</v>
      </c>
      <c r="C65" s="2">
        <v>38</v>
      </c>
      <c r="D65" s="2">
        <v>0</v>
      </c>
      <c r="E65" s="2">
        <v>2</v>
      </c>
      <c r="F65" s="2">
        <v>1</v>
      </c>
      <c r="G65" s="2">
        <v>2</v>
      </c>
      <c r="H65" s="2">
        <v>3</v>
      </c>
      <c r="I65" s="2">
        <v>4</v>
      </c>
      <c r="J65" s="2">
        <v>4</v>
      </c>
      <c r="K65" s="2">
        <v>4</v>
      </c>
      <c r="L65" s="2">
        <v>4</v>
      </c>
      <c r="M65" s="2">
        <v>6</v>
      </c>
      <c r="N65" s="2">
        <v>6</v>
      </c>
      <c r="O65" s="2">
        <v>7</v>
      </c>
      <c r="P65" s="2">
        <v>10</v>
      </c>
      <c r="Q65" s="2">
        <v>12</v>
      </c>
      <c r="R65" s="2">
        <v>12</v>
      </c>
      <c r="S65" s="2">
        <v>13</v>
      </c>
      <c r="T65" s="2">
        <v>13</v>
      </c>
      <c r="U65" s="2">
        <v>14</v>
      </c>
      <c r="V65" s="2">
        <v>13</v>
      </c>
      <c r="W65" s="2">
        <v>13</v>
      </c>
      <c r="X65" s="2">
        <v>14</v>
      </c>
      <c r="Y65" s="2">
        <v>14</v>
      </c>
      <c r="Z65" s="2">
        <v>15</v>
      </c>
      <c r="AA65" s="2">
        <v>15</v>
      </c>
      <c r="AB65" s="2">
        <v>16</v>
      </c>
      <c r="AC65" s="2">
        <v>18</v>
      </c>
      <c r="AD65" s="2">
        <v>20</v>
      </c>
      <c r="AE65" s="2">
        <v>20</v>
      </c>
      <c r="AF65" s="2">
        <v>20</v>
      </c>
      <c r="AG65" s="2">
        <v>19</v>
      </c>
      <c r="AH65" s="2">
        <v>20</v>
      </c>
      <c r="AI65" s="2">
        <v>20</v>
      </c>
      <c r="AJ65" s="2">
        <v>22</v>
      </c>
      <c r="AK65" s="2">
        <v>22</v>
      </c>
      <c r="AL65" s="2">
        <v>22</v>
      </c>
      <c r="AM65" s="2">
        <v>22</v>
      </c>
      <c r="AN65" s="2">
        <v>24</v>
      </c>
      <c r="AO65" s="2">
        <v>25</v>
      </c>
      <c r="AP65" s="2">
        <v>25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447</v>
      </c>
      <c r="B66" s="2">
        <v>142</v>
      </c>
      <c r="C66" s="2">
        <v>38</v>
      </c>
      <c r="D66" s="2">
        <v>0</v>
      </c>
      <c r="E66" s="2">
        <v>0</v>
      </c>
      <c r="F66" s="2">
        <v>1</v>
      </c>
      <c r="G66" s="2">
        <v>1</v>
      </c>
      <c r="H66" s="2">
        <v>1</v>
      </c>
      <c r="I66" s="2">
        <v>1</v>
      </c>
      <c r="J66" s="2">
        <v>1</v>
      </c>
      <c r="K66" s="2">
        <v>1</v>
      </c>
      <c r="L66" s="2">
        <v>2</v>
      </c>
      <c r="M66" s="2">
        <v>2</v>
      </c>
      <c r="N66" s="2">
        <v>4</v>
      </c>
      <c r="O66" s="2">
        <v>5</v>
      </c>
      <c r="P66" s="2">
        <v>6</v>
      </c>
      <c r="Q66" s="2">
        <v>6</v>
      </c>
      <c r="R66" s="2">
        <v>9</v>
      </c>
      <c r="S66" s="2">
        <v>10</v>
      </c>
      <c r="T66" s="2">
        <v>10</v>
      </c>
      <c r="U66" s="2">
        <v>11</v>
      </c>
      <c r="V66" s="2">
        <v>13</v>
      </c>
      <c r="W66" s="2">
        <v>13</v>
      </c>
      <c r="X66" s="2">
        <v>14</v>
      </c>
      <c r="Y66" s="2">
        <v>15</v>
      </c>
      <c r="Z66" s="2">
        <v>16</v>
      </c>
      <c r="AA66" s="2">
        <v>18</v>
      </c>
      <c r="AB66" s="2">
        <v>18</v>
      </c>
      <c r="AC66" s="2">
        <v>19</v>
      </c>
      <c r="AD66" s="2">
        <v>20</v>
      </c>
      <c r="AE66" s="2">
        <v>20</v>
      </c>
      <c r="AF66" s="2">
        <v>20</v>
      </c>
      <c r="AG66" s="2">
        <v>21</v>
      </c>
      <c r="AH66" s="2">
        <v>22</v>
      </c>
      <c r="AI66" s="2">
        <v>23</v>
      </c>
      <c r="AJ66" s="2">
        <v>23</v>
      </c>
      <c r="AK66" s="2">
        <v>23</v>
      </c>
      <c r="AL66" s="2">
        <v>23</v>
      </c>
      <c r="AM66" s="2">
        <v>23</v>
      </c>
      <c r="AN66" s="2">
        <v>23</v>
      </c>
      <c r="AO66" s="2">
        <v>24</v>
      </c>
      <c r="AP66" s="2">
        <v>25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408</v>
      </c>
      <c r="B67" s="2">
        <v>143</v>
      </c>
      <c r="C67" s="2">
        <v>38</v>
      </c>
      <c r="D67" s="2">
        <v>0</v>
      </c>
      <c r="E67" s="2">
        <v>0</v>
      </c>
      <c r="F67" s="2">
        <v>0</v>
      </c>
      <c r="G67" s="2">
        <v>1</v>
      </c>
      <c r="H67" s="2">
        <v>0</v>
      </c>
      <c r="I67" s="2">
        <v>-1</v>
      </c>
      <c r="J67" s="2">
        <v>0</v>
      </c>
      <c r="K67" s="2">
        <v>0</v>
      </c>
      <c r="L67" s="2">
        <v>0</v>
      </c>
      <c r="M67" s="2">
        <v>1</v>
      </c>
      <c r="N67" s="2">
        <v>3</v>
      </c>
      <c r="O67" s="2">
        <v>4</v>
      </c>
      <c r="P67" s="2">
        <v>4</v>
      </c>
      <c r="Q67" s="2">
        <v>4</v>
      </c>
      <c r="R67" s="2">
        <v>9</v>
      </c>
      <c r="S67" s="2">
        <v>12</v>
      </c>
      <c r="T67" s="2">
        <v>11</v>
      </c>
      <c r="U67" s="2">
        <v>11</v>
      </c>
      <c r="V67" s="2">
        <v>10</v>
      </c>
      <c r="W67" s="2">
        <v>10</v>
      </c>
      <c r="X67" s="2">
        <v>11</v>
      </c>
      <c r="Y67" s="2">
        <v>10</v>
      </c>
      <c r="Z67" s="2">
        <v>11</v>
      </c>
      <c r="AA67" s="2">
        <v>11</v>
      </c>
      <c r="AB67" s="2">
        <v>11</v>
      </c>
      <c r="AC67" s="2">
        <v>11</v>
      </c>
      <c r="AD67" s="2">
        <v>11</v>
      </c>
      <c r="AE67" s="2">
        <v>11</v>
      </c>
      <c r="AF67" s="2">
        <v>12</v>
      </c>
      <c r="AG67" s="2">
        <v>13</v>
      </c>
      <c r="AH67" s="2">
        <v>16</v>
      </c>
      <c r="AI67" s="2">
        <v>16</v>
      </c>
      <c r="AJ67" s="2">
        <v>16</v>
      </c>
      <c r="AK67" s="2">
        <v>17</v>
      </c>
      <c r="AL67" s="2">
        <v>18</v>
      </c>
      <c r="AM67" s="2">
        <v>21</v>
      </c>
      <c r="AN67" s="2">
        <v>22</v>
      </c>
      <c r="AO67" s="2">
        <v>24</v>
      </c>
      <c r="AP67" s="2">
        <v>25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445</v>
      </c>
      <c r="B68" s="2">
        <v>144</v>
      </c>
      <c r="C68" s="2">
        <v>38</v>
      </c>
      <c r="D68" s="2">
        <v>0</v>
      </c>
      <c r="E68" s="2">
        <v>1</v>
      </c>
      <c r="F68" s="2">
        <v>1</v>
      </c>
      <c r="G68" s="2">
        <v>1</v>
      </c>
      <c r="H68" s="2">
        <v>2</v>
      </c>
      <c r="I68" s="2">
        <v>3</v>
      </c>
      <c r="J68" s="2">
        <v>5</v>
      </c>
      <c r="K68" s="2">
        <v>5</v>
      </c>
      <c r="L68" s="2">
        <v>6</v>
      </c>
      <c r="M68" s="2">
        <v>6</v>
      </c>
      <c r="N68" s="2">
        <v>6</v>
      </c>
      <c r="O68" s="2">
        <v>8</v>
      </c>
      <c r="P68" s="2">
        <v>11</v>
      </c>
      <c r="Q68" s="2">
        <v>12</v>
      </c>
      <c r="R68" s="2">
        <v>12</v>
      </c>
      <c r="S68" s="2">
        <v>12</v>
      </c>
      <c r="T68" s="2">
        <v>12</v>
      </c>
      <c r="U68" s="2">
        <v>13</v>
      </c>
      <c r="V68" s="2">
        <v>13</v>
      </c>
      <c r="W68" s="2">
        <v>15</v>
      </c>
      <c r="X68" s="2">
        <v>16</v>
      </c>
      <c r="Y68" s="2">
        <v>17</v>
      </c>
      <c r="Z68" s="2">
        <v>19</v>
      </c>
      <c r="AA68" s="2">
        <v>20</v>
      </c>
      <c r="AB68" s="2">
        <v>21</v>
      </c>
      <c r="AC68" s="2">
        <v>22</v>
      </c>
      <c r="AD68" s="2">
        <v>23</v>
      </c>
      <c r="AE68" s="2">
        <v>23</v>
      </c>
      <c r="AF68" s="2">
        <v>24</v>
      </c>
      <c r="AG68" s="2">
        <v>25</v>
      </c>
      <c r="AH68" s="2">
        <v>25</v>
      </c>
      <c r="AI68" s="2">
        <v>25</v>
      </c>
      <c r="AJ68" s="2">
        <v>25</v>
      </c>
      <c r="AK68" s="2">
        <v>26</v>
      </c>
      <c r="AL68" s="2">
        <v>26</v>
      </c>
      <c r="AM68" s="2">
        <v>26</v>
      </c>
      <c r="AN68" s="2">
        <v>26</v>
      </c>
      <c r="AO68" s="2">
        <v>26</v>
      </c>
      <c r="AP68" s="2">
        <v>27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212</v>
      </c>
      <c r="B69" s="2">
        <v>145</v>
      </c>
      <c r="C69" s="2">
        <v>38</v>
      </c>
      <c r="D69" s="2">
        <v>0</v>
      </c>
      <c r="E69" s="2">
        <v>-1</v>
      </c>
      <c r="F69" s="2">
        <v>-1</v>
      </c>
      <c r="G69" s="2">
        <v>-1</v>
      </c>
      <c r="H69" s="2">
        <v>0</v>
      </c>
      <c r="I69" s="2">
        <v>0</v>
      </c>
      <c r="J69" s="2">
        <v>1</v>
      </c>
      <c r="K69" s="2">
        <v>1</v>
      </c>
      <c r="L69" s="2">
        <v>2</v>
      </c>
      <c r="M69" s="2">
        <v>2</v>
      </c>
      <c r="N69" s="2">
        <v>3</v>
      </c>
      <c r="O69" s="2">
        <v>5</v>
      </c>
      <c r="P69" s="2">
        <v>5</v>
      </c>
      <c r="Q69" s="2">
        <v>6</v>
      </c>
      <c r="R69" s="2">
        <v>7</v>
      </c>
      <c r="S69" s="2">
        <v>8</v>
      </c>
      <c r="T69" s="2">
        <v>8</v>
      </c>
      <c r="U69" s="2">
        <v>9</v>
      </c>
      <c r="V69" s="2">
        <v>8</v>
      </c>
      <c r="W69" s="2">
        <v>9</v>
      </c>
      <c r="X69" s="2">
        <v>11</v>
      </c>
      <c r="Y69" s="2">
        <v>11</v>
      </c>
      <c r="Z69" s="2">
        <v>12</v>
      </c>
      <c r="AA69" s="2">
        <v>12</v>
      </c>
      <c r="AB69" s="2">
        <v>12</v>
      </c>
      <c r="AC69" s="2">
        <v>12</v>
      </c>
      <c r="AD69" s="2">
        <v>12</v>
      </c>
      <c r="AE69" s="2">
        <v>13</v>
      </c>
      <c r="AF69" s="2">
        <v>15</v>
      </c>
      <c r="AG69" s="2">
        <v>16</v>
      </c>
      <c r="AH69" s="2">
        <v>19</v>
      </c>
      <c r="AI69" s="2">
        <v>21</v>
      </c>
      <c r="AJ69" s="2">
        <v>24</v>
      </c>
      <c r="AK69" s="2">
        <v>25</v>
      </c>
      <c r="AL69" s="2">
        <v>25</v>
      </c>
      <c r="AM69" s="2">
        <v>25</v>
      </c>
      <c r="AN69" s="2">
        <v>26</v>
      </c>
      <c r="AO69" s="2">
        <v>27</v>
      </c>
      <c r="AP69" s="2">
        <v>27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591</v>
      </c>
      <c r="B70" s="2">
        <v>146</v>
      </c>
      <c r="C70" s="2">
        <v>38</v>
      </c>
      <c r="D70" s="2">
        <v>0</v>
      </c>
      <c r="E70" s="2">
        <v>1</v>
      </c>
      <c r="F70" s="2">
        <v>1</v>
      </c>
      <c r="G70" s="2">
        <v>1</v>
      </c>
      <c r="H70" s="2">
        <v>1</v>
      </c>
      <c r="I70" s="2">
        <v>1</v>
      </c>
      <c r="J70" s="2">
        <v>1</v>
      </c>
      <c r="K70" s="2">
        <v>2</v>
      </c>
      <c r="L70" s="2">
        <v>3</v>
      </c>
      <c r="M70" s="2">
        <v>6</v>
      </c>
      <c r="N70" s="2">
        <v>7</v>
      </c>
      <c r="O70" s="2">
        <v>7</v>
      </c>
      <c r="P70" s="2">
        <v>7</v>
      </c>
      <c r="Q70" s="2">
        <v>7</v>
      </c>
      <c r="R70" s="2">
        <v>8</v>
      </c>
      <c r="S70" s="2">
        <v>7</v>
      </c>
      <c r="T70" s="2">
        <v>7</v>
      </c>
      <c r="U70" s="2">
        <v>7</v>
      </c>
      <c r="V70" s="2">
        <v>8</v>
      </c>
      <c r="W70" s="2">
        <v>8</v>
      </c>
      <c r="X70" s="2">
        <v>9</v>
      </c>
      <c r="Y70" s="2">
        <v>10</v>
      </c>
      <c r="Z70" s="2">
        <v>11</v>
      </c>
      <c r="AA70" s="2">
        <v>12</v>
      </c>
      <c r="AB70" s="2">
        <v>13</v>
      </c>
      <c r="AC70" s="2">
        <v>14</v>
      </c>
      <c r="AD70" s="2">
        <v>14</v>
      </c>
      <c r="AE70" s="2">
        <v>15</v>
      </c>
      <c r="AF70" s="2">
        <v>15</v>
      </c>
      <c r="AG70" s="2">
        <v>16</v>
      </c>
      <c r="AH70" s="2">
        <v>17</v>
      </c>
      <c r="AI70" s="2">
        <v>17</v>
      </c>
      <c r="AJ70" s="2">
        <v>18</v>
      </c>
      <c r="AK70" s="2">
        <v>19</v>
      </c>
      <c r="AL70" s="2">
        <v>21</v>
      </c>
      <c r="AM70" s="2">
        <v>23</v>
      </c>
      <c r="AN70" s="2">
        <v>24</v>
      </c>
      <c r="AO70" s="2">
        <v>27</v>
      </c>
      <c r="AP70" s="2">
        <v>28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210</v>
      </c>
      <c r="B71" s="2">
        <v>147</v>
      </c>
      <c r="C71" s="2">
        <v>38</v>
      </c>
      <c r="D71" s="2">
        <v>0</v>
      </c>
      <c r="E71" s="2">
        <v>0</v>
      </c>
      <c r="F71" s="2">
        <v>1</v>
      </c>
      <c r="G71" s="2">
        <v>1</v>
      </c>
      <c r="H71" s="2">
        <v>2</v>
      </c>
      <c r="I71" s="2">
        <v>2</v>
      </c>
      <c r="J71" s="2">
        <v>2</v>
      </c>
      <c r="K71" s="2">
        <v>3</v>
      </c>
      <c r="L71" s="2">
        <v>3</v>
      </c>
      <c r="M71" s="2">
        <v>3</v>
      </c>
      <c r="N71" s="2">
        <v>6</v>
      </c>
      <c r="O71" s="2">
        <v>8</v>
      </c>
      <c r="P71" s="2">
        <v>10</v>
      </c>
      <c r="Q71" s="2">
        <v>11</v>
      </c>
      <c r="R71" s="2">
        <v>10</v>
      </c>
      <c r="S71" s="2">
        <v>11</v>
      </c>
      <c r="T71" s="2">
        <v>11</v>
      </c>
      <c r="U71" s="2">
        <v>12</v>
      </c>
      <c r="V71" s="2">
        <v>11</v>
      </c>
      <c r="W71" s="2">
        <v>13</v>
      </c>
      <c r="X71" s="2">
        <v>14</v>
      </c>
      <c r="Y71" s="2">
        <v>14</v>
      </c>
      <c r="Z71" s="2">
        <v>15</v>
      </c>
      <c r="AA71" s="2">
        <v>17</v>
      </c>
      <c r="AB71" s="2">
        <v>17</v>
      </c>
      <c r="AC71" s="2">
        <v>18</v>
      </c>
      <c r="AD71" s="2">
        <v>19</v>
      </c>
      <c r="AE71" s="2">
        <v>20</v>
      </c>
      <c r="AF71" s="2">
        <v>21</v>
      </c>
      <c r="AG71" s="2">
        <v>22</v>
      </c>
      <c r="AH71" s="2">
        <v>23</v>
      </c>
      <c r="AI71" s="2">
        <v>24</v>
      </c>
      <c r="AJ71" s="2">
        <v>25</v>
      </c>
      <c r="AK71" s="2">
        <v>26</v>
      </c>
      <c r="AL71" s="2">
        <v>27</v>
      </c>
      <c r="AM71" s="2">
        <v>27</v>
      </c>
      <c r="AN71" s="2">
        <v>27</v>
      </c>
      <c r="AO71" s="2">
        <v>28</v>
      </c>
      <c r="AP71" s="2">
        <v>29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715</v>
      </c>
      <c r="B72" s="2">
        <v>148</v>
      </c>
      <c r="C72" s="2">
        <v>38</v>
      </c>
      <c r="D72" s="2">
        <v>0</v>
      </c>
      <c r="E72" s="2">
        <v>-1</v>
      </c>
      <c r="F72" s="2">
        <v>0</v>
      </c>
      <c r="G72" s="2">
        <v>1</v>
      </c>
      <c r="H72" s="2">
        <v>1</v>
      </c>
      <c r="I72" s="2">
        <v>2</v>
      </c>
      <c r="J72" s="2">
        <v>2</v>
      </c>
      <c r="K72" s="2">
        <v>2</v>
      </c>
      <c r="L72" s="2">
        <v>2</v>
      </c>
      <c r="M72" s="2">
        <v>2</v>
      </c>
      <c r="N72" s="2">
        <v>4</v>
      </c>
      <c r="O72" s="2">
        <v>4</v>
      </c>
      <c r="P72" s="2">
        <v>4</v>
      </c>
      <c r="Q72" s="2">
        <v>7</v>
      </c>
      <c r="R72" s="2">
        <v>7</v>
      </c>
      <c r="S72" s="2">
        <v>9</v>
      </c>
      <c r="T72" s="2">
        <v>8</v>
      </c>
      <c r="U72" s="2">
        <v>8</v>
      </c>
      <c r="V72" s="2">
        <v>7</v>
      </c>
      <c r="W72" s="2">
        <v>8</v>
      </c>
      <c r="X72" s="2">
        <v>10</v>
      </c>
      <c r="Y72" s="2">
        <v>13</v>
      </c>
      <c r="Z72" s="2">
        <v>15</v>
      </c>
      <c r="AA72" s="2">
        <v>16</v>
      </c>
      <c r="AB72" s="2">
        <v>16</v>
      </c>
      <c r="AC72" s="2">
        <v>17</v>
      </c>
      <c r="AD72" s="2">
        <v>18</v>
      </c>
      <c r="AE72" s="2">
        <v>19</v>
      </c>
      <c r="AF72" s="2">
        <v>20</v>
      </c>
      <c r="AG72" s="2">
        <v>23</v>
      </c>
      <c r="AH72" s="2">
        <v>23</v>
      </c>
      <c r="AI72" s="2">
        <v>24</v>
      </c>
      <c r="AJ72" s="2">
        <v>27</v>
      </c>
      <c r="AK72" s="2">
        <v>27</v>
      </c>
      <c r="AL72" s="2">
        <v>27</v>
      </c>
      <c r="AM72" s="2">
        <v>27</v>
      </c>
      <c r="AN72" s="2">
        <v>27</v>
      </c>
      <c r="AO72" s="2">
        <v>28</v>
      </c>
      <c r="AP72" s="2">
        <v>29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716</v>
      </c>
      <c r="B73" s="2">
        <v>149</v>
      </c>
      <c r="C73" s="2">
        <v>38</v>
      </c>
      <c r="D73" s="2">
        <v>0</v>
      </c>
      <c r="E73" s="2">
        <v>1</v>
      </c>
      <c r="F73" s="2">
        <v>2</v>
      </c>
      <c r="G73" s="2">
        <v>3</v>
      </c>
      <c r="H73" s="2">
        <v>2</v>
      </c>
      <c r="I73" s="2">
        <v>3</v>
      </c>
      <c r="J73" s="2">
        <v>4</v>
      </c>
      <c r="K73" s="2">
        <v>4</v>
      </c>
      <c r="L73" s="2">
        <v>5</v>
      </c>
      <c r="M73" s="2">
        <v>7</v>
      </c>
      <c r="N73" s="2">
        <v>8</v>
      </c>
      <c r="O73" s="2">
        <v>9</v>
      </c>
      <c r="P73" s="2">
        <v>10</v>
      </c>
      <c r="Q73" s="2">
        <v>9</v>
      </c>
      <c r="R73" s="2">
        <v>11</v>
      </c>
      <c r="S73" s="2">
        <v>13</v>
      </c>
      <c r="T73" s="2">
        <v>14</v>
      </c>
      <c r="U73" s="2">
        <v>15</v>
      </c>
      <c r="V73" s="2">
        <v>18</v>
      </c>
      <c r="W73" s="2">
        <v>19</v>
      </c>
      <c r="X73" s="2">
        <v>19</v>
      </c>
      <c r="Y73" s="2">
        <v>19</v>
      </c>
      <c r="Z73" s="2">
        <v>18</v>
      </c>
      <c r="AA73" s="2">
        <v>18</v>
      </c>
      <c r="AB73" s="2">
        <v>20</v>
      </c>
      <c r="AC73" s="2">
        <v>21</v>
      </c>
      <c r="AD73" s="2">
        <v>23</v>
      </c>
      <c r="AE73" s="2">
        <v>22</v>
      </c>
      <c r="AF73" s="2">
        <v>24</v>
      </c>
      <c r="AG73" s="2">
        <v>25</v>
      </c>
      <c r="AH73" s="2">
        <v>26</v>
      </c>
      <c r="AI73" s="2">
        <v>26</v>
      </c>
      <c r="AJ73" s="2">
        <v>26</v>
      </c>
      <c r="AK73" s="2">
        <v>26</v>
      </c>
      <c r="AL73" s="2">
        <v>26</v>
      </c>
      <c r="AM73" s="2">
        <v>26</v>
      </c>
      <c r="AN73" s="2">
        <v>26</v>
      </c>
      <c r="AO73" s="2">
        <v>29</v>
      </c>
      <c r="AP73" s="2">
        <v>30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688</v>
      </c>
      <c r="B74" s="2">
        <v>150</v>
      </c>
      <c r="C74" s="2">
        <v>38</v>
      </c>
      <c r="D74" s="2">
        <v>0</v>
      </c>
      <c r="E74" s="2">
        <v>1</v>
      </c>
      <c r="F74" s="2">
        <v>3</v>
      </c>
      <c r="G74" s="2">
        <v>5</v>
      </c>
      <c r="H74" s="2">
        <v>6</v>
      </c>
      <c r="I74" s="2">
        <v>6</v>
      </c>
      <c r="J74" s="2">
        <v>7</v>
      </c>
      <c r="K74" s="2">
        <v>8</v>
      </c>
      <c r="L74" s="2">
        <v>8</v>
      </c>
      <c r="M74" s="2">
        <v>8</v>
      </c>
      <c r="N74" s="2">
        <v>8</v>
      </c>
      <c r="O74" s="2">
        <v>10</v>
      </c>
      <c r="P74" s="2">
        <v>10</v>
      </c>
      <c r="Q74" s="2">
        <v>10</v>
      </c>
      <c r="R74" s="2">
        <v>10</v>
      </c>
      <c r="S74" s="2">
        <v>10</v>
      </c>
      <c r="T74" s="2">
        <v>12</v>
      </c>
      <c r="U74" s="2">
        <v>12</v>
      </c>
      <c r="V74" s="2">
        <v>13</v>
      </c>
      <c r="W74" s="2">
        <v>14</v>
      </c>
      <c r="X74" s="2">
        <v>14</v>
      </c>
      <c r="Y74" s="2">
        <v>16</v>
      </c>
      <c r="Z74" s="2">
        <v>17</v>
      </c>
      <c r="AA74" s="2">
        <v>18</v>
      </c>
      <c r="AB74" s="2">
        <v>20</v>
      </c>
      <c r="AC74" s="2">
        <v>21</v>
      </c>
      <c r="AD74" s="2">
        <v>22</v>
      </c>
      <c r="AE74" s="2">
        <v>22</v>
      </c>
      <c r="AF74" s="2">
        <v>23</v>
      </c>
      <c r="AG74" s="2">
        <v>25</v>
      </c>
      <c r="AH74" s="2">
        <v>27</v>
      </c>
      <c r="AI74" s="2">
        <v>27</v>
      </c>
      <c r="AJ74" s="2">
        <v>27</v>
      </c>
      <c r="AK74" s="2">
        <v>27</v>
      </c>
      <c r="AL74" s="2">
        <v>27</v>
      </c>
      <c r="AM74" s="2">
        <v>27</v>
      </c>
      <c r="AN74" s="2">
        <v>27</v>
      </c>
      <c r="AO74" s="2">
        <v>30</v>
      </c>
      <c r="AP74" s="2">
        <v>32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717</v>
      </c>
      <c r="B75" s="2">
        <v>151</v>
      </c>
      <c r="C75" s="2">
        <v>38</v>
      </c>
      <c r="D75" s="2">
        <v>0</v>
      </c>
      <c r="E75" s="2">
        <v>0</v>
      </c>
      <c r="F75" s="2">
        <v>0</v>
      </c>
      <c r="G75" s="2">
        <v>1</v>
      </c>
      <c r="H75" s="2">
        <v>1</v>
      </c>
      <c r="I75" s="2">
        <v>2</v>
      </c>
      <c r="J75" s="2">
        <v>4</v>
      </c>
      <c r="K75" s="2">
        <v>4</v>
      </c>
      <c r="L75" s="2">
        <v>4</v>
      </c>
      <c r="M75" s="2">
        <v>4</v>
      </c>
      <c r="N75" s="2">
        <v>6</v>
      </c>
      <c r="O75" s="2">
        <v>6</v>
      </c>
      <c r="P75" s="2">
        <v>6</v>
      </c>
      <c r="Q75" s="2">
        <v>8</v>
      </c>
      <c r="R75" s="2">
        <v>8</v>
      </c>
      <c r="S75" s="2">
        <v>9</v>
      </c>
      <c r="T75" s="2">
        <v>10</v>
      </c>
      <c r="U75" s="2">
        <v>11</v>
      </c>
      <c r="V75" s="2">
        <v>13</v>
      </c>
      <c r="W75" s="2">
        <v>14</v>
      </c>
      <c r="X75" s="2">
        <v>17</v>
      </c>
      <c r="Y75" s="2">
        <v>17</v>
      </c>
      <c r="Z75" s="2">
        <v>18</v>
      </c>
      <c r="AA75" s="2">
        <v>18</v>
      </c>
      <c r="AB75" s="2">
        <v>20</v>
      </c>
      <c r="AC75" s="2">
        <v>21</v>
      </c>
      <c r="AD75" s="2">
        <v>22</v>
      </c>
      <c r="AE75" s="2">
        <v>22</v>
      </c>
      <c r="AF75" s="2">
        <v>24</v>
      </c>
      <c r="AG75" s="2">
        <v>26</v>
      </c>
      <c r="AH75" s="2">
        <v>28</v>
      </c>
      <c r="AI75" s="2">
        <v>28</v>
      </c>
      <c r="AJ75" s="2">
        <v>28</v>
      </c>
      <c r="AK75" s="2">
        <v>30</v>
      </c>
      <c r="AL75" s="2">
        <v>31</v>
      </c>
      <c r="AM75" s="2">
        <v>32</v>
      </c>
      <c r="AN75" s="2">
        <v>33</v>
      </c>
      <c r="AO75" s="2">
        <v>32</v>
      </c>
      <c r="AP75" s="2">
        <v>33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416</v>
      </c>
      <c r="B76" s="2">
        <v>152</v>
      </c>
      <c r="C76" s="2">
        <v>38</v>
      </c>
      <c r="D76" s="2">
        <v>0</v>
      </c>
      <c r="E76" s="2">
        <v>-1</v>
      </c>
      <c r="F76" s="2">
        <v>-1</v>
      </c>
      <c r="G76" s="2">
        <v>1</v>
      </c>
      <c r="H76" s="2">
        <v>4</v>
      </c>
      <c r="I76" s="2">
        <v>5</v>
      </c>
      <c r="J76" s="2">
        <v>6</v>
      </c>
      <c r="K76" s="2">
        <v>6</v>
      </c>
      <c r="L76" s="2">
        <v>6</v>
      </c>
      <c r="M76" s="2">
        <v>8</v>
      </c>
      <c r="N76" s="2">
        <v>8</v>
      </c>
      <c r="O76" s="2">
        <v>12</v>
      </c>
      <c r="P76" s="2">
        <v>12</v>
      </c>
      <c r="Q76" s="2">
        <v>12</v>
      </c>
      <c r="R76" s="2">
        <v>12</v>
      </c>
      <c r="S76" s="2">
        <v>12</v>
      </c>
      <c r="T76" s="2">
        <v>14</v>
      </c>
      <c r="U76" s="2">
        <v>14</v>
      </c>
      <c r="V76" s="2">
        <v>13</v>
      </c>
      <c r="W76" s="2">
        <v>14</v>
      </c>
      <c r="X76" s="2">
        <v>14</v>
      </c>
      <c r="Y76" s="2">
        <v>15</v>
      </c>
      <c r="Z76" s="2">
        <v>17</v>
      </c>
      <c r="AA76" s="2">
        <v>17</v>
      </c>
      <c r="AB76" s="2">
        <v>18</v>
      </c>
      <c r="AC76" s="2">
        <v>19</v>
      </c>
      <c r="AD76" s="2">
        <v>20</v>
      </c>
      <c r="AE76" s="2">
        <v>21</v>
      </c>
      <c r="AF76" s="2">
        <v>22</v>
      </c>
      <c r="AG76" s="2">
        <v>24</v>
      </c>
      <c r="AH76" s="2">
        <v>27</v>
      </c>
      <c r="AI76" s="2">
        <v>29</v>
      </c>
      <c r="AJ76" s="2">
        <v>29</v>
      </c>
      <c r="AK76" s="2">
        <v>30</v>
      </c>
      <c r="AL76" s="2">
        <v>31</v>
      </c>
      <c r="AM76" s="2">
        <v>31</v>
      </c>
      <c r="AN76" s="2">
        <v>32</v>
      </c>
      <c r="AO76" s="2">
        <v>33</v>
      </c>
      <c r="AP76" s="2">
        <v>33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718</v>
      </c>
      <c r="B77" s="2">
        <v>153</v>
      </c>
      <c r="C77" s="2">
        <v>38</v>
      </c>
      <c r="D77" s="2">
        <v>0</v>
      </c>
      <c r="E77" s="2">
        <v>5</v>
      </c>
      <c r="F77" s="2">
        <v>5</v>
      </c>
      <c r="G77" s="2">
        <v>7</v>
      </c>
      <c r="H77" s="2">
        <v>9</v>
      </c>
      <c r="I77" s="2">
        <v>10</v>
      </c>
      <c r="J77" s="2">
        <v>11</v>
      </c>
      <c r="K77" s="2">
        <v>11</v>
      </c>
      <c r="L77" s="2">
        <v>11</v>
      </c>
      <c r="M77" s="2">
        <v>12</v>
      </c>
      <c r="N77" s="2">
        <v>14</v>
      </c>
      <c r="O77" s="2">
        <v>15</v>
      </c>
      <c r="P77" s="2">
        <v>18</v>
      </c>
      <c r="Q77" s="2">
        <v>18</v>
      </c>
      <c r="R77" s="2">
        <v>18</v>
      </c>
      <c r="S77" s="2">
        <v>20</v>
      </c>
      <c r="T77" s="2">
        <v>20</v>
      </c>
      <c r="U77" s="2">
        <v>21</v>
      </c>
      <c r="V77" s="2">
        <v>23</v>
      </c>
      <c r="W77" s="2">
        <v>23</v>
      </c>
      <c r="X77" s="2">
        <v>26</v>
      </c>
      <c r="Y77" s="2">
        <v>26</v>
      </c>
      <c r="Z77" s="2">
        <v>26</v>
      </c>
      <c r="AA77" s="2">
        <v>27</v>
      </c>
      <c r="AB77" s="2">
        <v>27</v>
      </c>
      <c r="AC77" s="2">
        <v>28</v>
      </c>
      <c r="AD77" s="2">
        <v>29</v>
      </c>
      <c r="AE77" s="2">
        <v>29</v>
      </c>
      <c r="AF77" s="2">
        <v>29</v>
      </c>
      <c r="AG77" s="2">
        <v>30</v>
      </c>
      <c r="AH77" s="2">
        <v>31</v>
      </c>
      <c r="AI77" s="2">
        <v>32</v>
      </c>
      <c r="AJ77" s="2">
        <v>32</v>
      </c>
      <c r="AK77" s="2">
        <v>32</v>
      </c>
      <c r="AL77" s="2">
        <v>34</v>
      </c>
      <c r="AM77" s="2">
        <v>33</v>
      </c>
      <c r="AN77" s="2">
        <v>34</v>
      </c>
      <c r="AO77" s="2">
        <v>36</v>
      </c>
      <c r="AP77" s="2">
        <v>37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418</v>
      </c>
      <c r="B78" s="2">
        <v>154</v>
      </c>
      <c r="C78" s="2">
        <v>38</v>
      </c>
      <c r="D78" s="2">
        <v>0</v>
      </c>
      <c r="E78" s="2">
        <v>-1</v>
      </c>
      <c r="F78" s="2">
        <v>-1</v>
      </c>
      <c r="G78" s="2">
        <v>0</v>
      </c>
      <c r="H78" s="2">
        <v>2</v>
      </c>
      <c r="I78" s="2">
        <v>3</v>
      </c>
      <c r="J78" s="2">
        <v>3</v>
      </c>
      <c r="K78" s="2">
        <v>3</v>
      </c>
      <c r="L78" s="2">
        <v>3</v>
      </c>
      <c r="M78" s="2">
        <v>6</v>
      </c>
      <c r="N78" s="2">
        <v>8</v>
      </c>
      <c r="O78" s="2">
        <v>10</v>
      </c>
      <c r="P78" s="2">
        <v>11</v>
      </c>
      <c r="Q78" s="2">
        <v>11</v>
      </c>
      <c r="R78" s="2">
        <v>13</v>
      </c>
      <c r="S78" s="2">
        <v>14</v>
      </c>
      <c r="T78" s="2">
        <v>14</v>
      </c>
      <c r="U78" s="2">
        <v>15</v>
      </c>
      <c r="V78" s="2">
        <v>16</v>
      </c>
      <c r="W78" s="2">
        <v>17</v>
      </c>
      <c r="X78" s="2">
        <v>18</v>
      </c>
      <c r="Y78" s="2">
        <v>19</v>
      </c>
      <c r="Z78" s="2">
        <v>19</v>
      </c>
      <c r="AA78" s="2">
        <v>19</v>
      </c>
      <c r="AB78" s="2">
        <v>20</v>
      </c>
      <c r="AC78" s="2">
        <v>21</v>
      </c>
      <c r="AD78" s="2">
        <v>22</v>
      </c>
      <c r="AE78" s="2">
        <v>23</v>
      </c>
      <c r="AF78" s="2">
        <v>24</v>
      </c>
      <c r="AG78" s="2">
        <v>26</v>
      </c>
      <c r="AH78" s="2">
        <v>28</v>
      </c>
      <c r="AI78" s="2">
        <v>30</v>
      </c>
      <c r="AJ78" s="2">
        <v>30</v>
      </c>
      <c r="AK78" s="2">
        <v>31</v>
      </c>
      <c r="AL78" s="2">
        <v>32</v>
      </c>
      <c r="AM78" s="2">
        <v>34</v>
      </c>
      <c r="AN78" s="2">
        <v>35</v>
      </c>
      <c r="AO78" s="2">
        <v>38</v>
      </c>
      <c r="AP78" s="2">
        <v>40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692</v>
      </c>
      <c r="B79" s="2">
        <v>155</v>
      </c>
      <c r="C79" s="2">
        <v>38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1</v>
      </c>
      <c r="K79" s="2">
        <v>3</v>
      </c>
      <c r="L79" s="2">
        <v>5</v>
      </c>
      <c r="M79" s="2">
        <v>6</v>
      </c>
      <c r="N79" s="2">
        <v>7</v>
      </c>
      <c r="O79" s="2">
        <v>8</v>
      </c>
      <c r="P79" s="2">
        <v>8</v>
      </c>
      <c r="Q79" s="2">
        <v>8</v>
      </c>
      <c r="R79" s="2">
        <v>9</v>
      </c>
      <c r="S79" s="2">
        <v>10</v>
      </c>
      <c r="T79" s="2">
        <v>10</v>
      </c>
      <c r="U79" s="2">
        <v>11</v>
      </c>
      <c r="V79" s="2">
        <v>14</v>
      </c>
      <c r="W79" s="2">
        <v>15</v>
      </c>
      <c r="X79" s="2">
        <v>18</v>
      </c>
      <c r="Y79" s="2">
        <v>20</v>
      </c>
      <c r="Z79" s="2">
        <v>19</v>
      </c>
      <c r="AA79" s="2">
        <v>20</v>
      </c>
      <c r="AB79" s="2">
        <v>22</v>
      </c>
      <c r="AC79" s="2">
        <v>22</v>
      </c>
      <c r="AD79" s="2">
        <v>23</v>
      </c>
      <c r="AE79" s="2">
        <v>24</v>
      </c>
      <c r="AF79" s="2">
        <v>24</v>
      </c>
      <c r="AG79" s="2">
        <v>26</v>
      </c>
      <c r="AH79" s="2">
        <v>28</v>
      </c>
      <c r="AI79" s="2">
        <v>30</v>
      </c>
      <c r="AJ79" s="2">
        <v>32</v>
      </c>
      <c r="AK79" s="2">
        <v>32</v>
      </c>
      <c r="AL79" s="2">
        <v>35</v>
      </c>
      <c r="AM79" s="2">
        <v>36</v>
      </c>
      <c r="AN79" s="2">
        <v>37</v>
      </c>
      <c r="AO79" s="2">
        <v>39</v>
      </c>
      <c r="AP79" s="2">
        <v>40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719</v>
      </c>
      <c r="B80" s="2">
        <v>156</v>
      </c>
      <c r="C80" s="2">
        <v>38</v>
      </c>
      <c r="D80" s="2">
        <v>0</v>
      </c>
      <c r="E80" s="2">
        <v>0</v>
      </c>
      <c r="F80" s="2">
        <v>1</v>
      </c>
      <c r="G80" s="2">
        <v>3</v>
      </c>
      <c r="H80" s="2">
        <v>7</v>
      </c>
      <c r="I80" s="2">
        <v>8</v>
      </c>
      <c r="J80" s="2">
        <v>10</v>
      </c>
      <c r="K80" s="2">
        <v>10</v>
      </c>
      <c r="L80" s="2">
        <v>10</v>
      </c>
      <c r="M80" s="2">
        <v>10</v>
      </c>
      <c r="N80" s="2">
        <v>12</v>
      </c>
      <c r="O80" s="2">
        <v>14</v>
      </c>
      <c r="P80" s="2">
        <v>15</v>
      </c>
      <c r="Q80" s="2">
        <v>15</v>
      </c>
      <c r="R80" s="2">
        <v>16</v>
      </c>
      <c r="S80" s="2">
        <v>16</v>
      </c>
      <c r="T80" s="2">
        <v>16</v>
      </c>
      <c r="U80" s="2">
        <v>17</v>
      </c>
      <c r="V80" s="2">
        <v>16</v>
      </c>
      <c r="W80" s="2">
        <v>17</v>
      </c>
      <c r="X80" s="2">
        <v>17</v>
      </c>
      <c r="Y80" s="2">
        <v>17</v>
      </c>
      <c r="Z80" s="2">
        <v>20</v>
      </c>
      <c r="AA80" s="2">
        <v>21</v>
      </c>
      <c r="AB80" s="2">
        <v>22</v>
      </c>
      <c r="AC80" s="2">
        <v>23</v>
      </c>
      <c r="AD80" s="2">
        <v>26</v>
      </c>
      <c r="AE80" s="2">
        <v>27</v>
      </c>
      <c r="AF80" s="2">
        <v>30</v>
      </c>
      <c r="AG80" s="2">
        <v>32</v>
      </c>
      <c r="AH80" s="2">
        <v>35</v>
      </c>
      <c r="AI80" s="2">
        <v>37</v>
      </c>
      <c r="AJ80" s="2">
        <v>38</v>
      </c>
      <c r="AK80" s="2">
        <v>38</v>
      </c>
      <c r="AL80" s="2">
        <v>39</v>
      </c>
      <c r="AM80" s="2">
        <v>39</v>
      </c>
      <c r="AN80" s="2">
        <v>40</v>
      </c>
      <c r="AO80" s="2">
        <v>41</v>
      </c>
      <c r="AP80" s="2">
        <v>42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 t="s">
        <v>621</v>
      </c>
      <c r="B81" s="2">
        <v>157</v>
      </c>
      <c r="C81" s="2">
        <v>38</v>
      </c>
      <c r="D81" s="2">
        <v>0</v>
      </c>
      <c r="E81" s="2">
        <v>1</v>
      </c>
      <c r="F81" s="2">
        <v>1</v>
      </c>
      <c r="G81" s="2">
        <v>1</v>
      </c>
      <c r="H81" s="2">
        <v>2</v>
      </c>
      <c r="I81" s="2">
        <v>2</v>
      </c>
      <c r="J81" s="2">
        <v>3</v>
      </c>
      <c r="K81" s="2">
        <v>5</v>
      </c>
      <c r="L81" s="2">
        <v>7</v>
      </c>
      <c r="M81" s="2">
        <v>8</v>
      </c>
      <c r="N81" s="2">
        <v>9</v>
      </c>
      <c r="O81" s="2">
        <v>9</v>
      </c>
      <c r="P81" s="2">
        <v>11</v>
      </c>
      <c r="Q81" s="2">
        <v>12</v>
      </c>
      <c r="R81" s="2">
        <v>12</v>
      </c>
      <c r="S81" s="2">
        <v>13</v>
      </c>
      <c r="T81" s="2">
        <v>13</v>
      </c>
      <c r="U81" s="2">
        <v>13</v>
      </c>
      <c r="V81" s="2">
        <v>12</v>
      </c>
      <c r="W81" s="2">
        <v>13</v>
      </c>
      <c r="X81" s="2">
        <v>16</v>
      </c>
      <c r="Y81" s="2">
        <v>17</v>
      </c>
      <c r="Z81" s="2">
        <v>18</v>
      </c>
      <c r="AA81" s="2">
        <v>19</v>
      </c>
      <c r="AB81" s="2">
        <v>20</v>
      </c>
      <c r="AC81" s="2">
        <v>23</v>
      </c>
      <c r="AD81" s="2">
        <v>25</v>
      </c>
      <c r="AE81" s="2">
        <v>25</v>
      </c>
      <c r="AF81" s="2">
        <v>26</v>
      </c>
      <c r="AG81" s="2">
        <v>27</v>
      </c>
      <c r="AH81" s="2">
        <v>29</v>
      </c>
      <c r="AI81" s="2">
        <v>30</v>
      </c>
      <c r="AJ81" s="2">
        <v>31</v>
      </c>
      <c r="AK81" s="2">
        <v>32</v>
      </c>
      <c r="AL81" s="2">
        <v>32</v>
      </c>
      <c r="AM81" s="2">
        <v>33</v>
      </c>
      <c r="AN81" s="2">
        <v>34</v>
      </c>
      <c r="AO81" s="2">
        <v>38</v>
      </c>
      <c r="AP81" s="2">
        <v>42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 t="s">
        <v>370</v>
      </c>
      <c r="B82" s="2">
        <v>158</v>
      </c>
      <c r="C82" s="2">
        <v>38</v>
      </c>
      <c r="D82" s="2">
        <v>0</v>
      </c>
      <c r="E82" s="2">
        <v>0</v>
      </c>
      <c r="F82" s="2">
        <v>1</v>
      </c>
      <c r="G82" s="2">
        <v>3</v>
      </c>
      <c r="H82" s="2">
        <v>3</v>
      </c>
      <c r="I82" s="2">
        <v>3</v>
      </c>
      <c r="J82" s="2">
        <v>5</v>
      </c>
      <c r="K82" s="2">
        <v>6</v>
      </c>
      <c r="L82" s="2">
        <v>5</v>
      </c>
      <c r="M82" s="2">
        <v>7</v>
      </c>
      <c r="N82" s="2">
        <v>8</v>
      </c>
      <c r="O82" s="2">
        <v>11</v>
      </c>
      <c r="P82" s="2">
        <v>13</v>
      </c>
      <c r="Q82" s="2">
        <v>14</v>
      </c>
      <c r="R82" s="2">
        <v>15</v>
      </c>
      <c r="S82" s="2">
        <v>17</v>
      </c>
      <c r="T82" s="2">
        <v>18</v>
      </c>
      <c r="U82" s="2">
        <v>19</v>
      </c>
      <c r="V82" s="2">
        <v>21</v>
      </c>
      <c r="W82" s="2">
        <v>22</v>
      </c>
      <c r="X82" s="2">
        <v>21</v>
      </c>
      <c r="Y82" s="2">
        <v>22</v>
      </c>
      <c r="Z82" s="2">
        <v>23</v>
      </c>
      <c r="AA82" s="2">
        <v>24</v>
      </c>
      <c r="AB82" s="2">
        <v>27</v>
      </c>
      <c r="AC82" s="2">
        <v>29</v>
      </c>
      <c r="AD82" s="2">
        <v>32</v>
      </c>
      <c r="AE82" s="2">
        <v>33</v>
      </c>
      <c r="AF82" s="2">
        <v>36</v>
      </c>
      <c r="AG82" s="2">
        <v>39</v>
      </c>
      <c r="AH82" s="2">
        <v>41</v>
      </c>
      <c r="AI82" s="2">
        <v>42</v>
      </c>
      <c r="AJ82" s="2">
        <v>44</v>
      </c>
      <c r="AK82" s="2">
        <v>46</v>
      </c>
      <c r="AL82" s="2">
        <v>48</v>
      </c>
      <c r="AM82" s="2">
        <v>49</v>
      </c>
      <c r="AN82" s="2">
        <v>51</v>
      </c>
      <c r="AO82" s="2">
        <v>54</v>
      </c>
      <c r="AP82" s="2">
        <v>55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 t="s">
        <v>720</v>
      </c>
      <c r="B83" s="2">
        <v>159</v>
      </c>
      <c r="C83" s="2">
        <v>38</v>
      </c>
      <c r="D83" s="2">
        <v>0</v>
      </c>
      <c r="E83" s="2">
        <v>3</v>
      </c>
      <c r="F83" s="2">
        <v>5</v>
      </c>
      <c r="G83" s="2">
        <v>7</v>
      </c>
      <c r="H83" s="2">
        <v>9</v>
      </c>
      <c r="I83" s="2">
        <v>11</v>
      </c>
      <c r="J83" s="2">
        <v>12</v>
      </c>
      <c r="K83" s="2">
        <v>14</v>
      </c>
      <c r="L83" s="2">
        <v>15</v>
      </c>
      <c r="M83" s="2">
        <v>18</v>
      </c>
      <c r="N83" s="2">
        <v>20</v>
      </c>
      <c r="O83" s="2">
        <v>23</v>
      </c>
      <c r="P83" s="2">
        <v>26</v>
      </c>
      <c r="Q83" s="2">
        <v>27</v>
      </c>
      <c r="R83" s="2">
        <v>29</v>
      </c>
      <c r="S83" s="2">
        <v>30</v>
      </c>
      <c r="T83" s="2">
        <v>31</v>
      </c>
      <c r="U83" s="2">
        <v>32</v>
      </c>
      <c r="V83" s="2">
        <v>31</v>
      </c>
      <c r="W83" s="2">
        <v>33</v>
      </c>
      <c r="X83" s="2">
        <v>35</v>
      </c>
      <c r="Y83" s="2">
        <v>38</v>
      </c>
      <c r="Z83" s="2">
        <v>42</v>
      </c>
      <c r="AA83" s="2">
        <v>45</v>
      </c>
      <c r="AB83" s="2">
        <v>48</v>
      </c>
      <c r="AC83" s="2">
        <v>50</v>
      </c>
      <c r="AD83" s="2">
        <v>51</v>
      </c>
      <c r="AE83" s="2">
        <v>53</v>
      </c>
      <c r="AF83" s="2">
        <v>55</v>
      </c>
      <c r="AG83" s="2">
        <v>59</v>
      </c>
      <c r="AH83" s="2">
        <v>65</v>
      </c>
      <c r="AI83" s="2">
        <v>68</v>
      </c>
      <c r="AJ83" s="2">
        <v>69</v>
      </c>
      <c r="AK83" s="2">
        <v>71</v>
      </c>
      <c r="AL83" s="2">
        <v>73</v>
      </c>
      <c r="AM83" s="2">
        <v>74</v>
      </c>
      <c r="AN83" s="2">
        <v>77</v>
      </c>
      <c r="AO83" s="2">
        <v>77</v>
      </c>
      <c r="AP83" s="2">
        <v>79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 t="s">
        <v>721</v>
      </c>
      <c r="B84" s="2">
        <v>160</v>
      </c>
      <c r="C84" s="2">
        <v>26</v>
      </c>
      <c r="D84" s="2">
        <v>0</v>
      </c>
      <c r="E84" s="2">
        <v>1</v>
      </c>
      <c r="F84" s="2">
        <v>2</v>
      </c>
      <c r="G84" s="2">
        <v>2</v>
      </c>
      <c r="H84" s="2">
        <v>2</v>
      </c>
      <c r="I84" s="2">
        <v>3</v>
      </c>
      <c r="J84" s="2">
        <v>3</v>
      </c>
      <c r="K84" s="2">
        <v>4</v>
      </c>
      <c r="L84" s="2">
        <v>5</v>
      </c>
      <c r="M84" s="2">
        <v>6</v>
      </c>
      <c r="N84" s="2">
        <v>7</v>
      </c>
      <c r="O84" s="2">
        <v>9</v>
      </c>
      <c r="P84" s="2">
        <v>12</v>
      </c>
      <c r="Q84" s="2">
        <v>12</v>
      </c>
      <c r="R84" s="2">
        <v>14</v>
      </c>
      <c r="S84" s="2">
        <v>15</v>
      </c>
      <c r="T84" s="2">
        <v>15</v>
      </c>
      <c r="U84" s="2">
        <v>16</v>
      </c>
      <c r="V84" s="2">
        <v>17</v>
      </c>
      <c r="W84" s="2">
        <v>17</v>
      </c>
      <c r="X84" s="2">
        <v>20</v>
      </c>
      <c r="Y84" s="2">
        <v>21</v>
      </c>
      <c r="Z84" s="2">
        <v>22</v>
      </c>
      <c r="AA84" s="2">
        <v>25</v>
      </c>
      <c r="AB84" s="2">
        <v>28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>
        <v>29</v>
      </c>
      <c r="AP84" s="2">
        <v>30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 t="s">
        <v>722</v>
      </c>
      <c r="B85" s="2">
        <v>161</v>
      </c>
      <c r="C85" s="2">
        <v>19</v>
      </c>
      <c r="D85" s="2">
        <v>0</v>
      </c>
      <c r="E85" s="2">
        <v>0</v>
      </c>
      <c r="F85" s="2">
        <v>-1</v>
      </c>
      <c r="G85" s="2">
        <v>-1</v>
      </c>
      <c r="H85" s="2">
        <v>-1</v>
      </c>
      <c r="I85" s="2">
        <v>0</v>
      </c>
      <c r="J85" s="2">
        <v>0</v>
      </c>
      <c r="K85" s="2">
        <v>0</v>
      </c>
      <c r="L85" s="2">
        <v>0</v>
      </c>
      <c r="M85" s="2">
        <v>1</v>
      </c>
      <c r="N85" s="2">
        <v>1</v>
      </c>
      <c r="O85" s="2">
        <v>1</v>
      </c>
      <c r="P85" s="2">
        <v>0</v>
      </c>
      <c r="Q85" s="2">
        <v>-1</v>
      </c>
      <c r="R85" s="2">
        <v>0</v>
      </c>
      <c r="S85" s="2">
        <v>1</v>
      </c>
      <c r="T85" s="2">
        <v>1</v>
      </c>
      <c r="U85" s="2">
        <v>1</v>
      </c>
      <c r="V85" s="2">
        <v>4</v>
      </c>
      <c r="W85" s="2">
        <v>5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15"/>
  <sheetViews>
    <sheetView workbookViewId="0">
      <selection activeCell="A37" sqref="A37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322</v>
      </c>
      <c r="F1" t="s">
        <v>127</v>
      </c>
      <c r="G1" t="s">
        <v>56</v>
      </c>
      <c r="H1" t="s">
        <v>323</v>
      </c>
    </row>
    <row r="2" spans="1:8" x14ac:dyDescent="0.25">
      <c r="A2" s="2">
        <v>1099.28</v>
      </c>
      <c r="B2" s="2">
        <v>15</v>
      </c>
      <c r="C2" s="2" t="s">
        <v>1003</v>
      </c>
      <c r="F2" t="s">
        <v>494</v>
      </c>
      <c r="G2">
        <v>1099.28</v>
      </c>
      <c r="H2">
        <v>1</v>
      </c>
    </row>
    <row r="3" spans="1:8" x14ac:dyDescent="0.25">
      <c r="A3" s="2">
        <v>1076.96</v>
      </c>
      <c r="B3" s="2">
        <v>15</v>
      </c>
      <c r="C3" s="2" t="s">
        <v>1004</v>
      </c>
      <c r="F3" t="s">
        <v>495</v>
      </c>
      <c r="G3">
        <v>1076.96</v>
      </c>
      <c r="H3">
        <v>1</v>
      </c>
    </row>
    <row r="4" spans="1:8" x14ac:dyDescent="0.25">
      <c r="A4" s="2">
        <v>1033.23</v>
      </c>
      <c r="B4" s="2">
        <v>100</v>
      </c>
      <c r="C4" s="2" t="s">
        <v>2</v>
      </c>
      <c r="D4" t="s">
        <v>624</v>
      </c>
      <c r="F4" t="s">
        <v>2</v>
      </c>
      <c r="G4">
        <v>1033.23</v>
      </c>
      <c r="H4">
        <v>5</v>
      </c>
    </row>
    <row r="5" spans="1:8" x14ac:dyDescent="0.25">
      <c r="A5" s="2">
        <v>1022.56</v>
      </c>
      <c r="B5" s="2">
        <v>100</v>
      </c>
      <c r="C5" s="2" t="s">
        <v>0</v>
      </c>
      <c r="D5" t="s">
        <v>625</v>
      </c>
      <c r="F5" t="s">
        <v>0</v>
      </c>
      <c r="G5">
        <v>1022.56</v>
      </c>
      <c r="H5">
        <v>7</v>
      </c>
    </row>
    <row r="6" spans="1:8" x14ac:dyDescent="0.25">
      <c r="A6" s="2">
        <v>1011.02</v>
      </c>
      <c r="B6" s="2">
        <v>13</v>
      </c>
      <c r="C6" s="2" t="s">
        <v>1005</v>
      </c>
      <c r="F6" t="s">
        <v>324</v>
      </c>
      <c r="G6">
        <v>1011.02</v>
      </c>
      <c r="H6">
        <v>2</v>
      </c>
    </row>
    <row r="7" spans="1:8" x14ac:dyDescent="0.25">
      <c r="A7" s="2">
        <v>1003.22</v>
      </c>
      <c r="B7" s="2">
        <v>14</v>
      </c>
      <c r="C7" s="2" t="s">
        <v>696</v>
      </c>
      <c r="F7" t="s">
        <v>325</v>
      </c>
      <c r="G7">
        <v>1003.22</v>
      </c>
      <c r="H7">
        <v>6</v>
      </c>
    </row>
    <row r="8" spans="1:8" x14ac:dyDescent="0.25">
      <c r="A8" s="2">
        <v>995.83399999999995</v>
      </c>
      <c r="B8" s="2">
        <v>100</v>
      </c>
      <c r="C8" s="2" t="s">
        <v>197</v>
      </c>
      <c r="D8" t="s">
        <v>626</v>
      </c>
      <c r="F8" t="s">
        <v>197</v>
      </c>
      <c r="G8" s="329">
        <v>995834</v>
      </c>
      <c r="H8">
        <v>5</v>
      </c>
    </row>
    <row r="9" spans="1:8" x14ac:dyDescent="0.25">
      <c r="A9" s="2">
        <v>989.13099999999997</v>
      </c>
      <c r="B9" s="2">
        <v>15</v>
      </c>
      <c r="C9" s="2" t="s">
        <v>1006</v>
      </c>
      <c r="F9" t="s">
        <v>331</v>
      </c>
      <c r="G9" s="329">
        <v>989131</v>
      </c>
      <c r="H9">
        <v>5</v>
      </c>
    </row>
    <row r="10" spans="1:8" x14ac:dyDescent="0.25">
      <c r="A10" s="2">
        <v>985.029</v>
      </c>
      <c r="B10" s="2">
        <v>15</v>
      </c>
      <c r="C10" s="2" t="s">
        <v>1007</v>
      </c>
      <c r="F10" t="s">
        <v>480</v>
      </c>
      <c r="G10" s="329">
        <v>985029</v>
      </c>
      <c r="H10">
        <v>2</v>
      </c>
    </row>
    <row r="11" spans="1:8" x14ac:dyDescent="0.25">
      <c r="A11" s="2">
        <v>984.43899999999996</v>
      </c>
      <c r="B11" s="2">
        <v>100</v>
      </c>
      <c r="C11" s="2" t="s">
        <v>5</v>
      </c>
      <c r="D11" t="s">
        <v>627</v>
      </c>
      <c r="F11" t="s">
        <v>5</v>
      </c>
      <c r="G11" s="329">
        <v>984439</v>
      </c>
      <c r="H11">
        <v>6</v>
      </c>
    </row>
    <row r="12" spans="1:8" x14ac:dyDescent="0.25">
      <c r="A12" s="2">
        <v>981.43799999999999</v>
      </c>
      <c r="B12" s="2">
        <v>100</v>
      </c>
      <c r="C12" s="2" t="s">
        <v>329</v>
      </c>
      <c r="F12" t="s">
        <v>329</v>
      </c>
      <c r="G12" s="329">
        <v>981438</v>
      </c>
      <c r="H12">
        <v>1</v>
      </c>
    </row>
    <row r="13" spans="1:8" x14ac:dyDescent="0.25">
      <c r="A13" s="2">
        <v>980.33799999999997</v>
      </c>
      <c r="B13" s="2">
        <v>100</v>
      </c>
      <c r="C13" s="2" t="s">
        <v>201</v>
      </c>
      <c r="D13" t="s">
        <v>628</v>
      </c>
      <c r="F13" t="s">
        <v>201</v>
      </c>
      <c r="G13" s="329">
        <v>980338</v>
      </c>
      <c r="H13">
        <v>6</v>
      </c>
    </row>
    <row r="14" spans="1:8" x14ac:dyDescent="0.25">
      <c r="A14" s="2">
        <v>974.63900000000001</v>
      </c>
      <c r="B14" s="2">
        <v>100</v>
      </c>
      <c r="C14" s="2" t="s">
        <v>200</v>
      </c>
      <c r="D14" t="s">
        <v>629</v>
      </c>
      <c r="F14" t="s">
        <v>200</v>
      </c>
      <c r="G14" s="329">
        <v>974639</v>
      </c>
      <c r="H14">
        <v>5</v>
      </c>
    </row>
    <row r="15" spans="1:8" x14ac:dyDescent="0.25">
      <c r="A15" s="2">
        <v>974.15499999999997</v>
      </c>
      <c r="B15" s="2">
        <v>100</v>
      </c>
      <c r="C15" s="2" t="s">
        <v>4</v>
      </c>
      <c r="D15" t="s">
        <v>630</v>
      </c>
      <c r="F15" t="s">
        <v>4</v>
      </c>
      <c r="G15" s="329">
        <v>974155</v>
      </c>
      <c r="H15">
        <v>6</v>
      </c>
    </row>
    <row r="16" spans="1:8" x14ac:dyDescent="0.25">
      <c r="A16" s="2">
        <v>972.34799999999996</v>
      </c>
      <c r="B16" s="2">
        <v>100</v>
      </c>
      <c r="C16" s="2" t="s">
        <v>3</v>
      </c>
      <c r="D16" t="s">
        <v>631</v>
      </c>
      <c r="F16" t="s">
        <v>3</v>
      </c>
      <c r="G16" s="329">
        <v>972348</v>
      </c>
      <c r="H16">
        <v>7</v>
      </c>
    </row>
    <row r="17" spans="1:8" x14ac:dyDescent="0.25">
      <c r="A17" s="2">
        <v>970.38199999999995</v>
      </c>
      <c r="B17" s="2">
        <v>100</v>
      </c>
      <c r="C17" s="2" t="s">
        <v>330</v>
      </c>
      <c r="D17" t="s">
        <v>632</v>
      </c>
      <c r="F17" t="s">
        <v>330</v>
      </c>
      <c r="G17" s="329">
        <v>970382</v>
      </c>
      <c r="H17">
        <v>5</v>
      </c>
    </row>
    <row r="18" spans="1:8" x14ac:dyDescent="0.25">
      <c r="A18" s="2">
        <v>970.36</v>
      </c>
      <c r="B18" s="2">
        <v>100</v>
      </c>
      <c r="C18" s="2" t="s">
        <v>353</v>
      </c>
      <c r="D18" t="s">
        <v>633</v>
      </c>
      <c r="F18" t="s">
        <v>353</v>
      </c>
      <c r="G18" s="329">
        <v>970.36</v>
      </c>
      <c r="H18">
        <v>5</v>
      </c>
    </row>
    <row r="19" spans="1:8" x14ac:dyDescent="0.25">
      <c r="A19" s="2">
        <v>970.25800000000004</v>
      </c>
      <c r="B19" s="2">
        <v>100</v>
      </c>
      <c r="C19" s="2" t="s">
        <v>556</v>
      </c>
      <c r="F19" t="s">
        <v>556</v>
      </c>
      <c r="G19" s="329">
        <v>970258</v>
      </c>
      <c r="H19">
        <v>1</v>
      </c>
    </row>
    <row r="20" spans="1:8" x14ac:dyDescent="0.25">
      <c r="A20" s="2">
        <v>966.52599999999995</v>
      </c>
      <c r="B20" s="2">
        <v>100</v>
      </c>
      <c r="C20" s="2" t="s">
        <v>328</v>
      </c>
      <c r="D20" t="s">
        <v>634</v>
      </c>
      <c r="F20" t="s">
        <v>328</v>
      </c>
      <c r="G20" s="329">
        <v>966526</v>
      </c>
      <c r="H20">
        <v>3</v>
      </c>
    </row>
    <row r="21" spans="1:8" x14ac:dyDescent="0.25">
      <c r="A21" s="2">
        <v>965.01700000000005</v>
      </c>
      <c r="B21" s="2">
        <v>100</v>
      </c>
      <c r="C21" s="2" t="s">
        <v>7</v>
      </c>
      <c r="D21" t="s">
        <v>541</v>
      </c>
      <c r="F21" t="s">
        <v>7</v>
      </c>
      <c r="G21" s="329">
        <v>965017</v>
      </c>
      <c r="H21">
        <v>5</v>
      </c>
    </row>
    <row r="22" spans="1:8" x14ac:dyDescent="0.25">
      <c r="A22" s="2">
        <v>964.62300000000005</v>
      </c>
      <c r="B22" s="2">
        <v>14</v>
      </c>
      <c r="C22" s="2" t="s">
        <v>687</v>
      </c>
      <c r="F22" t="s">
        <v>409</v>
      </c>
      <c r="G22" s="329">
        <v>964623</v>
      </c>
      <c r="H22">
        <v>5</v>
      </c>
    </row>
    <row r="23" spans="1:8" x14ac:dyDescent="0.25">
      <c r="A23" s="2">
        <v>956.86</v>
      </c>
      <c r="B23" s="2">
        <v>100</v>
      </c>
      <c r="C23" s="2" t="s">
        <v>339</v>
      </c>
      <c r="D23" t="s">
        <v>542</v>
      </c>
      <c r="F23" t="s">
        <v>339</v>
      </c>
      <c r="G23" s="329">
        <v>956.86</v>
      </c>
      <c r="H23">
        <v>5</v>
      </c>
    </row>
    <row r="24" spans="1:8" x14ac:dyDescent="0.25">
      <c r="A24" s="2">
        <v>948.58</v>
      </c>
      <c r="B24" s="2">
        <v>16</v>
      </c>
      <c r="C24" s="2" t="s">
        <v>697</v>
      </c>
      <c r="F24" t="s">
        <v>428</v>
      </c>
      <c r="G24" s="329">
        <v>948.58</v>
      </c>
      <c r="H24">
        <v>6</v>
      </c>
    </row>
    <row r="25" spans="1:8" x14ac:dyDescent="0.25">
      <c r="A25" s="2">
        <v>947.26900000000001</v>
      </c>
      <c r="B25" s="2">
        <v>100</v>
      </c>
      <c r="C25" s="2" t="s">
        <v>11</v>
      </c>
      <c r="D25" t="s">
        <v>635</v>
      </c>
      <c r="F25" t="s">
        <v>11</v>
      </c>
      <c r="G25" s="329">
        <v>947269</v>
      </c>
      <c r="H25">
        <v>6</v>
      </c>
    </row>
    <row r="26" spans="1:8" x14ac:dyDescent="0.25">
      <c r="A26" s="2">
        <v>947.06500000000005</v>
      </c>
      <c r="B26" s="2">
        <v>100</v>
      </c>
      <c r="C26" s="2" t="s">
        <v>340</v>
      </c>
      <c r="D26" t="s">
        <v>636</v>
      </c>
      <c r="F26" t="s">
        <v>340</v>
      </c>
      <c r="G26" s="329">
        <v>947065</v>
      </c>
      <c r="H26">
        <v>6</v>
      </c>
    </row>
    <row r="27" spans="1:8" x14ac:dyDescent="0.25">
      <c r="A27" s="2">
        <v>946.55100000000004</v>
      </c>
      <c r="B27" s="2">
        <v>100</v>
      </c>
      <c r="C27" s="2" t="s">
        <v>199</v>
      </c>
      <c r="F27" t="s">
        <v>199</v>
      </c>
      <c r="G27" s="329">
        <v>946551</v>
      </c>
      <c r="H27">
        <v>2</v>
      </c>
    </row>
    <row r="28" spans="1:8" x14ac:dyDescent="0.25">
      <c r="A28" s="2">
        <v>940.76599999999996</v>
      </c>
      <c r="B28" s="2">
        <v>100</v>
      </c>
      <c r="C28" s="2" t="s">
        <v>481</v>
      </c>
      <c r="F28" t="s">
        <v>481</v>
      </c>
      <c r="G28" s="329">
        <v>940766</v>
      </c>
      <c r="H28">
        <v>1</v>
      </c>
    </row>
    <row r="29" spans="1:8" x14ac:dyDescent="0.25">
      <c r="A29" s="2">
        <v>934.38300000000004</v>
      </c>
      <c r="B29" s="2">
        <v>16</v>
      </c>
      <c r="C29" s="2" t="s">
        <v>1008</v>
      </c>
      <c r="F29" t="s">
        <v>496</v>
      </c>
      <c r="G29" s="329">
        <v>934383</v>
      </c>
      <c r="H29">
        <v>1</v>
      </c>
    </row>
    <row r="30" spans="1:8" x14ac:dyDescent="0.25">
      <c r="A30" s="2">
        <v>932.39400000000001</v>
      </c>
      <c r="B30" s="2">
        <v>100</v>
      </c>
      <c r="C30" s="2" t="s">
        <v>334</v>
      </c>
      <c r="D30" t="s">
        <v>637</v>
      </c>
      <c r="F30" t="s">
        <v>334</v>
      </c>
      <c r="G30" s="329">
        <v>932394</v>
      </c>
      <c r="H30">
        <v>6</v>
      </c>
    </row>
    <row r="31" spans="1:8" x14ac:dyDescent="0.25">
      <c r="A31" s="2">
        <v>930.95399999999995</v>
      </c>
      <c r="B31" s="2">
        <v>15</v>
      </c>
      <c r="C31" s="2" t="s">
        <v>699</v>
      </c>
      <c r="F31" t="s">
        <v>524</v>
      </c>
      <c r="G31" s="329">
        <v>930954</v>
      </c>
      <c r="H31">
        <v>2</v>
      </c>
    </row>
    <row r="32" spans="1:8" x14ac:dyDescent="0.25">
      <c r="A32" s="2">
        <v>928.76</v>
      </c>
      <c r="B32" s="2">
        <v>100</v>
      </c>
      <c r="C32" s="2" t="s">
        <v>344</v>
      </c>
      <c r="D32" t="s">
        <v>638</v>
      </c>
      <c r="F32" t="s">
        <v>344</v>
      </c>
      <c r="G32" s="329">
        <v>928.76</v>
      </c>
      <c r="H32">
        <v>5</v>
      </c>
    </row>
    <row r="33" spans="1:8" x14ac:dyDescent="0.25">
      <c r="A33" s="2">
        <v>927.04100000000005</v>
      </c>
      <c r="B33" s="2">
        <v>100</v>
      </c>
      <c r="C33" s="2" t="s">
        <v>410</v>
      </c>
      <c r="D33" t="s">
        <v>639</v>
      </c>
      <c r="F33" t="s">
        <v>410</v>
      </c>
      <c r="G33" s="329">
        <v>927041</v>
      </c>
      <c r="H33">
        <v>6</v>
      </c>
    </row>
    <row r="34" spans="1:8" x14ac:dyDescent="0.25">
      <c r="A34" s="2">
        <v>921.52099999999996</v>
      </c>
      <c r="B34" s="2">
        <v>14</v>
      </c>
      <c r="C34" s="2" t="s">
        <v>708</v>
      </c>
      <c r="F34" t="s">
        <v>462</v>
      </c>
      <c r="G34" s="329">
        <v>921521</v>
      </c>
      <c r="H34">
        <v>1</v>
      </c>
    </row>
    <row r="35" spans="1:8" x14ac:dyDescent="0.25">
      <c r="A35" s="2">
        <v>918.42200000000003</v>
      </c>
      <c r="B35" s="2">
        <v>100</v>
      </c>
      <c r="C35" s="2" t="s">
        <v>19</v>
      </c>
      <c r="D35" t="s">
        <v>640</v>
      </c>
      <c r="F35" t="s">
        <v>19</v>
      </c>
      <c r="G35" s="329">
        <v>918422</v>
      </c>
      <c r="H35">
        <v>5</v>
      </c>
    </row>
    <row r="36" spans="1:8" x14ac:dyDescent="0.25">
      <c r="A36" s="2">
        <v>916.51900000000001</v>
      </c>
      <c r="B36" s="2">
        <v>100</v>
      </c>
      <c r="C36" s="2" t="s">
        <v>341</v>
      </c>
      <c r="D36" t="s">
        <v>595</v>
      </c>
      <c r="F36" t="s">
        <v>341</v>
      </c>
      <c r="G36" s="329">
        <v>916519</v>
      </c>
      <c r="H36">
        <v>5</v>
      </c>
    </row>
    <row r="37" spans="1:8" x14ac:dyDescent="0.25">
      <c r="A37" s="2">
        <v>916.29499999999996</v>
      </c>
      <c r="B37" s="2">
        <v>100</v>
      </c>
      <c r="C37" s="2" t="s">
        <v>10</v>
      </c>
      <c r="D37" t="s">
        <v>641</v>
      </c>
      <c r="F37" t="s">
        <v>10</v>
      </c>
      <c r="G37" s="329">
        <v>916295</v>
      </c>
      <c r="H37">
        <v>6</v>
      </c>
    </row>
    <row r="38" spans="1:8" x14ac:dyDescent="0.25">
      <c r="A38" s="2">
        <v>915.13800000000003</v>
      </c>
      <c r="B38" s="2">
        <v>15</v>
      </c>
      <c r="C38" s="2" t="s">
        <v>1009</v>
      </c>
      <c r="F38" t="s">
        <v>497</v>
      </c>
      <c r="G38" s="329">
        <v>915138</v>
      </c>
      <c r="H38">
        <v>1</v>
      </c>
    </row>
    <row r="39" spans="1:8" x14ac:dyDescent="0.25">
      <c r="A39" s="2">
        <v>912.42399999999998</v>
      </c>
      <c r="B39" s="2">
        <v>14</v>
      </c>
      <c r="C39" s="2" t="s">
        <v>1010</v>
      </c>
      <c r="F39" t="s">
        <v>343</v>
      </c>
      <c r="G39" s="329">
        <v>912424</v>
      </c>
      <c r="H39">
        <v>2</v>
      </c>
    </row>
    <row r="40" spans="1:8" x14ac:dyDescent="0.25">
      <c r="A40" s="2">
        <v>909.26199999999994</v>
      </c>
      <c r="B40" s="2">
        <v>100</v>
      </c>
      <c r="C40" s="2" t="s">
        <v>6</v>
      </c>
      <c r="F40" t="s">
        <v>6</v>
      </c>
      <c r="G40" s="329">
        <v>909262</v>
      </c>
      <c r="H40">
        <v>2</v>
      </c>
    </row>
    <row r="41" spans="1:8" x14ac:dyDescent="0.25">
      <c r="A41" s="2">
        <v>908.48199999999997</v>
      </c>
      <c r="B41" s="2">
        <v>15</v>
      </c>
      <c r="C41" s="2" t="s">
        <v>1011</v>
      </c>
      <c r="F41" t="s">
        <v>429</v>
      </c>
      <c r="G41" s="329">
        <v>908482</v>
      </c>
      <c r="H41">
        <v>2</v>
      </c>
    </row>
    <row r="42" spans="1:8" x14ac:dyDescent="0.25">
      <c r="A42" s="2">
        <v>908.06700000000001</v>
      </c>
      <c r="B42" s="2">
        <v>14</v>
      </c>
      <c r="C42" s="2" t="s">
        <v>1012</v>
      </c>
      <c r="F42" t="s">
        <v>402</v>
      </c>
      <c r="G42" s="329">
        <v>908067</v>
      </c>
      <c r="H42">
        <v>5</v>
      </c>
    </row>
    <row r="43" spans="1:8" x14ac:dyDescent="0.25">
      <c r="A43" s="2">
        <v>907.88800000000003</v>
      </c>
      <c r="B43" s="2">
        <v>15</v>
      </c>
      <c r="C43" s="2" t="s">
        <v>1013</v>
      </c>
      <c r="F43" t="s">
        <v>508</v>
      </c>
      <c r="G43" s="329">
        <v>907888</v>
      </c>
      <c r="H43">
        <v>1</v>
      </c>
    </row>
    <row r="44" spans="1:8" x14ac:dyDescent="0.25">
      <c r="A44" s="2">
        <v>906.24400000000003</v>
      </c>
      <c r="B44" s="2">
        <v>14</v>
      </c>
      <c r="C44" s="2" t="s">
        <v>1014</v>
      </c>
      <c r="F44" t="s">
        <v>545</v>
      </c>
      <c r="G44" s="329">
        <v>906244</v>
      </c>
      <c r="H44">
        <v>5</v>
      </c>
    </row>
    <row r="45" spans="1:8" x14ac:dyDescent="0.25">
      <c r="A45" s="2">
        <v>903.34299999999996</v>
      </c>
      <c r="B45" s="2">
        <v>100</v>
      </c>
      <c r="C45" s="2" t="s">
        <v>459</v>
      </c>
      <c r="F45" t="s">
        <v>459</v>
      </c>
      <c r="G45" s="329">
        <v>903343</v>
      </c>
      <c r="H45">
        <v>1</v>
      </c>
    </row>
    <row r="46" spans="1:8" x14ac:dyDescent="0.25">
      <c r="A46" s="2">
        <v>902.92600000000004</v>
      </c>
      <c r="B46" s="2">
        <v>100</v>
      </c>
      <c r="C46" s="2" t="s">
        <v>12</v>
      </c>
      <c r="F46" t="s">
        <v>12</v>
      </c>
      <c r="G46" s="329">
        <v>902926</v>
      </c>
      <c r="H46">
        <v>1</v>
      </c>
    </row>
    <row r="47" spans="1:8" x14ac:dyDescent="0.25">
      <c r="A47" s="2">
        <v>902.07</v>
      </c>
      <c r="B47" s="2">
        <v>14</v>
      </c>
      <c r="C47" s="2" t="s">
        <v>1015</v>
      </c>
      <c r="F47" t="s">
        <v>360</v>
      </c>
      <c r="G47" s="329">
        <v>902.07</v>
      </c>
      <c r="H47">
        <v>3</v>
      </c>
    </row>
    <row r="48" spans="1:8" x14ac:dyDescent="0.25">
      <c r="A48" s="2">
        <v>901.39800000000002</v>
      </c>
      <c r="B48" s="2">
        <v>15</v>
      </c>
      <c r="C48" s="2" t="s">
        <v>1016</v>
      </c>
      <c r="F48" t="s">
        <v>435</v>
      </c>
      <c r="G48" s="329">
        <v>901398</v>
      </c>
      <c r="H48">
        <v>2</v>
      </c>
    </row>
    <row r="49" spans="1:8" x14ac:dyDescent="0.25">
      <c r="A49" s="2">
        <v>900.89499999999998</v>
      </c>
      <c r="B49" s="2">
        <v>12</v>
      </c>
      <c r="C49" s="2" t="s">
        <v>1017</v>
      </c>
      <c r="F49" t="s">
        <v>509</v>
      </c>
      <c r="G49" s="329">
        <v>900895</v>
      </c>
      <c r="H49">
        <v>1</v>
      </c>
    </row>
    <row r="50" spans="1:8" x14ac:dyDescent="0.25">
      <c r="A50" s="2">
        <v>890.45899999999995</v>
      </c>
      <c r="B50" s="2">
        <v>100</v>
      </c>
      <c r="C50" s="2" t="s">
        <v>18</v>
      </c>
      <c r="D50" t="s">
        <v>642</v>
      </c>
      <c r="F50" t="s">
        <v>18</v>
      </c>
      <c r="G50" s="329">
        <v>890459</v>
      </c>
      <c r="H50">
        <v>5</v>
      </c>
    </row>
    <row r="51" spans="1:8" x14ac:dyDescent="0.25">
      <c r="A51" s="2">
        <v>890.26300000000003</v>
      </c>
      <c r="B51" s="2">
        <v>100</v>
      </c>
      <c r="C51" s="2" t="s">
        <v>15</v>
      </c>
      <c r="D51" t="s">
        <v>643</v>
      </c>
      <c r="F51" t="s">
        <v>15</v>
      </c>
      <c r="G51" s="329">
        <v>890263</v>
      </c>
      <c r="H51">
        <v>5</v>
      </c>
    </row>
    <row r="52" spans="1:8" x14ac:dyDescent="0.25">
      <c r="A52" s="2">
        <v>890.22500000000002</v>
      </c>
      <c r="B52" s="2">
        <v>18</v>
      </c>
      <c r="C52" s="2" t="s">
        <v>1018</v>
      </c>
      <c r="F52" t="s">
        <v>510</v>
      </c>
      <c r="G52" s="329">
        <v>890225</v>
      </c>
      <c r="H52">
        <v>1</v>
      </c>
    </row>
    <row r="53" spans="1:8" x14ac:dyDescent="0.25">
      <c r="A53" s="2">
        <v>890.22400000000005</v>
      </c>
      <c r="B53" s="2">
        <v>100</v>
      </c>
      <c r="C53" s="2" t="s">
        <v>326</v>
      </c>
      <c r="F53" t="s">
        <v>326</v>
      </c>
      <c r="G53" s="329">
        <v>890224</v>
      </c>
      <c r="H53">
        <v>2</v>
      </c>
    </row>
    <row r="54" spans="1:8" x14ac:dyDescent="0.25">
      <c r="A54" s="2">
        <v>890.21600000000001</v>
      </c>
      <c r="B54" s="2">
        <v>16</v>
      </c>
      <c r="C54" s="2" t="s">
        <v>704</v>
      </c>
      <c r="F54" t="s">
        <v>431</v>
      </c>
      <c r="G54" s="329">
        <v>890216</v>
      </c>
      <c r="H54">
        <v>5</v>
      </c>
    </row>
    <row r="55" spans="1:8" x14ac:dyDescent="0.25">
      <c r="A55" s="2">
        <v>889.26900000000001</v>
      </c>
      <c r="B55" s="2">
        <v>12</v>
      </c>
      <c r="C55" s="2" t="s">
        <v>1019</v>
      </c>
      <c r="F55" t="s">
        <v>525</v>
      </c>
      <c r="G55" s="329">
        <v>889269</v>
      </c>
      <c r="H55">
        <v>2</v>
      </c>
    </row>
    <row r="56" spans="1:8" x14ac:dyDescent="0.25">
      <c r="A56" s="2">
        <v>887.399</v>
      </c>
      <c r="B56" s="2">
        <v>100</v>
      </c>
      <c r="C56" s="2" t="s">
        <v>423</v>
      </c>
      <c r="F56" t="s">
        <v>423</v>
      </c>
      <c r="G56" s="329">
        <v>887399</v>
      </c>
      <c r="H56">
        <v>1</v>
      </c>
    </row>
    <row r="57" spans="1:8" x14ac:dyDescent="0.25">
      <c r="A57" s="2">
        <v>886.58399999999995</v>
      </c>
      <c r="B57" s="2">
        <v>100</v>
      </c>
      <c r="C57" s="2" t="s">
        <v>336</v>
      </c>
      <c r="F57" t="s">
        <v>336</v>
      </c>
      <c r="G57" s="329">
        <v>886584</v>
      </c>
      <c r="H57">
        <v>2</v>
      </c>
    </row>
    <row r="58" spans="1:8" x14ac:dyDescent="0.25">
      <c r="A58" s="2">
        <v>885.29499999999996</v>
      </c>
      <c r="B58" s="2">
        <v>100</v>
      </c>
      <c r="C58" s="2" t="s">
        <v>327</v>
      </c>
      <c r="D58" t="s">
        <v>543</v>
      </c>
      <c r="F58" t="s">
        <v>327</v>
      </c>
      <c r="G58" s="329">
        <v>885295</v>
      </c>
      <c r="H58">
        <v>5</v>
      </c>
    </row>
    <row r="59" spans="1:8" x14ac:dyDescent="0.25">
      <c r="A59" s="2">
        <v>885.18799999999999</v>
      </c>
      <c r="B59" s="2">
        <v>100</v>
      </c>
      <c r="C59" s="2" t="s">
        <v>348</v>
      </c>
      <c r="D59" t="s">
        <v>544</v>
      </c>
      <c r="F59" t="s">
        <v>348</v>
      </c>
      <c r="G59" s="329">
        <v>885188</v>
      </c>
      <c r="H59">
        <v>6</v>
      </c>
    </row>
    <row r="60" spans="1:8" x14ac:dyDescent="0.25">
      <c r="A60" s="2">
        <v>882.952</v>
      </c>
      <c r="B60" s="2">
        <v>19</v>
      </c>
      <c r="C60" s="2" t="s">
        <v>1020</v>
      </c>
      <c r="F60" t="s">
        <v>351</v>
      </c>
      <c r="G60" s="329">
        <v>882952</v>
      </c>
      <c r="H60">
        <v>2</v>
      </c>
    </row>
    <row r="61" spans="1:8" x14ac:dyDescent="0.25">
      <c r="A61" s="2">
        <v>881.82100000000003</v>
      </c>
      <c r="B61" s="2">
        <v>100</v>
      </c>
      <c r="C61" s="2" t="s">
        <v>207</v>
      </c>
      <c r="D61" t="s">
        <v>596</v>
      </c>
      <c r="E61">
        <v>1</v>
      </c>
      <c r="F61" t="s">
        <v>207</v>
      </c>
      <c r="G61" s="329">
        <v>881821</v>
      </c>
      <c r="H61">
        <v>4</v>
      </c>
    </row>
    <row r="62" spans="1:8" x14ac:dyDescent="0.25">
      <c r="A62" s="2">
        <v>881.39300000000003</v>
      </c>
      <c r="B62" s="2">
        <v>19</v>
      </c>
      <c r="C62" s="2" t="s">
        <v>1021</v>
      </c>
      <c r="F62" t="s">
        <v>511</v>
      </c>
      <c r="G62" s="329">
        <v>881393</v>
      </c>
      <c r="H62">
        <v>1</v>
      </c>
    </row>
    <row r="63" spans="1:8" x14ac:dyDescent="0.25">
      <c r="A63" s="2">
        <v>879.42100000000005</v>
      </c>
      <c r="B63" s="2">
        <v>100</v>
      </c>
      <c r="C63" s="2" t="s">
        <v>347</v>
      </c>
      <c r="D63" t="s">
        <v>644</v>
      </c>
      <c r="E63">
        <v>26</v>
      </c>
      <c r="F63" t="s">
        <v>347</v>
      </c>
      <c r="G63" s="329">
        <v>879421</v>
      </c>
      <c r="H63">
        <v>3</v>
      </c>
    </row>
    <row r="64" spans="1:8" x14ac:dyDescent="0.25">
      <c r="A64" s="2">
        <v>879.24400000000003</v>
      </c>
      <c r="B64" s="2">
        <v>100</v>
      </c>
      <c r="C64" s="2" t="s">
        <v>408</v>
      </c>
      <c r="D64" t="s">
        <v>645</v>
      </c>
      <c r="E64">
        <v>27</v>
      </c>
      <c r="F64" t="s">
        <v>408</v>
      </c>
      <c r="G64" s="329">
        <v>879244</v>
      </c>
      <c r="H64">
        <v>6</v>
      </c>
    </row>
    <row r="65" spans="1:8" x14ac:dyDescent="0.25">
      <c r="A65" s="2">
        <v>878.44100000000003</v>
      </c>
      <c r="B65" s="2">
        <v>12</v>
      </c>
      <c r="C65" s="2" t="s">
        <v>690</v>
      </c>
      <c r="F65" t="s">
        <v>438</v>
      </c>
      <c r="G65" s="329">
        <v>878441</v>
      </c>
      <c r="H65">
        <v>5</v>
      </c>
    </row>
    <row r="66" spans="1:8" x14ac:dyDescent="0.25">
      <c r="A66" s="2">
        <v>877.71400000000006</v>
      </c>
      <c r="B66" s="2">
        <v>14</v>
      </c>
      <c r="C66" s="2" t="s">
        <v>705</v>
      </c>
      <c r="F66" t="s">
        <v>430</v>
      </c>
      <c r="G66" s="329">
        <v>877714</v>
      </c>
      <c r="H66">
        <v>5</v>
      </c>
    </row>
    <row r="67" spans="1:8" x14ac:dyDescent="0.25">
      <c r="A67" s="2">
        <v>877.68700000000001</v>
      </c>
      <c r="B67" s="2">
        <v>17</v>
      </c>
      <c r="C67" s="2" t="s">
        <v>1022</v>
      </c>
      <c r="F67" t="s">
        <v>597</v>
      </c>
      <c r="G67" s="329">
        <v>877687</v>
      </c>
      <c r="H67">
        <v>1</v>
      </c>
    </row>
    <row r="68" spans="1:8" x14ac:dyDescent="0.25">
      <c r="A68" s="2">
        <v>876.80200000000002</v>
      </c>
      <c r="B68" s="2">
        <v>100</v>
      </c>
      <c r="C68" s="2" t="s">
        <v>8</v>
      </c>
      <c r="F68" t="s">
        <v>8</v>
      </c>
      <c r="G68" s="329">
        <v>876802</v>
      </c>
      <c r="H68">
        <v>2</v>
      </c>
    </row>
    <row r="69" spans="1:8" x14ac:dyDescent="0.25">
      <c r="A69" s="2">
        <v>875.97900000000004</v>
      </c>
      <c r="B69" s="2">
        <v>100</v>
      </c>
      <c r="C69" s="2" t="s">
        <v>198</v>
      </c>
      <c r="D69" t="s">
        <v>646</v>
      </c>
      <c r="E69">
        <v>28</v>
      </c>
      <c r="F69" t="s">
        <v>198</v>
      </c>
      <c r="G69" s="329">
        <v>875979</v>
      </c>
      <c r="H69">
        <v>3</v>
      </c>
    </row>
    <row r="70" spans="1:8" x14ac:dyDescent="0.25">
      <c r="A70" s="2">
        <v>874.58699999999999</v>
      </c>
      <c r="B70" s="2">
        <v>14</v>
      </c>
      <c r="C70" s="2" t="s">
        <v>1023</v>
      </c>
      <c r="F70" t="s">
        <v>332</v>
      </c>
      <c r="G70" s="329">
        <v>874587</v>
      </c>
      <c r="H70">
        <v>1</v>
      </c>
    </row>
    <row r="71" spans="1:8" x14ac:dyDescent="0.25">
      <c r="A71" s="2">
        <v>874.55799999999999</v>
      </c>
      <c r="B71" s="2">
        <v>14</v>
      </c>
      <c r="C71" s="2" t="s">
        <v>1024</v>
      </c>
      <c r="F71" t="s">
        <v>333</v>
      </c>
      <c r="G71" s="329">
        <v>874558</v>
      </c>
      <c r="H71">
        <v>5</v>
      </c>
    </row>
    <row r="72" spans="1:8" x14ac:dyDescent="0.25">
      <c r="A72" s="2">
        <v>873.19</v>
      </c>
      <c r="B72" s="2">
        <v>15</v>
      </c>
      <c r="C72" s="2" t="s">
        <v>1025</v>
      </c>
      <c r="F72" t="s">
        <v>463</v>
      </c>
      <c r="G72" s="329">
        <v>873.19</v>
      </c>
      <c r="H72">
        <v>2</v>
      </c>
    </row>
    <row r="73" spans="1:8" x14ac:dyDescent="0.25">
      <c r="A73" s="2">
        <v>872.96100000000001</v>
      </c>
      <c r="B73" s="2">
        <v>100</v>
      </c>
      <c r="C73" s="2" t="s">
        <v>458</v>
      </c>
      <c r="D73" t="s">
        <v>598</v>
      </c>
      <c r="E73">
        <v>29</v>
      </c>
      <c r="F73" t="s">
        <v>458</v>
      </c>
      <c r="G73" s="329">
        <v>872961</v>
      </c>
      <c r="H73">
        <v>5</v>
      </c>
    </row>
    <row r="74" spans="1:8" x14ac:dyDescent="0.25">
      <c r="A74" s="2">
        <v>872.56200000000001</v>
      </c>
      <c r="B74" s="2">
        <v>16</v>
      </c>
      <c r="C74" s="2" t="s">
        <v>1026</v>
      </c>
      <c r="F74" t="s">
        <v>443</v>
      </c>
      <c r="G74" s="329">
        <v>872562</v>
      </c>
      <c r="H74">
        <v>1</v>
      </c>
    </row>
    <row r="75" spans="1:8" x14ac:dyDescent="0.25">
      <c r="A75" s="2">
        <v>871.21799999999996</v>
      </c>
      <c r="B75" s="2">
        <v>100</v>
      </c>
      <c r="C75" s="2" t="s">
        <v>367</v>
      </c>
      <c r="D75" t="s">
        <v>647</v>
      </c>
      <c r="E75">
        <v>30</v>
      </c>
      <c r="F75" t="s">
        <v>367</v>
      </c>
      <c r="G75" s="329">
        <v>871218</v>
      </c>
      <c r="H75">
        <v>6</v>
      </c>
    </row>
    <row r="76" spans="1:8" x14ac:dyDescent="0.25">
      <c r="A76" s="2">
        <v>870.81100000000004</v>
      </c>
      <c r="B76" s="2">
        <v>100</v>
      </c>
      <c r="C76" s="2" t="s">
        <v>482</v>
      </c>
      <c r="F76" t="s">
        <v>482</v>
      </c>
      <c r="G76" s="329">
        <v>870811</v>
      </c>
      <c r="H76">
        <v>2</v>
      </c>
    </row>
    <row r="77" spans="1:8" x14ac:dyDescent="0.25">
      <c r="A77" s="2">
        <v>868.81</v>
      </c>
      <c r="B77" s="2">
        <v>100</v>
      </c>
      <c r="C77" s="2" t="s">
        <v>592</v>
      </c>
      <c r="F77" t="s">
        <v>592</v>
      </c>
      <c r="G77" s="329">
        <v>868.81</v>
      </c>
      <c r="H77">
        <v>2</v>
      </c>
    </row>
    <row r="78" spans="1:8" x14ac:dyDescent="0.25">
      <c r="A78" s="2">
        <v>866.86699999999996</v>
      </c>
      <c r="B78" s="2">
        <v>100</v>
      </c>
      <c r="C78" s="2" t="s">
        <v>202</v>
      </c>
      <c r="D78" t="s">
        <v>648</v>
      </c>
      <c r="E78">
        <v>31</v>
      </c>
      <c r="F78" t="s">
        <v>202</v>
      </c>
      <c r="G78" s="329">
        <v>866867</v>
      </c>
      <c r="H78">
        <v>5</v>
      </c>
    </row>
    <row r="79" spans="1:8" x14ac:dyDescent="0.25">
      <c r="A79" s="2">
        <v>864.12800000000004</v>
      </c>
      <c r="B79" s="2">
        <v>13</v>
      </c>
      <c r="C79" s="2" t="s">
        <v>1027</v>
      </c>
      <c r="F79" t="s">
        <v>338</v>
      </c>
      <c r="G79" s="329">
        <v>864128</v>
      </c>
      <c r="H79">
        <v>7</v>
      </c>
    </row>
    <row r="80" spans="1:8" x14ac:dyDescent="0.25">
      <c r="A80" s="2">
        <v>863.73</v>
      </c>
      <c r="B80" s="2">
        <v>15</v>
      </c>
      <c r="C80" s="2" t="s">
        <v>1028</v>
      </c>
      <c r="F80" t="s">
        <v>512</v>
      </c>
      <c r="G80" s="329">
        <v>863.73</v>
      </c>
      <c r="H80">
        <v>1</v>
      </c>
    </row>
    <row r="81" spans="1:8" x14ac:dyDescent="0.25">
      <c r="A81" s="2">
        <v>863.73</v>
      </c>
      <c r="B81" s="2">
        <v>100</v>
      </c>
      <c r="C81" s="2" t="s">
        <v>498</v>
      </c>
      <c r="F81" t="s">
        <v>498</v>
      </c>
      <c r="G81" s="329">
        <v>863.73</v>
      </c>
      <c r="H81">
        <v>1</v>
      </c>
    </row>
    <row r="82" spans="1:8" x14ac:dyDescent="0.25">
      <c r="A82" s="2">
        <v>863.73</v>
      </c>
      <c r="B82" s="2">
        <v>17</v>
      </c>
      <c r="C82" s="2" t="s">
        <v>1029</v>
      </c>
      <c r="F82" t="s">
        <v>437</v>
      </c>
      <c r="G82" s="329">
        <v>863.73</v>
      </c>
      <c r="H82">
        <v>1</v>
      </c>
    </row>
    <row r="83" spans="1:8" x14ac:dyDescent="0.25">
      <c r="A83" s="2">
        <v>863.24800000000005</v>
      </c>
      <c r="B83" s="2">
        <v>14</v>
      </c>
      <c r="C83" s="2" t="s">
        <v>1030</v>
      </c>
      <c r="F83" t="s">
        <v>337</v>
      </c>
      <c r="G83" s="329">
        <v>863248</v>
      </c>
      <c r="H83">
        <v>2</v>
      </c>
    </row>
    <row r="84" spans="1:8" x14ac:dyDescent="0.25">
      <c r="A84" s="2">
        <v>862.4</v>
      </c>
      <c r="B84" s="2">
        <v>100</v>
      </c>
      <c r="C84" s="2" t="s">
        <v>432</v>
      </c>
      <c r="D84" t="s">
        <v>649</v>
      </c>
      <c r="E84">
        <v>32</v>
      </c>
      <c r="F84" t="s">
        <v>432</v>
      </c>
      <c r="G84" s="329">
        <v>862.4</v>
      </c>
      <c r="H84">
        <v>7</v>
      </c>
    </row>
    <row r="85" spans="1:8" x14ac:dyDescent="0.25">
      <c r="A85" s="2">
        <v>859.93399999999997</v>
      </c>
      <c r="B85" s="2">
        <v>100</v>
      </c>
      <c r="C85" s="2" t="s">
        <v>455</v>
      </c>
      <c r="D85" t="s">
        <v>650</v>
      </c>
      <c r="E85">
        <v>33</v>
      </c>
      <c r="F85" t="s">
        <v>455</v>
      </c>
      <c r="G85" s="329">
        <v>859934</v>
      </c>
      <c r="H85">
        <v>5</v>
      </c>
    </row>
    <row r="86" spans="1:8" x14ac:dyDescent="0.25">
      <c r="A86" s="2">
        <v>859.74900000000002</v>
      </c>
      <c r="B86" s="2">
        <v>13</v>
      </c>
      <c r="C86" s="2" t="s">
        <v>722</v>
      </c>
      <c r="F86" t="s">
        <v>526</v>
      </c>
      <c r="G86" s="329">
        <v>859749</v>
      </c>
      <c r="H86">
        <v>3</v>
      </c>
    </row>
    <row r="87" spans="1:8" x14ac:dyDescent="0.25">
      <c r="A87" s="2">
        <v>859.52800000000002</v>
      </c>
      <c r="B87" s="2">
        <v>100</v>
      </c>
      <c r="C87" s="2" t="s">
        <v>599</v>
      </c>
      <c r="F87" t="s">
        <v>599</v>
      </c>
      <c r="G87" s="329">
        <v>859528</v>
      </c>
      <c r="H87">
        <v>1</v>
      </c>
    </row>
    <row r="88" spans="1:8" x14ac:dyDescent="0.25">
      <c r="A88" s="2">
        <v>858.38</v>
      </c>
      <c r="B88" s="2">
        <v>100</v>
      </c>
      <c r="C88" s="2" t="s">
        <v>21</v>
      </c>
      <c r="D88" t="s">
        <v>651</v>
      </c>
      <c r="E88">
        <v>34</v>
      </c>
      <c r="F88" t="s">
        <v>21</v>
      </c>
      <c r="G88" s="329">
        <v>858.38</v>
      </c>
      <c r="H88">
        <v>6</v>
      </c>
    </row>
    <row r="89" spans="1:8" x14ac:dyDescent="0.25">
      <c r="A89" s="2">
        <v>854.899</v>
      </c>
      <c r="B89" s="2">
        <v>17</v>
      </c>
      <c r="C89" s="2" t="s">
        <v>1031</v>
      </c>
      <c r="F89" t="s">
        <v>513</v>
      </c>
      <c r="G89" s="329">
        <v>854899</v>
      </c>
      <c r="H89">
        <v>1</v>
      </c>
    </row>
    <row r="90" spans="1:8" x14ac:dyDescent="0.25">
      <c r="A90" s="2">
        <v>851.66200000000003</v>
      </c>
      <c r="B90" s="2">
        <v>100</v>
      </c>
      <c r="C90" s="2" t="s">
        <v>14</v>
      </c>
      <c r="D90" t="s">
        <v>652</v>
      </c>
      <c r="E90">
        <v>35</v>
      </c>
      <c r="F90" t="s">
        <v>14</v>
      </c>
      <c r="G90" s="329">
        <v>851662</v>
      </c>
      <c r="H90">
        <v>5</v>
      </c>
    </row>
    <row r="91" spans="1:8" x14ac:dyDescent="0.25">
      <c r="A91" s="2">
        <v>850.10400000000004</v>
      </c>
      <c r="B91" s="2">
        <v>100</v>
      </c>
      <c r="C91" s="2" t="s">
        <v>413</v>
      </c>
      <c r="F91" t="s">
        <v>413</v>
      </c>
      <c r="G91" s="329">
        <v>850104</v>
      </c>
      <c r="H91">
        <v>2</v>
      </c>
    </row>
    <row r="92" spans="1:8" x14ac:dyDescent="0.25">
      <c r="A92" s="2">
        <v>850.01099999999997</v>
      </c>
      <c r="B92" s="2">
        <v>100</v>
      </c>
      <c r="C92" s="2" t="s">
        <v>17</v>
      </c>
      <c r="D92" t="s">
        <v>600</v>
      </c>
      <c r="E92">
        <v>36</v>
      </c>
      <c r="F92" t="s">
        <v>17</v>
      </c>
      <c r="G92" s="329">
        <v>850011</v>
      </c>
      <c r="H92">
        <v>5</v>
      </c>
    </row>
    <row r="93" spans="1:8" x14ac:dyDescent="0.25">
      <c r="A93" s="2">
        <v>848.89800000000002</v>
      </c>
      <c r="B93" s="2">
        <v>100</v>
      </c>
      <c r="C93" s="2" t="s">
        <v>205</v>
      </c>
      <c r="D93" t="s">
        <v>653</v>
      </c>
      <c r="E93">
        <v>37</v>
      </c>
      <c r="F93" t="s">
        <v>205</v>
      </c>
      <c r="G93" s="329">
        <v>848898</v>
      </c>
      <c r="H93">
        <v>5</v>
      </c>
    </row>
    <row r="94" spans="1:8" x14ac:dyDescent="0.25">
      <c r="A94" s="2">
        <v>848.25199999999995</v>
      </c>
      <c r="B94" s="2">
        <v>100</v>
      </c>
      <c r="C94" s="2" t="s">
        <v>9</v>
      </c>
      <c r="D94" t="s">
        <v>601</v>
      </c>
      <c r="E94">
        <v>38</v>
      </c>
      <c r="F94" t="s">
        <v>9</v>
      </c>
      <c r="G94" s="329">
        <v>848252</v>
      </c>
      <c r="H94">
        <v>5</v>
      </c>
    </row>
    <row r="95" spans="1:8" x14ac:dyDescent="0.25">
      <c r="A95" s="2">
        <v>846.72299999999996</v>
      </c>
      <c r="B95" s="2">
        <v>100</v>
      </c>
      <c r="C95" s="2" t="s">
        <v>464</v>
      </c>
      <c r="D95" t="s">
        <v>654</v>
      </c>
      <c r="E95">
        <v>39</v>
      </c>
      <c r="F95" t="s">
        <v>464</v>
      </c>
      <c r="G95" s="329">
        <v>846723</v>
      </c>
      <c r="H95">
        <v>4</v>
      </c>
    </row>
    <row r="96" spans="1:8" x14ac:dyDescent="0.25">
      <c r="A96" s="2">
        <v>846.702</v>
      </c>
      <c r="B96" s="2">
        <v>14</v>
      </c>
      <c r="C96" s="2" t="s">
        <v>1032</v>
      </c>
      <c r="F96" t="s">
        <v>461</v>
      </c>
      <c r="G96" s="329">
        <v>846702</v>
      </c>
      <c r="H96">
        <v>1</v>
      </c>
    </row>
    <row r="97" spans="1:8" x14ac:dyDescent="0.25">
      <c r="A97" s="2">
        <v>843.83299999999997</v>
      </c>
      <c r="B97" s="2">
        <v>100</v>
      </c>
      <c r="C97" s="2" t="s">
        <v>405</v>
      </c>
      <c r="D97" t="s">
        <v>655</v>
      </c>
      <c r="E97">
        <v>40</v>
      </c>
      <c r="F97" t="s">
        <v>405</v>
      </c>
      <c r="G97" s="329">
        <v>843833</v>
      </c>
      <c r="H97">
        <v>3</v>
      </c>
    </row>
    <row r="98" spans="1:8" x14ac:dyDescent="0.25">
      <c r="A98" s="2">
        <v>839.29899999999998</v>
      </c>
      <c r="B98" s="2">
        <v>18</v>
      </c>
      <c r="C98" s="2" t="s">
        <v>691</v>
      </c>
      <c r="F98" t="s">
        <v>484</v>
      </c>
      <c r="G98" s="329">
        <v>839299</v>
      </c>
      <c r="H98">
        <v>5</v>
      </c>
    </row>
    <row r="99" spans="1:8" x14ac:dyDescent="0.25">
      <c r="A99" s="2">
        <v>839.07100000000003</v>
      </c>
      <c r="B99" s="2">
        <v>100</v>
      </c>
      <c r="C99" s="2" t="s">
        <v>354</v>
      </c>
      <c r="D99" t="s">
        <v>557</v>
      </c>
      <c r="E99">
        <v>41</v>
      </c>
      <c r="F99" t="s">
        <v>354</v>
      </c>
      <c r="G99" s="329">
        <v>839071</v>
      </c>
      <c r="H99">
        <v>5</v>
      </c>
    </row>
    <row r="100" spans="1:8" x14ac:dyDescent="0.25">
      <c r="A100" s="2">
        <v>836.96799999999996</v>
      </c>
      <c r="B100" s="2">
        <v>13</v>
      </c>
      <c r="C100" s="2" t="s">
        <v>1033</v>
      </c>
      <c r="F100" t="s">
        <v>404</v>
      </c>
      <c r="G100" s="329">
        <v>836968</v>
      </c>
      <c r="H100">
        <v>2</v>
      </c>
    </row>
    <row r="101" spans="1:8" x14ac:dyDescent="0.25">
      <c r="A101" s="2">
        <v>835.32399999999996</v>
      </c>
      <c r="B101" s="2">
        <v>13</v>
      </c>
      <c r="C101" s="2" t="s">
        <v>714</v>
      </c>
      <c r="F101" t="s">
        <v>350</v>
      </c>
      <c r="G101" s="329">
        <v>835324</v>
      </c>
      <c r="H101">
        <v>3</v>
      </c>
    </row>
    <row r="102" spans="1:8" x14ac:dyDescent="0.25">
      <c r="A102" s="2">
        <v>834.09299999999996</v>
      </c>
      <c r="B102" s="2">
        <v>14</v>
      </c>
      <c r="C102" s="2" t="s">
        <v>702</v>
      </c>
      <c r="F102" t="s">
        <v>352</v>
      </c>
      <c r="G102" s="329">
        <v>834093</v>
      </c>
      <c r="H102">
        <v>2</v>
      </c>
    </row>
    <row r="103" spans="1:8" x14ac:dyDescent="0.25">
      <c r="A103" s="2">
        <v>832.59699999999998</v>
      </c>
      <c r="B103" s="2">
        <v>14</v>
      </c>
      <c r="C103" s="2" t="s">
        <v>709</v>
      </c>
      <c r="F103" t="s">
        <v>433</v>
      </c>
      <c r="G103" s="329">
        <v>832597</v>
      </c>
      <c r="H103">
        <v>4</v>
      </c>
    </row>
    <row r="104" spans="1:8" x14ac:dyDescent="0.25">
      <c r="A104" s="2">
        <v>831.69299999999998</v>
      </c>
      <c r="B104" s="2">
        <v>100</v>
      </c>
      <c r="C104" s="2" t="s">
        <v>208</v>
      </c>
      <c r="F104" t="s">
        <v>208</v>
      </c>
      <c r="G104" s="329">
        <v>831693</v>
      </c>
      <c r="H104">
        <v>1</v>
      </c>
    </row>
    <row r="105" spans="1:8" x14ac:dyDescent="0.25">
      <c r="A105" s="2">
        <v>831.31399999999996</v>
      </c>
      <c r="B105" s="2">
        <v>13</v>
      </c>
      <c r="C105" s="2" t="s">
        <v>1034</v>
      </c>
      <c r="F105" t="s">
        <v>357</v>
      </c>
      <c r="G105" s="329">
        <v>831314</v>
      </c>
      <c r="H105">
        <v>3</v>
      </c>
    </row>
    <row r="106" spans="1:8" x14ac:dyDescent="0.25">
      <c r="A106" s="2">
        <v>830.85599999999999</v>
      </c>
      <c r="B106" s="2">
        <v>14</v>
      </c>
      <c r="C106" s="2" t="s">
        <v>708</v>
      </c>
      <c r="F106" t="s">
        <v>462</v>
      </c>
      <c r="G106" s="329">
        <v>830856</v>
      </c>
      <c r="H106">
        <v>1</v>
      </c>
    </row>
    <row r="107" spans="1:8" x14ac:dyDescent="0.25">
      <c r="A107" s="2">
        <v>828.404</v>
      </c>
      <c r="B107" s="2">
        <v>100</v>
      </c>
      <c r="C107" s="2" t="s">
        <v>499</v>
      </c>
      <c r="F107" t="s">
        <v>499</v>
      </c>
      <c r="G107" s="329">
        <v>828404</v>
      </c>
      <c r="H107">
        <v>1</v>
      </c>
    </row>
    <row r="108" spans="1:8" x14ac:dyDescent="0.25">
      <c r="A108" s="2">
        <v>826.20299999999997</v>
      </c>
      <c r="B108" s="2">
        <v>100</v>
      </c>
      <c r="C108" s="2" t="s">
        <v>439</v>
      </c>
      <c r="F108" t="s">
        <v>439</v>
      </c>
      <c r="G108" s="329">
        <v>826203</v>
      </c>
      <c r="H108">
        <v>1</v>
      </c>
    </row>
    <row r="109" spans="1:8" x14ac:dyDescent="0.25">
      <c r="A109" s="2">
        <v>826.20299999999997</v>
      </c>
      <c r="B109" s="2">
        <v>20</v>
      </c>
      <c r="C109" s="2" t="s">
        <v>1035</v>
      </c>
      <c r="F109" t="s">
        <v>449</v>
      </c>
      <c r="G109" s="329">
        <v>826203</v>
      </c>
      <c r="H109">
        <v>1</v>
      </c>
    </row>
    <row r="110" spans="1:8" x14ac:dyDescent="0.25">
      <c r="A110" s="2">
        <v>823.12900000000002</v>
      </c>
      <c r="B110" s="2">
        <v>100</v>
      </c>
      <c r="C110" s="2" t="s">
        <v>210</v>
      </c>
      <c r="D110" t="s">
        <v>602</v>
      </c>
      <c r="E110">
        <v>42</v>
      </c>
      <c r="F110" t="s">
        <v>210</v>
      </c>
      <c r="G110" s="329">
        <v>823129</v>
      </c>
      <c r="H110">
        <v>5</v>
      </c>
    </row>
    <row r="111" spans="1:8" x14ac:dyDescent="0.25">
      <c r="A111" s="2">
        <v>819.94100000000003</v>
      </c>
      <c r="B111" s="2">
        <v>14</v>
      </c>
      <c r="C111" s="2" t="s">
        <v>1036</v>
      </c>
      <c r="F111" t="s">
        <v>460</v>
      </c>
      <c r="G111" s="329">
        <v>819941</v>
      </c>
      <c r="H111">
        <v>3</v>
      </c>
    </row>
    <row r="112" spans="1:8" x14ac:dyDescent="0.25">
      <c r="A112" s="2">
        <v>819.572</v>
      </c>
      <c r="B112" s="2">
        <v>100</v>
      </c>
      <c r="C112" s="2" t="s">
        <v>500</v>
      </c>
      <c r="F112" t="s">
        <v>500</v>
      </c>
      <c r="G112" s="329">
        <v>819572</v>
      </c>
      <c r="H112">
        <v>1</v>
      </c>
    </row>
    <row r="113" spans="1:8" x14ac:dyDescent="0.25">
      <c r="A113" s="2">
        <v>818.27499999999998</v>
      </c>
      <c r="B113" s="2">
        <v>100</v>
      </c>
      <c r="C113" s="2" t="s">
        <v>456</v>
      </c>
      <c r="D113" t="s">
        <v>603</v>
      </c>
      <c r="E113">
        <v>43</v>
      </c>
      <c r="F113" t="s">
        <v>456</v>
      </c>
      <c r="G113" s="329">
        <v>818275</v>
      </c>
      <c r="H113">
        <v>5</v>
      </c>
    </row>
    <row r="114" spans="1:8" x14ac:dyDescent="0.25">
      <c r="A114" s="2">
        <v>818.149</v>
      </c>
      <c r="B114" s="2">
        <v>100</v>
      </c>
      <c r="C114" s="2" t="s">
        <v>212</v>
      </c>
      <c r="D114" t="s">
        <v>656</v>
      </c>
      <c r="E114">
        <v>2</v>
      </c>
      <c r="F114" t="s">
        <v>212</v>
      </c>
      <c r="G114" s="329">
        <v>818149</v>
      </c>
      <c r="H114">
        <v>7</v>
      </c>
    </row>
    <row r="115" spans="1:8" x14ac:dyDescent="0.25">
      <c r="A115" s="2">
        <v>817.61900000000003</v>
      </c>
      <c r="B115" s="2">
        <v>15</v>
      </c>
      <c r="C115" s="2" t="s">
        <v>701</v>
      </c>
      <c r="F115" t="s">
        <v>559</v>
      </c>
      <c r="G115" s="329">
        <v>817619</v>
      </c>
      <c r="H115">
        <v>1</v>
      </c>
    </row>
    <row r="116" spans="1:8" x14ac:dyDescent="0.25">
      <c r="A116" s="2">
        <v>815.62699999999995</v>
      </c>
      <c r="B116" s="2">
        <v>100</v>
      </c>
      <c r="C116" s="2" t="s">
        <v>492</v>
      </c>
      <c r="F116" t="s">
        <v>492</v>
      </c>
      <c r="G116" s="329">
        <v>815627</v>
      </c>
      <c r="H116">
        <v>2</v>
      </c>
    </row>
    <row r="117" spans="1:8" x14ac:dyDescent="0.25">
      <c r="A117" s="2">
        <v>815.00099999999998</v>
      </c>
      <c r="B117" s="2">
        <v>100</v>
      </c>
      <c r="C117" s="2" t="s">
        <v>445</v>
      </c>
      <c r="D117" t="s">
        <v>657</v>
      </c>
      <c r="E117">
        <v>44</v>
      </c>
      <c r="F117" t="s">
        <v>445</v>
      </c>
      <c r="G117" s="329">
        <v>815001</v>
      </c>
      <c r="H117">
        <v>4</v>
      </c>
    </row>
    <row r="118" spans="1:8" x14ac:dyDescent="0.25">
      <c r="A118" s="2">
        <v>811.71600000000001</v>
      </c>
      <c r="B118" s="2">
        <v>100</v>
      </c>
      <c r="C118" s="2" t="s">
        <v>447</v>
      </c>
      <c r="D118" t="s">
        <v>658</v>
      </c>
      <c r="E118">
        <v>45</v>
      </c>
      <c r="F118" t="s">
        <v>447</v>
      </c>
      <c r="G118" s="329">
        <v>811716</v>
      </c>
      <c r="H118">
        <v>5</v>
      </c>
    </row>
    <row r="119" spans="1:8" x14ac:dyDescent="0.25">
      <c r="A119" s="2">
        <v>811.16700000000003</v>
      </c>
      <c r="B119" s="2">
        <v>100</v>
      </c>
      <c r="C119" s="2" t="s">
        <v>436</v>
      </c>
      <c r="D119" t="s">
        <v>558</v>
      </c>
      <c r="E119">
        <v>46</v>
      </c>
      <c r="F119" t="s">
        <v>436</v>
      </c>
      <c r="G119" s="329">
        <v>811167</v>
      </c>
      <c r="H119">
        <v>5</v>
      </c>
    </row>
    <row r="120" spans="1:8" x14ac:dyDescent="0.25">
      <c r="A120" s="2">
        <v>808.92600000000004</v>
      </c>
      <c r="B120" s="2">
        <v>100</v>
      </c>
      <c r="C120" s="2" t="s">
        <v>358</v>
      </c>
      <c r="D120" t="s">
        <v>659</v>
      </c>
      <c r="E120">
        <v>47</v>
      </c>
      <c r="F120" t="s">
        <v>358</v>
      </c>
      <c r="G120" s="329">
        <v>808926</v>
      </c>
      <c r="H120">
        <v>3</v>
      </c>
    </row>
    <row r="121" spans="1:8" x14ac:dyDescent="0.25">
      <c r="A121" s="2">
        <v>806.22799999999995</v>
      </c>
      <c r="B121" s="2">
        <v>14</v>
      </c>
      <c r="C121" s="2" t="s">
        <v>1037</v>
      </c>
      <c r="F121" t="s">
        <v>527</v>
      </c>
      <c r="G121" s="329">
        <v>806228</v>
      </c>
      <c r="H121">
        <v>1</v>
      </c>
    </row>
    <row r="122" spans="1:8" x14ac:dyDescent="0.25">
      <c r="A122" s="2">
        <v>805.096</v>
      </c>
      <c r="B122" s="2">
        <v>19</v>
      </c>
      <c r="C122" s="2" t="s">
        <v>1038</v>
      </c>
      <c r="F122" t="s">
        <v>346</v>
      </c>
      <c r="G122" s="329">
        <v>805096</v>
      </c>
      <c r="H122">
        <v>3</v>
      </c>
    </row>
    <row r="123" spans="1:8" x14ac:dyDescent="0.25">
      <c r="A123" s="2">
        <v>804.39</v>
      </c>
      <c r="B123" s="2">
        <v>100</v>
      </c>
      <c r="C123" s="2" t="s">
        <v>539</v>
      </c>
      <c r="D123" t="s">
        <v>604</v>
      </c>
      <c r="E123">
        <v>48</v>
      </c>
      <c r="F123" t="s">
        <v>539</v>
      </c>
      <c r="G123" s="329">
        <v>804.39</v>
      </c>
      <c r="H123">
        <v>4</v>
      </c>
    </row>
    <row r="124" spans="1:8" x14ac:dyDescent="0.25">
      <c r="A124" s="2">
        <v>803.53599999999994</v>
      </c>
      <c r="B124" s="2">
        <v>100</v>
      </c>
      <c r="C124" s="2" t="s">
        <v>406</v>
      </c>
      <c r="F124" t="s">
        <v>406</v>
      </c>
      <c r="G124" s="329">
        <v>803536</v>
      </c>
      <c r="H124">
        <v>1</v>
      </c>
    </row>
    <row r="125" spans="1:8" x14ac:dyDescent="0.25">
      <c r="A125" s="2">
        <v>801.90899999999999</v>
      </c>
      <c r="B125" s="2">
        <v>14</v>
      </c>
      <c r="C125" s="2" t="s">
        <v>1039</v>
      </c>
      <c r="F125" t="s">
        <v>514</v>
      </c>
      <c r="G125" s="329">
        <v>801909</v>
      </c>
      <c r="H125">
        <v>1</v>
      </c>
    </row>
    <row r="126" spans="1:8" x14ac:dyDescent="0.25">
      <c r="A126" s="2">
        <v>801.90899999999999</v>
      </c>
      <c r="B126" s="2">
        <v>14</v>
      </c>
      <c r="C126" s="2" t="s">
        <v>1040</v>
      </c>
      <c r="F126" t="s">
        <v>515</v>
      </c>
      <c r="G126" s="329">
        <v>801909</v>
      </c>
      <c r="H126">
        <v>1</v>
      </c>
    </row>
    <row r="127" spans="1:8" x14ac:dyDescent="0.25">
      <c r="A127" s="2">
        <v>797.70399999999995</v>
      </c>
      <c r="B127" s="2">
        <v>100</v>
      </c>
      <c r="C127" s="2" t="s">
        <v>442</v>
      </c>
      <c r="D127" t="s">
        <v>660</v>
      </c>
      <c r="E127">
        <v>49</v>
      </c>
      <c r="F127" t="s">
        <v>442</v>
      </c>
      <c r="G127" s="329">
        <v>797704</v>
      </c>
      <c r="H127">
        <v>4</v>
      </c>
    </row>
    <row r="128" spans="1:8" x14ac:dyDescent="0.25">
      <c r="A128" s="2">
        <v>797.17700000000002</v>
      </c>
      <c r="B128" s="2">
        <v>100</v>
      </c>
      <c r="C128" s="2" t="s">
        <v>446</v>
      </c>
      <c r="D128" t="s">
        <v>661</v>
      </c>
      <c r="E128">
        <v>50</v>
      </c>
      <c r="F128" t="s">
        <v>446</v>
      </c>
      <c r="G128" s="329">
        <v>797177</v>
      </c>
      <c r="H128">
        <v>3</v>
      </c>
    </row>
    <row r="129" spans="1:8" x14ac:dyDescent="0.25">
      <c r="A129" s="2">
        <v>796.37699999999995</v>
      </c>
      <c r="B129" s="2">
        <v>15</v>
      </c>
      <c r="C129" s="2" t="s">
        <v>1041</v>
      </c>
      <c r="F129" t="s">
        <v>345</v>
      </c>
      <c r="G129" s="329">
        <v>796377</v>
      </c>
      <c r="H129">
        <v>5</v>
      </c>
    </row>
    <row r="130" spans="1:8" x14ac:dyDescent="0.25">
      <c r="A130" s="2">
        <v>793.077</v>
      </c>
      <c r="B130" s="2">
        <v>100</v>
      </c>
      <c r="C130" s="2" t="s">
        <v>501</v>
      </c>
      <c r="F130" t="s">
        <v>501</v>
      </c>
      <c r="G130" s="329">
        <v>793077</v>
      </c>
      <c r="H130">
        <v>1</v>
      </c>
    </row>
    <row r="131" spans="1:8" x14ac:dyDescent="0.25">
      <c r="A131" s="2">
        <v>791.81899999999996</v>
      </c>
      <c r="B131" s="2">
        <v>100</v>
      </c>
      <c r="C131" s="2" t="s">
        <v>562</v>
      </c>
      <c r="F131" t="s">
        <v>562</v>
      </c>
      <c r="G131" s="329">
        <v>791819</v>
      </c>
      <c r="H131">
        <v>1</v>
      </c>
    </row>
    <row r="132" spans="1:8" x14ac:dyDescent="0.25">
      <c r="A132" s="2">
        <v>791.81899999999996</v>
      </c>
      <c r="B132" s="2">
        <v>100</v>
      </c>
      <c r="C132" s="2" t="s">
        <v>561</v>
      </c>
      <c r="F132" t="s">
        <v>561</v>
      </c>
      <c r="G132" s="329">
        <v>791819</v>
      </c>
      <c r="H132">
        <v>1</v>
      </c>
    </row>
    <row r="133" spans="1:8" x14ac:dyDescent="0.25">
      <c r="A133" s="2">
        <v>788.48699999999997</v>
      </c>
      <c r="B133" s="2">
        <v>100</v>
      </c>
      <c r="C133" s="2" t="s">
        <v>204</v>
      </c>
      <c r="F133" t="s">
        <v>204</v>
      </c>
      <c r="G133" s="329">
        <v>788487</v>
      </c>
      <c r="H133">
        <v>2</v>
      </c>
    </row>
    <row r="134" spans="1:8" x14ac:dyDescent="0.25">
      <c r="A134" s="2">
        <v>788.48400000000004</v>
      </c>
      <c r="B134" s="2">
        <v>100</v>
      </c>
      <c r="C134" s="2" t="s">
        <v>13</v>
      </c>
      <c r="D134" t="s">
        <v>662</v>
      </c>
      <c r="E134">
        <v>51</v>
      </c>
      <c r="F134" t="s">
        <v>13</v>
      </c>
      <c r="G134" s="329">
        <v>788484</v>
      </c>
      <c r="H134">
        <v>5</v>
      </c>
    </row>
    <row r="135" spans="1:8" x14ac:dyDescent="0.25">
      <c r="A135" s="2">
        <v>784.87099999999998</v>
      </c>
      <c r="B135" s="2">
        <v>15</v>
      </c>
      <c r="C135" s="2" t="s">
        <v>1042</v>
      </c>
      <c r="F135" t="s">
        <v>505</v>
      </c>
      <c r="G135" s="329">
        <v>784871</v>
      </c>
      <c r="H135">
        <v>2</v>
      </c>
    </row>
    <row r="136" spans="1:8" x14ac:dyDescent="0.25">
      <c r="A136" s="2">
        <v>784.24599999999998</v>
      </c>
      <c r="B136" s="2">
        <v>100</v>
      </c>
      <c r="C136" s="2" t="s">
        <v>502</v>
      </c>
      <c r="F136" t="s">
        <v>502</v>
      </c>
      <c r="G136" s="329">
        <v>784246</v>
      </c>
      <c r="H136">
        <v>1</v>
      </c>
    </row>
    <row r="137" spans="1:8" x14ac:dyDescent="0.25">
      <c r="A137" s="2">
        <v>784.24599999999998</v>
      </c>
      <c r="B137" s="2">
        <v>100</v>
      </c>
      <c r="C137" s="2" t="s">
        <v>503</v>
      </c>
      <c r="F137" t="s">
        <v>503</v>
      </c>
      <c r="G137" s="329">
        <v>784246</v>
      </c>
      <c r="H137">
        <v>1</v>
      </c>
    </row>
    <row r="138" spans="1:8" x14ac:dyDescent="0.25">
      <c r="A138" s="2">
        <v>783.06200000000001</v>
      </c>
      <c r="B138" s="2">
        <v>100</v>
      </c>
      <c r="C138" s="2" t="s">
        <v>564</v>
      </c>
      <c r="F138" t="s">
        <v>564</v>
      </c>
      <c r="G138" s="329">
        <v>783062</v>
      </c>
      <c r="H138">
        <v>1</v>
      </c>
    </row>
    <row r="139" spans="1:8" x14ac:dyDescent="0.25">
      <c r="A139" s="2">
        <v>782.67200000000003</v>
      </c>
      <c r="B139" s="2">
        <v>100</v>
      </c>
      <c r="C139" s="2" t="s">
        <v>483</v>
      </c>
      <c r="F139" t="s">
        <v>483</v>
      </c>
      <c r="G139" s="329">
        <v>782672</v>
      </c>
      <c r="H139">
        <v>2</v>
      </c>
    </row>
    <row r="140" spans="1:8" x14ac:dyDescent="0.25">
      <c r="A140" s="2">
        <v>781.45600000000002</v>
      </c>
      <c r="B140" s="2">
        <v>17</v>
      </c>
      <c r="C140" s="2" t="s">
        <v>1043</v>
      </c>
      <c r="F140" t="s">
        <v>522</v>
      </c>
      <c r="G140" s="329">
        <v>781456</v>
      </c>
      <c r="H140">
        <v>5</v>
      </c>
    </row>
    <row r="141" spans="1:8" x14ac:dyDescent="0.25">
      <c r="A141" s="2">
        <v>778.79499999999996</v>
      </c>
      <c r="B141" s="2">
        <v>100</v>
      </c>
      <c r="C141" s="2" t="s">
        <v>491</v>
      </c>
      <c r="D141" t="s">
        <v>523</v>
      </c>
      <c r="E141">
        <v>52</v>
      </c>
      <c r="F141" t="s">
        <v>491</v>
      </c>
      <c r="G141" s="329">
        <v>778795</v>
      </c>
      <c r="H141">
        <v>3</v>
      </c>
    </row>
    <row r="142" spans="1:8" x14ac:dyDescent="0.25">
      <c r="A142" s="2">
        <v>778.11800000000005</v>
      </c>
      <c r="B142" s="2">
        <v>11</v>
      </c>
      <c r="C142" s="2" t="s">
        <v>1044</v>
      </c>
      <c r="F142" t="s">
        <v>465</v>
      </c>
      <c r="G142" s="329">
        <v>778118</v>
      </c>
      <c r="H142">
        <v>1</v>
      </c>
    </row>
    <row r="143" spans="1:8" x14ac:dyDescent="0.25">
      <c r="A143" s="2">
        <v>776.76800000000003</v>
      </c>
      <c r="B143" s="2">
        <v>13</v>
      </c>
      <c r="C143" s="2" t="s">
        <v>1045</v>
      </c>
      <c r="F143" t="s">
        <v>663</v>
      </c>
      <c r="G143" s="329">
        <v>776768</v>
      </c>
      <c r="H143">
        <v>3</v>
      </c>
    </row>
    <row r="144" spans="1:8" x14ac:dyDescent="0.25">
      <c r="A144" s="2">
        <v>775.41399999999999</v>
      </c>
      <c r="B144" s="2">
        <v>14</v>
      </c>
      <c r="C144" s="2" t="s">
        <v>1046</v>
      </c>
      <c r="F144" t="s">
        <v>516</v>
      </c>
      <c r="G144" s="329">
        <v>775414</v>
      </c>
      <c r="H144">
        <v>1</v>
      </c>
    </row>
    <row r="145" spans="1:8" x14ac:dyDescent="0.25">
      <c r="A145" s="2">
        <v>774.97299999999996</v>
      </c>
      <c r="B145" s="2">
        <v>100</v>
      </c>
      <c r="C145" s="2" t="s">
        <v>355</v>
      </c>
      <c r="D145" t="s">
        <v>664</v>
      </c>
      <c r="E145">
        <v>3</v>
      </c>
      <c r="F145" t="s">
        <v>355</v>
      </c>
      <c r="G145" s="329">
        <v>774973</v>
      </c>
      <c r="H145">
        <v>5</v>
      </c>
    </row>
    <row r="146" spans="1:8" x14ac:dyDescent="0.25">
      <c r="A146" s="2">
        <v>773.59</v>
      </c>
      <c r="B146" s="2">
        <v>100</v>
      </c>
      <c r="C146" s="2" t="s">
        <v>366</v>
      </c>
      <c r="D146" t="s">
        <v>665</v>
      </c>
      <c r="E146">
        <v>53</v>
      </c>
      <c r="F146" t="s">
        <v>366</v>
      </c>
      <c r="G146" s="329">
        <v>773.59</v>
      </c>
      <c r="H146">
        <v>4</v>
      </c>
    </row>
    <row r="147" spans="1:8" x14ac:dyDescent="0.25">
      <c r="A147" s="2">
        <v>773.56500000000005</v>
      </c>
      <c r="B147" s="2">
        <v>100</v>
      </c>
      <c r="C147" s="2" t="s">
        <v>420</v>
      </c>
      <c r="D147" t="s">
        <v>605</v>
      </c>
      <c r="E147">
        <v>4</v>
      </c>
      <c r="F147" t="s">
        <v>420</v>
      </c>
      <c r="G147" s="329">
        <v>773565</v>
      </c>
      <c r="H147">
        <v>4</v>
      </c>
    </row>
    <row r="148" spans="1:8" x14ac:dyDescent="0.25">
      <c r="A148" s="2">
        <v>772.90599999999995</v>
      </c>
      <c r="B148" s="2">
        <v>100</v>
      </c>
      <c r="C148" s="2" t="s">
        <v>407</v>
      </c>
      <c r="D148" t="s">
        <v>666</v>
      </c>
      <c r="E148">
        <v>54</v>
      </c>
      <c r="F148" t="s">
        <v>407</v>
      </c>
      <c r="G148" s="329">
        <v>772906</v>
      </c>
      <c r="H148">
        <v>4</v>
      </c>
    </row>
    <row r="149" spans="1:8" x14ac:dyDescent="0.25">
      <c r="A149" s="2">
        <v>772.322</v>
      </c>
      <c r="B149" s="2">
        <v>100</v>
      </c>
      <c r="C149" s="2" t="s">
        <v>457</v>
      </c>
      <c r="D149" t="s">
        <v>565</v>
      </c>
      <c r="E149">
        <v>55</v>
      </c>
      <c r="F149" t="s">
        <v>457</v>
      </c>
      <c r="G149" s="329">
        <v>772322</v>
      </c>
      <c r="H149">
        <v>7</v>
      </c>
    </row>
    <row r="150" spans="1:8" x14ac:dyDescent="0.25">
      <c r="A150" s="2">
        <v>771.24800000000005</v>
      </c>
      <c r="B150" s="2">
        <v>100</v>
      </c>
      <c r="C150" s="2" t="s">
        <v>411</v>
      </c>
      <c r="D150" t="s">
        <v>667</v>
      </c>
      <c r="E150">
        <v>56</v>
      </c>
      <c r="F150" t="s">
        <v>411</v>
      </c>
      <c r="G150" s="329">
        <v>771248</v>
      </c>
      <c r="H150">
        <v>4</v>
      </c>
    </row>
    <row r="151" spans="1:8" x14ac:dyDescent="0.25">
      <c r="A151" s="2">
        <v>768.73299999999995</v>
      </c>
      <c r="B151" s="2">
        <v>100</v>
      </c>
      <c r="C151" s="2" t="s">
        <v>606</v>
      </c>
      <c r="F151" t="s">
        <v>606</v>
      </c>
      <c r="G151" s="329">
        <v>768733</v>
      </c>
      <c r="H151">
        <v>1</v>
      </c>
    </row>
    <row r="152" spans="1:8" x14ac:dyDescent="0.25">
      <c r="A152" s="2">
        <v>768.7</v>
      </c>
      <c r="B152" s="2">
        <v>23</v>
      </c>
      <c r="C152" s="2" t="s">
        <v>1047</v>
      </c>
      <c r="F152" t="s">
        <v>335</v>
      </c>
      <c r="G152" s="329">
        <v>768.7</v>
      </c>
      <c r="H152">
        <v>3</v>
      </c>
    </row>
    <row r="153" spans="1:8" x14ac:dyDescent="0.25">
      <c r="A153" s="2">
        <v>766.99599999999998</v>
      </c>
      <c r="B153" s="2">
        <v>100</v>
      </c>
      <c r="C153" s="2" t="s">
        <v>560</v>
      </c>
      <c r="F153" t="s">
        <v>560</v>
      </c>
      <c r="G153" s="329">
        <v>766996</v>
      </c>
      <c r="H153">
        <v>2</v>
      </c>
    </row>
    <row r="154" spans="1:8" x14ac:dyDescent="0.25">
      <c r="A154" s="2">
        <v>761.71500000000003</v>
      </c>
      <c r="B154" s="2">
        <v>100</v>
      </c>
      <c r="C154" s="2" t="s">
        <v>417</v>
      </c>
      <c r="D154" t="s">
        <v>668</v>
      </c>
      <c r="E154">
        <v>57</v>
      </c>
      <c r="F154" t="s">
        <v>417</v>
      </c>
      <c r="G154" s="329">
        <v>761715</v>
      </c>
      <c r="H154">
        <v>5</v>
      </c>
    </row>
    <row r="155" spans="1:8" x14ac:dyDescent="0.25">
      <c r="A155" s="2">
        <v>759.41300000000001</v>
      </c>
      <c r="B155" s="2">
        <v>18</v>
      </c>
      <c r="C155" s="2" t="s">
        <v>706</v>
      </c>
      <c r="F155" t="s">
        <v>528</v>
      </c>
      <c r="G155" s="329">
        <v>759413</v>
      </c>
      <c r="H155">
        <v>1</v>
      </c>
    </row>
    <row r="156" spans="1:8" x14ac:dyDescent="0.25">
      <c r="A156" s="2">
        <v>758.41800000000001</v>
      </c>
      <c r="B156" s="2">
        <v>100</v>
      </c>
      <c r="C156" s="2" t="s">
        <v>422</v>
      </c>
      <c r="D156" t="s">
        <v>566</v>
      </c>
      <c r="E156">
        <v>58</v>
      </c>
      <c r="F156" t="s">
        <v>422</v>
      </c>
      <c r="G156" s="329">
        <v>758418</v>
      </c>
      <c r="H156">
        <v>4</v>
      </c>
    </row>
    <row r="157" spans="1:8" x14ac:dyDescent="0.25">
      <c r="A157" s="2">
        <v>755.12699999999995</v>
      </c>
      <c r="B157" s="2">
        <v>100</v>
      </c>
      <c r="C157" s="2" t="s">
        <v>209</v>
      </c>
      <c r="D157" t="s">
        <v>607</v>
      </c>
      <c r="E157">
        <v>59</v>
      </c>
      <c r="F157" t="s">
        <v>209</v>
      </c>
      <c r="G157" s="329">
        <v>755127</v>
      </c>
      <c r="H157">
        <v>5</v>
      </c>
    </row>
    <row r="158" spans="1:8" x14ac:dyDescent="0.25">
      <c r="A158" s="2">
        <v>754.38599999999997</v>
      </c>
      <c r="B158" s="2">
        <v>100</v>
      </c>
      <c r="C158" s="2" t="s">
        <v>349</v>
      </c>
      <c r="D158" t="s">
        <v>669</v>
      </c>
      <c r="E158">
        <v>5</v>
      </c>
      <c r="F158" t="s">
        <v>349</v>
      </c>
      <c r="G158" s="329">
        <v>754386</v>
      </c>
      <c r="H158">
        <v>6</v>
      </c>
    </row>
    <row r="159" spans="1:8" x14ac:dyDescent="0.25">
      <c r="A159" s="2">
        <v>751.74</v>
      </c>
      <c r="B159" s="2">
        <v>100</v>
      </c>
      <c r="C159" s="2" t="s">
        <v>440</v>
      </c>
      <c r="F159" t="s">
        <v>440</v>
      </c>
      <c r="G159" s="329">
        <v>751.74</v>
      </c>
      <c r="H159">
        <v>1</v>
      </c>
    </row>
    <row r="160" spans="1:8" x14ac:dyDescent="0.25">
      <c r="A160" s="2">
        <v>750.90700000000004</v>
      </c>
      <c r="B160" s="2">
        <v>100</v>
      </c>
      <c r="C160" s="2" t="s">
        <v>550</v>
      </c>
      <c r="F160" t="s">
        <v>550</v>
      </c>
      <c r="G160" s="329">
        <v>750907</v>
      </c>
      <c r="H160">
        <v>2</v>
      </c>
    </row>
    <row r="161" spans="1:8" x14ac:dyDescent="0.25">
      <c r="A161" s="2">
        <v>749.14499999999998</v>
      </c>
      <c r="B161" s="2">
        <v>100</v>
      </c>
      <c r="C161" s="2" t="s">
        <v>577</v>
      </c>
      <c r="F161" t="s">
        <v>577</v>
      </c>
      <c r="G161" s="329">
        <v>749145</v>
      </c>
      <c r="H161">
        <v>2</v>
      </c>
    </row>
    <row r="162" spans="1:8" x14ac:dyDescent="0.25">
      <c r="A162" s="2">
        <v>748.12300000000005</v>
      </c>
      <c r="B162" s="2">
        <v>14</v>
      </c>
      <c r="C162" s="2" t="s">
        <v>713</v>
      </c>
      <c r="F162" t="s">
        <v>529</v>
      </c>
      <c r="G162" s="329">
        <v>748123</v>
      </c>
      <c r="H162">
        <v>2</v>
      </c>
    </row>
    <row r="163" spans="1:8" x14ac:dyDescent="0.25">
      <c r="A163" s="2">
        <v>747.31799999999998</v>
      </c>
      <c r="B163" s="2">
        <v>11</v>
      </c>
      <c r="C163" s="2" t="s">
        <v>1048</v>
      </c>
      <c r="F163" t="s">
        <v>485</v>
      </c>
      <c r="G163" s="329">
        <v>747318</v>
      </c>
      <c r="H163">
        <v>1</v>
      </c>
    </row>
    <row r="164" spans="1:8" x14ac:dyDescent="0.25">
      <c r="A164" s="2">
        <v>747.31799999999998</v>
      </c>
      <c r="B164" s="2">
        <v>14</v>
      </c>
      <c r="C164" s="2" t="s">
        <v>1049</v>
      </c>
      <c r="F164" t="s">
        <v>342</v>
      </c>
      <c r="G164" s="329">
        <v>747318</v>
      </c>
      <c r="H164">
        <v>1</v>
      </c>
    </row>
    <row r="165" spans="1:8" x14ac:dyDescent="0.25">
      <c r="A165" s="2">
        <v>742.66700000000003</v>
      </c>
      <c r="B165" s="2">
        <v>100</v>
      </c>
      <c r="C165" s="2" t="s">
        <v>419</v>
      </c>
      <c r="F165" t="s">
        <v>419</v>
      </c>
      <c r="G165" s="329">
        <v>742667</v>
      </c>
      <c r="H165">
        <v>2</v>
      </c>
    </row>
    <row r="166" spans="1:8" x14ac:dyDescent="0.25">
      <c r="A166" s="2">
        <v>740.70799999999997</v>
      </c>
      <c r="B166" s="2">
        <v>14</v>
      </c>
      <c r="C166" s="2" t="s">
        <v>1050</v>
      </c>
      <c r="F166" t="s">
        <v>444</v>
      </c>
      <c r="G166" s="329">
        <v>740708</v>
      </c>
      <c r="H166">
        <v>1</v>
      </c>
    </row>
    <row r="167" spans="1:8" x14ac:dyDescent="0.25">
      <c r="A167" s="2">
        <v>740.15800000000002</v>
      </c>
      <c r="B167" s="2">
        <v>13</v>
      </c>
      <c r="C167" s="2" t="s">
        <v>1051</v>
      </c>
      <c r="F167" t="s">
        <v>403</v>
      </c>
      <c r="G167" s="329">
        <v>740158</v>
      </c>
      <c r="H167">
        <v>4</v>
      </c>
    </row>
    <row r="168" spans="1:8" x14ac:dyDescent="0.25">
      <c r="A168" s="2">
        <v>739.35299999999995</v>
      </c>
      <c r="B168" s="2">
        <v>100</v>
      </c>
      <c r="C168" s="2" t="s">
        <v>203</v>
      </c>
      <c r="F168" t="s">
        <v>203</v>
      </c>
      <c r="G168" s="329">
        <v>739353</v>
      </c>
      <c r="H168">
        <v>2</v>
      </c>
    </row>
    <row r="169" spans="1:8" x14ac:dyDescent="0.25">
      <c r="A169" s="2">
        <v>738.73900000000003</v>
      </c>
      <c r="B169" s="2">
        <v>100</v>
      </c>
      <c r="C169" s="2" t="s">
        <v>452</v>
      </c>
      <c r="D169" t="s">
        <v>608</v>
      </c>
      <c r="E169">
        <v>60</v>
      </c>
      <c r="F169" t="s">
        <v>452</v>
      </c>
      <c r="G169" s="329">
        <v>738739</v>
      </c>
      <c r="H169">
        <v>5</v>
      </c>
    </row>
    <row r="170" spans="1:8" x14ac:dyDescent="0.25">
      <c r="A170" s="2">
        <v>738.51499999999999</v>
      </c>
      <c r="B170" s="2">
        <v>100</v>
      </c>
      <c r="C170" s="2" t="s">
        <v>609</v>
      </c>
      <c r="F170" t="s">
        <v>609</v>
      </c>
      <c r="G170" s="329">
        <v>738515</v>
      </c>
      <c r="H170">
        <v>2</v>
      </c>
    </row>
    <row r="171" spans="1:8" x14ac:dyDescent="0.25">
      <c r="A171" s="2">
        <v>736.05700000000002</v>
      </c>
      <c r="B171" s="2">
        <v>100</v>
      </c>
      <c r="C171" s="2" t="s">
        <v>567</v>
      </c>
      <c r="F171" t="s">
        <v>567</v>
      </c>
      <c r="G171" s="329">
        <v>736057</v>
      </c>
      <c r="H171">
        <v>1</v>
      </c>
    </row>
    <row r="172" spans="1:8" x14ac:dyDescent="0.25">
      <c r="A172" s="2">
        <v>735.60699999999997</v>
      </c>
      <c r="B172" s="2">
        <v>13</v>
      </c>
      <c r="C172" s="2" t="s">
        <v>1052</v>
      </c>
      <c r="F172" t="s">
        <v>546</v>
      </c>
      <c r="G172" s="329">
        <v>735607</v>
      </c>
      <c r="H172">
        <v>1</v>
      </c>
    </row>
    <row r="173" spans="1:8" x14ac:dyDescent="0.25">
      <c r="A173" s="2">
        <v>731.25599999999997</v>
      </c>
      <c r="B173" s="2">
        <v>15</v>
      </c>
      <c r="C173" s="2" t="s">
        <v>1053</v>
      </c>
      <c r="F173" t="s">
        <v>504</v>
      </c>
      <c r="G173" s="329">
        <v>731256</v>
      </c>
      <c r="H173">
        <v>1</v>
      </c>
    </row>
    <row r="174" spans="1:8" x14ac:dyDescent="0.25">
      <c r="A174" s="2">
        <v>731.25599999999997</v>
      </c>
      <c r="B174" s="2">
        <v>14</v>
      </c>
      <c r="C174" s="2" t="s">
        <v>1054</v>
      </c>
      <c r="F174" t="s">
        <v>517</v>
      </c>
      <c r="G174" s="329">
        <v>731256</v>
      </c>
      <c r="H174">
        <v>1</v>
      </c>
    </row>
    <row r="175" spans="1:8" x14ac:dyDescent="0.25">
      <c r="A175" s="2">
        <v>731.25599999999997</v>
      </c>
      <c r="B175" s="2">
        <v>16</v>
      </c>
      <c r="C175" s="2" t="s">
        <v>1055</v>
      </c>
      <c r="F175" t="s">
        <v>518</v>
      </c>
      <c r="G175" s="329">
        <v>731256</v>
      </c>
      <c r="H175">
        <v>1</v>
      </c>
    </row>
    <row r="176" spans="1:8" x14ac:dyDescent="0.25">
      <c r="A176" s="2">
        <v>730.85799999999995</v>
      </c>
      <c r="B176" s="2">
        <v>100</v>
      </c>
      <c r="C176" s="2" t="s">
        <v>441</v>
      </c>
      <c r="F176" t="s">
        <v>441</v>
      </c>
      <c r="G176" s="329">
        <v>730858</v>
      </c>
      <c r="H176">
        <v>1</v>
      </c>
    </row>
    <row r="177" spans="1:8" x14ac:dyDescent="0.25">
      <c r="A177" s="2">
        <v>729.67200000000003</v>
      </c>
      <c r="B177" s="2">
        <v>13</v>
      </c>
      <c r="C177" s="2" t="s">
        <v>1056</v>
      </c>
      <c r="F177" t="s">
        <v>363</v>
      </c>
      <c r="G177" s="329">
        <v>729672</v>
      </c>
      <c r="H177">
        <v>4</v>
      </c>
    </row>
    <row r="178" spans="1:8" x14ac:dyDescent="0.25">
      <c r="A178" s="2">
        <v>727.38400000000001</v>
      </c>
      <c r="B178" s="2">
        <v>100</v>
      </c>
      <c r="C178" s="2" t="s">
        <v>486</v>
      </c>
      <c r="D178" t="s">
        <v>610</v>
      </c>
      <c r="E178">
        <v>61</v>
      </c>
      <c r="F178" t="s">
        <v>486</v>
      </c>
      <c r="G178" s="329">
        <v>727384</v>
      </c>
      <c r="H178">
        <v>4</v>
      </c>
    </row>
    <row r="179" spans="1:8" x14ac:dyDescent="0.25">
      <c r="A179" s="2">
        <v>724.90499999999997</v>
      </c>
      <c r="B179" s="2">
        <v>100</v>
      </c>
      <c r="C179" s="2" t="s">
        <v>568</v>
      </c>
      <c r="F179" t="s">
        <v>568</v>
      </c>
      <c r="G179" s="329">
        <v>724905</v>
      </c>
      <c r="H179">
        <v>1</v>
      </c>
    </row>
    <row r="180" spans="1:8" x14ac:dyDescent="0.25">
      <c r="A180" s="2">
        <v>724.24900000000002</v>
      </c>
      <c r="B180" s="2">
        <v>100</v>
      </c>
      <c r="C180" s="2" t="s">
        <v>575</v>
      </c>
      <c r="D180" t="s">
        <v>670</v>
      </c>
      <c r="E180">
        <v>62</v>
      </c>
      <c r="F180" t="s">
        <v>575</v>
      </c>
      <c r="G180" s="329">
        <v>724249</v>
      </c>
      <c r="H180">
        <v>5</v>
      </c>
    </row>
    <row r="181" spans="1:8" x14ac:dyDescent="0.25">
      <c r="A181" s="2">
        <v>722.00800000000004</v>
      </c>
      <c r="B181" s="2">
        <v>100</v>
      </c>
      <c r="C181" s="2" t="s">
        <v>580</v>
      </c>
      <c r="F181" t="s">
        <v>580</v>
      </c>
      <c r="G181" s="329">
        <v>722008</v>
      </c>
      <c r="H181">
        <v>2</v>
      </c>
    </row>
    <row r="182" spans="1:8" x14ac:dyDescent="0.25">
      <c r="A182" s="2">
        <v>720.58100000000002</v>
      </c>
      <c r="B182" s="2">
        <v>100</v>
      </c>
      <c r="C182" s="2" t="s">
        <v>416</v>
      </c>
      <c r="D182" t="s">
        <v>671</v>
      </c>
      <c r="E182">
        <v>63</v>
      </c>
      <c r="F182" t="s">
        <v>416</v>
      </c>
      <c r="G182" s="329">
        <v>720581</v>
      </c>
      <c r="H182">
        <v>6</v>
      </c>
    </row>
    <row r="183" spans="1:8" x14ac:dyDescent="0.25">
      <c r="A183" s="2">
        <v>720.41700000000003</v>
      </c>
      <c r="B183" s="2">
        <v>100</v>
      </c>
      <c r="C183" s="2" t="s">
        <v>570</v>
      </c>
      <c r="F183" t="s">
        <v>570</v>
      </c>
      <c r="G183" s="329">
        <v>720417</v>
      </c>
      <c r="H183">
        <v>1</v>
      </c>
    </row>
    <row r="184" spans="1:8" x14ac:dyDescent="0.25">
      <c r="A184" s="2">
        <v>720.21900000000005</v>
      </c>
      <c r="B184" s="2">
        <v>100</v>
      </c>
      <c r="C184" s="2" t="s">
        <v>530</v>
      </c>
      <c r="F184" t="s">
        <v>530</v>
      </c>
      <c r="G184" s="329">
        <v>720219</v>
      </c>
      <c r="H184">
        <v>1</v>
      </c>
    </row>
    <row r="185" spans="1:8" x14ac:dyDescent="0.25">
      <c r="A185" s="2">
        <v>717.63199999999995</v>
      </c>
      <c r="B185" s="2">
        <v>18</v>
      </c>
      <c r="C185" s="2" t="s">
        <v>1057</v>
      </c>
      <c r="F185" t="s">
        <v>531</v>
      </c>
      <c r="G185" s="329">
        <v>717632</v>
      </c>
      <c r="H185">
        <v>1</v>
      </c>
    </row>
    <row r="186" spans="1:8" x14ac:dyDescent="0.25">
      <c r="A186" s="2">
        <v>717.55499999999995</v>
      </c>
      <c r="B186" s="2">
        <v>100</v>
      </c>
      <c r="C186" s="2" t="s">
        <v>571</v>
      </c>
      <c r="F186" t="s">
        <v>571</v>
      </c>
      <c r="G186" s="329">
        <v>717555</v>
      </c>
      <c r="H186">
        <v>2</v>
      </c>
    </row>
    <row r="187" spans="1:8" x14ac:dyDescent="0.25">
      <c r="A187" s="2">
        <v>715.84799999999996</v>
      </c>
      <c r="B187" s="2">
        <v>100</v>
      </c>
      <c r="C187" s="2" t="s">
        <v>533</v>
      </c>
      <c r="F187" t="s">
        <v>533</v>
      </c>
      <c r="G187" s="329">
        <v>715848</v>
      </c>
      <c r="H187">
        <v>2</v>
      </c>
    </row>
    <row r="188" spans="1:8" x14ac:dyDescent="0.25">
      <c r="A188" s="2">
        <v>715.74800000000005</v>
      </c>
      <c r="B188" s="2">
        <v>100</v>
      </c>
      <c r="C188" s="2" t="s">
        <v>421</v>
      </c>
      <c r="F188" t="s">
        <v>421</v>
      </c>
      <c r="G188" s="329">
        <v>715748</v>
      </c>
      <c r="H188">
        <v>2</v>
      </c>
    </row>
    <row r="189" spans="1:8" x14ac:dyDescent="0.25">
      <c r="A189" s="2">
        <v>713.86699999999996</v>
      </c>
      <c r="B189" s="2">
        <v>100</v>
      </c>
      <c r="C189" s="2" t="s">
        <v>619</v>
      </c>
      <c r="F189" t="s">
        <v>619</v>
      </c>
      <c r="G189" s="329">
        <v>713867</v>
      </c>
      <c r="H189">
        <v>1</v>
      </c>
    </row>
    <row r="190" spans="1:8" x14ac:dyDescent="0.25">
      <c r="A190" s="2">
        <v>705.31</v>
      </c>
      <c r="B190" s="2">
        <v>100</v>
      </c>
      <c r="C190" s="2" t="s">
        <v>549</v>
      </c>
      <c r="D190" t="s">
        <v>672</v>
      </c>
      <c r="E190">
        <v>64</v>
      </c>
      <c r="F190" t="s">
        <v>549</v>
      </c>
      <c r="G190" s="329">
        <v>705.31</v>
      </c>
      <c r="H190">
        <v>3</v>
      </c>
    </row>
    <row r="191" spans="1:8" x14ac:dyDescent="0.25">
      <c r="A191" s="2">
        <v>704.76099999999997</v>
      </c>
      <c r="B191" s="2">
        <v>17</v>
      </c>
      <c r="C191" s="2" t="s">
        <v>1058</v>
      </c>
      <c r="F191" t="s">
        <v>519</v>
      </c>
      <c r="G191" s="329">
        <v>704761</v>
      </c>
      <c r="H191">
        <v>1</v>
      </c>
    </row>
    <row r="192" spans="1:8" x14ac:dyDescent="0.25">
      <c r="A192" s="2">
        <v>702.6</v>
      </c>
      <c r="B192" s="2">
        <v>100</v>
      </c>
      <c r="C192" s="2" t="s">
        <v>572</v>
      </c>
      <c r="F192" t="s">
        <v>572</v>
      </c>
      <c r="G192" s="329">
        <v>702.6</v>
      </c>
      <c r="H192">
        <v>1</v>
      </c>
    </row>
    <row r="193" spans="1:9" x14ac:dyDescent="0.25">
      <c r="A193" s="2">
        <v>697.38099999999997</v>
      </c>
      <c r="B193" s="2">
        <v>100</v>
      </c>
      <c r="C193" s="2" t="s">
        <v>573</v>
      </c>
      <c r="F193" t="s">
        <v>573</v>
      </c>
      <c r="G193" s="329">
        <v>697381</v>
      </c>
      <c r="H193">
        <v>1</v>
      </c>
    </row>
    <row r="194" spans="1:9" x14ac:dyDescent="0.25">
      <c r="A194" s="2">
        <v>696.85699999999997</v>
      </c>
      <c r="B194" s="2">
        <v>100</v>
      </c>
      <c r="C194" s="2" t="s">
        <v>552</v>
      </c>
      <c r="D194" t="s">
        <v>673</v>
      </c>
      <c r="E194">
        <v>65</v>
      </c>
      <c r="F194" t="s">
        <v>552</v>
      </c>
      <c r="G194" s="329">
        <v>696857</v>
      </c>
      <c r="H194">
        <v>4</v>
      </c>
    </row>
    <row r="195" spans="1:9" x14ac:dyDescent="0.25">
      <c r="A195" s="2">
        <v>696.72699999999998</v>
      </c>
      <c r="B195" s="2">
        <v>100</v>
      </c>
      <c r="C195" s="2" t="s">
        <v>211</v>
      </c>
      <c r="D195" t="s">
        <v>674</v>
      </c>
      <c r="E195">
        <v>66</v>
      </c>
      <c r="F195" t="s">
        <v>211</v>
      </c>
      <c r="G195" s="329">
        <v>696727</v>
      </c>
      <c r="H195">
        <v>4</v>
      </c>
    </row>
    <row r="196" spans="1:9" x14ac:dyDescent="0.25">
      <c r="A196" s="2">
        <v>696.09699999999998</v>
      </c>
      <c r="B196" s="2">
        <v>16</v>
      </c>
      <c r="C196" s="2" t="s">
        <v>1059</v>
      </c>
      <c r="F196" t="s">
        <v>611</v>
      </c>
      <c r="G196" s="329">
        <v>696097</v>
      </c>
      <c r="H196">
        <v>1</v>
      </c>
    </row>
    <row r="197" spans="1:9" x14ac:dyDescent="0.25">
      <c r="A197" s="2">
        <v>694.08399999999995</v>
      </c>
      <c r="B197" s="2">
        <v>100</v>
      </c>
      <c r="C197" s="2" t="s">
        <v>412</v>
      </c>
      <c r="F197" t="s">
        <v>412</v>
      </c>
      <c r="G197" s="329">
        <v>694084</v>
      </c>
      <c r="H197">
        <v>2</v>
      </c>
    </row>
    <row r="198" spans="1:9" x14ac:dyDescent="0.25">
      <c r="A198" s="2">
        <v>693.31700000000001</v>
      </c>
      <c r="B198" s="2">
        <v>15</v>
      </c>
      <c r="C198" s="2" t="s">
        <v>1060</v>
      </c>
      <c r="F198" t="s">
        <v>356</v>
      </c>
      <c r="G198" s="329">
        <v>693317</v>
      </c>
      <c r="H198">
        <v>2</v>
      </c>
    </row>
    <row r="199" spans="1:9" x14ac:dyDescent="0.25">
      <c r="A199" s="2">
        <v>690.61599999999999</v>
      </c>
      <c r="B199" s="2">
        <v>100</v>
      </c>
      <c r="C199" s="2" t="s">
        <v>418</v>
      </c>
      <c r="D199" t="s">
        <v>675</v>
      </c>
      <c r="E199">
        <v>67</v>
      </c>
      <c r="F199" t="s">
        <v>418</v>
      </c>
      <c r="G199" s="329">
        <v>690616</v>
      </c>
      <c r="H199">
        <v>5</v>
      </c>
    </row>
    <row r="200" spans="1:9" x14ac:dyDescent="0.25">
      <c r="A200" s="2">
        <v>687.10699999999997</v>
      </c>
      <c r="B200" s="2">
        <v>100</v>
      </c>
      <c r="C200" s="2" t="s">
        <v>414</v>
      </c>
      <c r="D200" t="s">
        <v>676</v>
      </c>
      <c r="E200">
        <v>68</v>
      </c>
      <c r="F200" t="s">
        <v>414</v>
      </c>
      <c r="G200" s="329">
        <v>687107</v>
      </c>
      <c r="H200">
        <v>3</v>
      </c>
    </row>
    <row r="201" spans="1:9" x14ac:dyDescent="0.25">
      <c r="A201" s="2">
        <v>686.83799999999997</v>
      </c>
      <c r="B201" s="2">
        <v>100</v>
      </c>
      <c r="C201" s="2" t="s">
        <v>563</v>
      </c>
      <c r="D201" t="s">
        <v>677</v>
      </c>
      <c r="E201">
        <v>69</v>
      </c>
      <c r="F201" t="s">
        <v>563</v>
      </c>
      <c r="G201" s="329">
        <v>686838</v>
      </c>
      <c r="H201">
        <v>3</v>
      </c>
    </row>
    <row r="202" spans="1:9" x14ac:dyDescent="0.25">
      <c r="A202" s="2">
        <v>684.19100000000003</v>
      </c>
      <c r="B202" s="2">
        <v>100</v>
      </c>
      <c r="C202" s="2" t="s">
        <v>612</v>
      </c>
      <c r="F202" t="s">
        <v>612</v>
      </c>
      <c r="G202" s="329">
        <v>684191</v>
      </c>
      <c r="H202">
        <v>1</v>
      </c>
    </row>
    <row r="203" spans="1:9" x14ac:dyDescent="0.25">
      <c r="A203" s="2">
        <v>682.04499999999996</v>
      </c>
      <c r="B203" s="2">
        <v>100</v>
      </c>
      <c r="C203" s="2" t="s">
        <v>493</v>
      </c>
      <c r="D203" t="s">
        <v>678</v>
      </c>
      <c r="E203">
        <v>70</v>
      </c>
      <c r="F203" t="s">
        <v>493</v>
      </c>
      <c r="G203" s="329">
        <v>682045</v>
      </c>
      <c r="H203">
        <v>3</v>
      </c>
    </row>
    <row r="204" spans="1:9" x14ac:dyDescent="0.25">
      <c r="A204" s="2">
        <v>680.29600000000005</v>
      </c>
      <c r="B204" s="2">
        <v>100</v>
      </c>
      <c r="C204" s="2" t="s">
        <v>574</v>
      </c>
      <c r="F204" t="s">
        <v>574</v>
      </c>
      <c r="G204" s="329">
        <v>680296</v>
      </c>
      <c r="H204">
        <v>1</v>
      </c>
    </row>
    <row r="205" spans="1:9" x14ac:dyDescent="0.25">
      <c r="A205" s="2">
        <v>679.64400000000001</v>
      </c>
      <c r="B205" s="2">
        <v>16</v>
      </c>
      <c r="C205" s="2" t="s">
        <v>688</v>
      </c>
      <c r="F205" t="s">
        <v>450</v>
      </c>
      <c r="G205" s="329">
        <v>679644</v>
      </c>
      <c r="H205">
        <v>5</v>
      </c>
    </row>
    <row r="206" spans="1:9" x14ac:dyDescent="0.25">
      <c r="A206" s="2">
        <v>679.53499999999997</v>
      </c>
      <c r="B206" s="2">
        <v>100</v>
      </c>
      <c r="C206" s="2" t="s">
        <v>215</v>
      </c>
      <c r="D206" s="2" t="s">
        <v>547</v>
      </c>
      <c r="E206" s="2">
        <v>6</v>
      </c>
      <c r="F206" s="2" t="s">
        <v>215</v>
      </c>
      <c r="G206" s="329">
        <v>679535</v>
      </c>
      <c r="H206" s="2">
        <v>4</v>
      </c>
      <c r="I206" s="2"/>
    </row>
    <row r="207" spans="1:9" x14ac:dyDescent="0.25">
      <c r="A207" s="2">
        <v>676.202</v>
      </c>
      <c r="B207" s="2">
        <v>100</v>
      </c>
      <c r="C207" s="2" t="s">
        <v>415</v>
      </c>
      <c r="D207" s="2"/>
      <c r="E207" s="2"/>
      <c r="F207" s="2" t="s">
        <v>415</v>
      </c>
      <c r="G207" s="329">
        <v>676202</v>
      </c>
      <c r="H207" s="2">
        <v>2</v>
      </c>
      <c r="I207" s="2"/>
    </row>
    <row r="208" spans="1:9" x14ac:dyDescent="0.25">
      <c r="A208" s="2">
        <v>674.71799999999996</v>
      </c>
      <c r="B208" s="2">
        <v>100</v>
      </c>
      <c r="C208" s="2" t="s">
        <v>206</v>
      </c>
      <c r="D208" s="2" t="s">
        <v>679</v>
      </c>
      <c r="E208" s="2">
        <v>71</v>
      </c>
      <c r="F208" s="2" t="s">
        <v>206</v>
      </c>
      <c r="G208" s="329">
        <v>674718</v>
      </c>
      <c r="H208" s="2">
        <v>5</v>
      </c>
      <c r="I208" s="2"/>
    </row>
    <row r="209" spans="1:9" x14ac:dyDescent="0.25">
      <c r="A209" s="2">
        <v>674.52700000000004</v>
      </c>
      <c r="B209" s="2">
        <v>100</v>
      </c>
      <c r="C209" s="2" t="s">
        <v>613</v>
      </c>
      <c r="D209" s="2"/>
      <c r="E209" s="2"/>
      <c r="F209" s="2" t="s">
        <v>613</v>
      </c>
      <c r="G209" s="329">
        <v>674527</v>
      </c>
      <c r="H209" s="2">
        <v>1</v>
      </c>
      <c r="I209" s="2"/>
    </row>
    <row r="210" spans="1:9" x14ac:dyDescent="0.25">
      <c r="A210" s="2">
        <v>673.33299999999997</v>
      </c>
      <c r="B210" s="2">
        <v>15</v>
      </c>
      <c r="C210" s="2" t="s">
        <v>1061</v>
      </c>
      <c r="D210" s="2"/>
      <c r="E210" s="2"/>
      <c r="F210" s="2" t="s">
        <v>532</v>
      </c>
      <c r="G210" s="329">
        <v>673333</v>
      </c>
      <c r="H210" s="2">
        <v>1</v>
      </c>
      <c r="I210" s="2"/>
    </row>
    <row r="211" spans="1:9" x14ac:dyDescent="0.25">
      <c r="A211" s="2">
        <v>671.274</v>
      </c>
      <c r="B211" s="2">
        <v>100</v>
      </c>
      <c r="C211" s="2" t="s">
        <v>591</v>
      </c>
      <c r="D211" s="2"/>
      <c r="E211" s="2"/>
      <c r="F211" s="2" t="s">
        <v>591</v>
      </c>
      <c r="G211" s="329">
        <v>671274</v>
      </c>
      <c r="H211" s="2">
        <v>1</v>
      </c>
      <c r="I211" s="2"/>
    </row>
    <row r="212" spans="1:9" x14ac:dyDescent="0.25">
      <c r="A212" s="2">
        <v>669.43499999999995</v>
      </c>
      <c r="B212" s="2">
        <v>25</v>
      </c>
      <c r="C212" s="2" t="s">
        <v>1062</v>
      </c>
      <c r="D212" s="2"/>
      <c r="E212" s="2"/>
      <c r="F212" s="2" t="s">
        <v>506</v>
      </c>
      <c r="G212" s="329">
        <v>669435</v>
      </c>
      <c r="H212" s="2">
        <v>1</v>
      </c>
      <c r="I212" s="2"/>
    </row>
    <row r="213" spans="1:9" x14ac:dyDescent="0.25">
      <c r="A213" s="2">
        <v>669.14300000000003</v>
      </c>
      <c r="B213" s="2">
        <v>100</v>
      </c>
      <c r="C213" s="2" t="s">
        <v>576</v>
      </c>
      <c r="D213" s="2"/>
      <c r="E213" s="2"/>
      <c r="F213" s="2" t="s">
        <v>576</v>
      </c>
      <c r="G213" s="329">
        <v>669143</v>
      </c>
      <c r="H213" s="2">
        <v>1</v>
      </c>
      <c r="I213" s="2"/>
    </row>
    <row r="214" spans="1:9" x14ac:dyDescent="0.25">
      <c r="A214" s="2">
        <v>669.03200000000004</v>
      </c>
      <c r="B214" s="2">
        <v>100</v>
      </c>
      <c r="C214" s="2" t="s">
        <v>213</v>
      </c>
      <c r="D214" s="2" t="s">
        <v>680</v>
      </c>
      <c r="E214" s="2">
        <v>72</v>
      </c>
      <c r="F214" s="2" t="s">
        <v>213</v>
      </c>
      <c r="G214" s="329">
        <v>669032</v>
      </c>
      <c r="H214" s="2">
        <v>5</v>
      </c>
      <c r="I214" s="2"/>
    </row>
    <row r="215" spans="1:9" x14ac:dyDescent="0.25">
      <c r="A215" s="2">
        <v>662.30200000000002</v>
      </c>
      <c r="B215" s="2">
        <v>100</v>
      </c>
      <c r="C215" s="2" t="s">
        <v>359</v>
      </c>
      <c r="D215" s="2"/>
      <c r="E215" s="2"/>
      <c r="F215" s="2" t="s">
        <v>359</v>
      </c>
      <c r="G215" s="329">
        <v>662302</v>
      </c>
      <c r="H215" s="2">
        <v>2</v>
      </c>
      <c r="I215" s="2"/>
    </row>
    <row r="216" spans="1:9" x14ac:dyDescent="0.25">
      <c r="A216" s="2">
        <v>662.05899999999997</v>
      </c>
      <c r="B216" s="2">
        <v>100</v>
      </c>
      <c r="C216" s="2" t="s">
        <v>534</v>
      </c>
      <c r="D216" s="2"/>
      <c r="E216" s="2"/>
      <c r="F216" s="2" t="s">
        <v>534</v>
      </c>
      <c r="G216" s="329">
        <v>662059</v>
      </c>
      <c r="H216" s="2">
        <v>1</v>
      </c>
      <c r="I216" s="2"/>
    </row>
    <row r="217" spans="1:9" x14ac:dyDescent="0.25">
      <c r="A217" s="2">
        <v>657.99099999999999</v>
      </c>
      <c r="B217" s="2">
        <v>100</v>
      </c>
      <c r="C217" s="2" t="s">
        <v>578</v>
      </c>
      <c r="D217" s="2"/>
      <c r="E217" s="2"/>
      <c r="F217" s="2" t="s">
        <v>578</v>
      </c>
      <c r="G217" s="329">
        <v>657991</v>
      </c>
      <c r="H217" s="2">
        <v>1</v>
      </c>
      <c r="I217" s="2"/>
    </row>
    <row r="218" spans="1:9" x14ac:dyDescent="0.25">
      <c r="A218" s="2">
        <v>651.39800000000002</v>
      </c>
      <c r="B218" s="2">
        <v>100</v>
      </c>
      <c r="C218" s="2" t="s">
        <v>569</v>
      </c>
      <c r="D218" s="2"/>
      <c r="E218" s="2"/>
      <c r="F218" s="2" t="s">
        <v>569</v>
      </c>
      <c r="G218" s="329">
        <v>651398</v>
      </c>
      <c r="H218" s="2">
        <v>2</v>
      </c>
      <c r="I218" s="2"/>
    </row>
    <row r="219" spans="1:9" x14ac:dyDescent="0.25">
      <c r="A219" s="2">
        <v>648.52</v>
      </c>
      <c r="B219" s="2">
        <v>16</v>
      </c>
      <c r="C219" s="2" t="s">
        <v>692</v>
      </c>
      <c r="D219" s="2"/>
      <c r="E219" s="2"/>
      <c r="F219" s="2" t="s">
        <v>424</v>
      </c>
      <c r="G219" s="329">
        <v>648.52</v>
      </c>
      <c r="H219" s="2">
        <v>4</v>
      </c>
      <c r="I219" s="2"/>
    </row>
    <row r="220" spans="1:9" x14ac:dyDescent="0.25">
      <c r="A220" s="2">
        <v>646.83900000000006</v>
      </c>
      <c r="B220" s="2">
        <v>100</v>
      </c>
      <c r="C220" s="2" t="s">
        <v>579</v>
      </c>
      <c r="D220" s="2"/>
      <c r="E220" s="2"/>
      <c r="F220" s="2" t="s">
        <v>579</v>
      </c>
      <c r="G220" s="329">
        <v>646839</v>
      </c>
      <c r="H220" s="2">
        <v>1</v>
      </c>
      <c r="I220" s="2"/>
    </row>
    <row r="221" spans="1:9" x14ac:dyDescent="0.25">
      <c r="A221" s="2">
        <v>635.87199999999996</v>
      </c>
      <c r="B221" s="2">
        <v>100</v>
      </c>
      <c r="C221" s="2" t="s">
        <v>614</v>
      </c>
      <c r="D221" s="2"/>
      <c r="E221" s="2"/>
      <c r="F221" s="2" t="s">
        <v>614</v>
      </c>
      <c r="G221" s="329">
        <v>635872</v>
      </c>
      <c r="H221" s="2">
        <v>1</v>
      </c>
      <c r="I221" s="2"/>
    </row>
    <row r="222" spans="1:9" x14ac:dyDescent="0.25">
      <c r="A222" s="2">
        <v>633.46299999999997</v>
      </c>
      <c r="B222" s="2">
        <v>100</v>
      </c>
      <c r="C222" s="2" t="s">
        <v>551</v>
      </c>
      <c r="D222" s="2" t="s">
        <v>553</v>
      </c>
      <c r="E222" s="2">
        <v>73</v>
      </c>
      <c r="F222" s="2" t="s">
        <v>551</v>
      </c>
      <c r="G222" s="329">
        <v>633463</v>
      </c>
      <c r="H222" s="2">
        <v>3</v>
      </c>
      <c r="I222" s="2"/>
    </row>
    <row r="223" spans="1:9" x14ac:dyDescent="0.25">
      <c r="A223" s="2">
        <v>626.20799999999997</v>
      </c>
      <c r="B223" s="2">
        <v>100</v>
      </c>
      <c r="C223" s="2" t="s">
        <v>615</v>
      </c>
      <c r="D223" s="2"/>
      <c r="E223" s="2"/>
      <c r="F223" s="2" t="s">
        <v>615</v>
      </c>
      <c r="G223" s="329">
        <v>626208</v>
      </c>
      <c r="H223" s="2">
        <v>1</v>
      </c>
      <c r="I223" s="2"/>
    </row>
    <row r="224" spans="1:9" x14ac:dyDescent="0.25">
      <c r="A224" s="2">
        <v>625.27700000000004</v>
      </c>
      <c r="B224" s="2">
        <v>16</v>
      </c>
      <c r="C224" s="2" t="s">
        <v>1063</v>
      </c>
      <c r="D224" s="2"/>
      <c r="E224" s="2"/>
      <c r="F224" s="2" t="s">
        <v>520</v>
      </c>
      <c r="G224" s="329">
        <v>625277</v>
      </c>
      <c r="H224" s="2">
        <v>1</v>
      </c>
      <c r="I224" s="2"/>
    </row>
    <row r="225" spans="1:9" x14ac:dyDescent="0.25">
      <c r="A225" s="2">
        <v>616.44500000000005</v>
      </c>
      <c r="B225" s="2">
        <v>17</v>
      </c>
      <c r="C225" s="2" t="s">
        <v>1064</v>
      </c>
      <c r="D225" s="2"/>
      <c r="E225" s="2"/>
      <c r="F225" s="2" t="s">
        <v>521</v>
      </c>
      <c r="G225" s="329">
        <v>616445</v>
      </c>
      <c r="H225" s="2">
        <v>1</v>
      </c>
      <c r="I225" s="2"/>
    </row>
    <row r="226" spans="1:9" x14ac:dyDescent="0.25">
      <c r="A226" s="2">
        <v>609.77499999999998</v>
      </c>
      <c r="B226" s="2">
        <v>14</v>
      </c>
      <c r="C226" s="2" t="s">
        <v>1065</v>
      </c>
      <c r="D226" s="2"/>
      <c r="E226" s="2"/>
      <c r="F226" s="2" t="s">
        <v>535</v>
      </c>
      <c r="G226" s="329">
        <v>609775</v>
      </c>
      <c r="H226" s="2">
        <v>1</v>
      </c>
      <c r="I226" s="2"/>
    </row>
    <row r="227" spans="1:9" x14ac:dyDescent="0.25">
      <c r="A227" s="2">
        <v>607.31200000000001</v>
      </c>
      <c r="B227" s="2">
        <v>15</v>
      </c>
      <c r="C227" s="2" t="s">
        <v>1066</v>
      </c>
      <c r="D227" s="2"/>
      <c r="E227" s="2"/>
      <c r="F227" s="2" t="s">
        <v>616</v>
      </c>
      <c r="G227" s="329">
        <v>607312</v>
      </c>
      <c r="H227" s="2">
        <v>2</v>
      </c>
      <c r="I227" s="2"/>
    </row>
    <row r="228" spans="1:9" x14ac:dyDescent="0.25">
      <c r="A228" s="2">
        <v>600.65700000000004</v>
      </c>
      <c r="B228" s="2">
        <v>100</v>
      </c>
      <c r="C228" s="2" t="s">
        <v>540</v>
      </c>
      <c r="D228" s="2" t="s">
        <v>554</v>
      </c>
      <c r="E228" s="2">
        <v>74</v>
      </c>
      <c r="F228" s="2" t="s">
        <v>540</v>
      </c>
      <c r="G228" s="329">
        <v>600657</v>
      </c>
      <c r="H228" s="2">
        <v>4</v>
      </c>
      <c r="I228" s="2"/>
    </row>
    <row r="229" spans="1:9" x14ac:dyDescent="0.25">
      <c r="A229" s="2">
        <v>599.66700000000003</v>
      </c>
      <c r="B229" s="2">
        <v>100</v>
      </c>
      <c r="C229" s="2" t="s">
        <v>216</v>
      </c>
      <c r="D229" s="2" t="s">
        <v>555</v>
      </c>
      <c r="E229" s="2">
        <v>7</v>
      </c>
      <c r="F229" s="2" t="s">
        <v>216</v>
      </c>
      <c r="G229" s="329">
        <v>599667</v>
      </c>
      <c r="H229" s="2">
        <v>5</v>
      </c>
      <c r="I229" s="2"/>
    </row>
    <row r="230" spans="1:9" x14ac:dyDescent="0.25">
      <c r="A230" s="2">
        <v>598.01499999999999</v>
      </c>
      <c r="B230" s="2">
        <v>100</v>
      </c>
      <c r="C230" s="2" t="s">
        <v>620</v>
      </c>
      <c r="D230" s="2"/>
      <c r="E230" s="2"/>
      <c r="F230" s="2" t="s">
        <v>620</v>
      </c>
      <c r="G230" s="329">
        <v>598015</v>
      </c>
      <c r="H230" s="2">
        <v>1</v>
      </c>
      <c r="I230" s="2"/>
    </row>
    <row r="231" spans="1:9" x14ac:dyDescent="0.25">
      <c r="A231" s="2">
        <v>595.12699999999995</v>
      </c>
      <c r="B231" s="2">
        <v>100</v>
      </c>
      <c r="C231" s="2" t="s">
        <v>581</v>
      </c>
      <c r="D231" s="2"/>
      <c r="E231" s="2"/>
      <c r="F231" s="2" t="s">
        <v>581</v>
      </c>
      <c r="G231" s="329">
        <v>595127</v>
      </c>
      <c r="H231" s="2">
        <v>1</v>
      </c>
      <c r="I231" s="2"/>
    </row>
    <row r="232" spans="1:9" x14ac:dyDescent="0.25">
      <c r="A232" s="2">
        <v>593.24099999999999</v>
      </c>
      <c r="B232" s="2">
        <v>16</v>
      </c>
      <c r="C232" s="2" t="s">
        <v>1067</v>
      </c>
      <c r="D232" s="2"/>
      <c r="E232" s="2"/>
      <c r="F232" s="2" t="s">
        <v>466</v>
      </c>
      <c r="G232" s="329">
        <v>593241</v>
      </c>
      <c r="H232" s="2">
        <v>2</v>
      </c>
      <c r="I232" s="2"/>
    </row>
    <row r="233" spans="1:9" x14ac:dyDescent="0.25">
      <c r="A233" s="2">
        <v>589.50599999999997</v>
      </c>
      <c r="B233" s="2">
        <v>100</v>
      </c>
      <c r="C233" s="2" t="s">
        <v>362</v>
      </c>
      <c r="D233" s="2"/>
      <c r="E233" s="2"/>
      <c r="F233" s="2" t="s">
        <v>362</v>
      </c>
      <c r="G233" s="329">
        <v>589506</v>
      </c>
      <c r="H233" s="2">
        <v>1</v>
      </c>
      <c r="I233" s="2"/>
    </row>
    <row r="234" spans="1:9" x14ac:dyDescent="0.25">
      <c r="A234" s="2">
        <v>581.06899999999996</v>
      </c>
      <c r="B234" s="2">
        <v>100</v>
      </c>
      <c r="C234" s="2" t="s">
        <v>214</v>
      </c>
      <c r="D234" s="2" t="s">
        <v>681</v>
      </c>
      <c r="E234" s="2">
        <v>8</v>
      </c>
      <c r="F234" s="2" t="s">
        <v>214</v>
      </c>
      <c r="G234" s="329">
        <v>581069</v>
      </c>
      <c r="H234" s="2">
        <v>5</v>
      </c>
      <c r="I234" s="2"/>
    </row>
    <row r="235" spans="1:9" x14ac:dyDescent="0.25">
      <c r="A235" s="2">
        <v>577.89</v>
      </c>
      <c r="B235" s="2">
        <v>100</v>
      </c>
      <c r="C235" s="2" t="s">
        <v>617</v>
      </c>
      <c r="D235" s="2"/>
      <c r="E235" s="2"/>
      <c r="F235" s="2" t="s">
        <v>617</v>
      </c>
      <c r="G235" s="329">
        <v>577.89</v>
      </c>
      <c r="H235" s="2">
        <v>1</v>
      </c>
      <c r="I235" s="2"/>
    </row>
    <row r="236" spans="1:9" x14ac:dyDescent="0.25">
      <c r="A236" s="2">
        <v>575.87699999999995</v>
      </c>
      <c r="B236" s="2">
        <v>100</v>
      </c>
      <c r="C236" s="2" t="s">
        <v>536</v>
      </c>
      <c r="D236" s="2"/>
      <c r="E236" s="2"/>
      <c r="F236" s="2" t="s">
        <v>536</v>
      </c>
      <c r="G236" s="329">
        <v>575877</v>
      </c>
      <c r="H236" s="2">
        <v>1</v>
      </c>
      <c r="I236" s="2"/>
    </row>
    <row r="237" spans="1:9" x14ac:dyDescent="0.25">
      <c r="A237" s="2">
        <v>569.17100000000005</v>
      </c>
      <c r="B237" s="2">
        <v>100</v>
      </c>
      <c r="C237" s="2" t="s">
        <v>448</v>
      </c>
      <c r="D237" s="2"/>
      <c r="E237" s="2"/>
      <c r="F237" s="2" t="s">
        <v>448</v>
      </c>
      <c r="G237" s="329">
        <v>569171</v>
      </c>
      <c r="H237" s="2">
        <v>1</v>
      </c>
      <c r="I237" s="2"/>
    </row>
    <row r="238" spans="1:9" x14ac:dyDescent="0.25">
      <c r="A238" s="2">
        <v>560.90200000000004</v>
      </c>
      <c r="B238" s="2">
        <v>15</v>
      </c>
      <c r="C238" s="2" t="s">
        <v>1068</v>
      </c>
      <c r="D238" s="2"/>
      <c r="E238" s="2"/>
      <c r="F238" s="2" t="s">
        <v>425</v>
      </c>
      <c r="G238" s="329">
        <v>560902</v>
      </c>
      <c r="H238" s="2">
        <v>3</v>
      </c>
      <c r="I238" s="2"/>
    </row>
    <row r="239" spans="1:9" x14ac:dyDescent="0.25">
      <c r="A239" s="2">
        <v>557.61900000000003</v>
      </c>
      <c r="B239" s="2">
        <v>100</v>
      </c>
      <c r="C239" s="2" t="s">
        <v>582</v>
      </c>
      <c r="D239" s="2"/>
      <c r="E239" s="2"/>
      <c r="F239" s="2" t="s">
        <v>582</v>
      </c>
      <c r="G239" s="329">
        <v>557619</v>
      </c>
      <c r="H239" s="2">
        <v>1</v>
      </c>
      <c r="I239" s="2"/>
    </row>
    <row r="240" spans="1:9" x14ac:dyDescent="0.25">
      <c r="A240" s="2">
        <v>556.16399999999999</v>
      </c>
      <c r="B240" s="2">
        <v>20</v>
      </c>
      <c r="C240" s="2" t="s">
        <v>1069</v>
      </c>
      <c r="D240" s="2"/>
      <c r="E240" s="2"/>
      <c r="F240" s="2" t="s">
        <v>361</v>
      </c>
      <c r="G240" s="329">
        <v>556164</v>
      </c>
      <c r="H240" s="2">
        <v>1</v>
      </c>
      <c r="I240" s="2"/>
    </row>
    <row r="241" spans="1:9" x14ac:dyDescent="0.25">
      <c r="A241" s="2">
        <v>533.50800000000004</v>
      </c>
      <c r="B241" s="2">
        <v>100</v>
      </c>
      <c r="C241" s="2" t="s">
        <v>467</v>
      </c>
      <c r="D241" s="2"/>
      <c r="E241" s="2"/>
      <c r="F241" s="2" t="s">
        <v>467</v>
      </c>
      <c r="G241" s="329">
        <v>533508</v>
      </c>
      <c r="H241" s="2">
        <v>1</v>
      </c>
      <c r="I241" s="2"/>
    </row>
    <row r="242" spans="1:9" x14ac:dyDescent="0.25">
      <c r="A242" s="2">
        <v>522.04200000000003</v>
      </c>
      <c r="B242" s="2">
        <v>100</v>
      </c>
      <c r="C242" s="2" t="s">
        <v>583</v>
      </c>
      <c r="D242" s="2"/>
      <c r="E242" s="2"/>
      <c r="F242" s="2" t="s">
        <v>583</v>
      </c>
      <c r="G242" s="329">
        <v>522042</v>
      </c>
      <c r="H242" s="2">
        <v>1</v>
      </c>
      <c r="I242" s="2"/>
    </row>
    <row r="243" spans="1:9" x14ac:dyDescent="0.25">
      <c r="A243" s="2">
        <v>513.01</v>
      </c>
      <c r="B243" s="2">
        <v>100</v>
      </c>
      <c r="C243" s="2" t="s">
        <v>584</v>
      </c>
      <c r="D243" s="2"/>
      <c r="E243" s="2"/>
      <c r="F243" s="2" t="s">
        <v>584</v>
      </c>
      <c r="G243" s="329">
        <v>513.01</v>
      </c>
      <c r="H243" s="2">
        <v>1</v>
      </c>
      <c r="I243" s="2"/>
    </row>
    <row r="244" spans="1:9" x14ac:dyDescent="0.25">
      <c r="A244" s="2">
        <v>510.46600000000001</v>
      </c>
      <c r="B244" s="2">
        <v>19</v>
      </c>
      <c r="C244" s="2" t="s">
        <v>1070</v>
      </c>
      <c r="D244" s="2"/>
      <c r="E244" s="2"/>
      <c r="F244" s="2" t="s">
        <v>365</v>
      </c>
      <c r="G244" s="329">
        <v>510466</v>
      </c>
      <c r="H244" s="2">
        <v>1</v>
      </c>
      <c r="I244" s="2"/>
    </row>
    <row r="245" spans="1:9" x14ac:dyDescent="0.25">
      <c r="A245" s="2">
        <v>509.74700000000001</v>
      </c>
      <c r="B245" s="2">
        <v>100</v>
      </c>
      <c r="C245" s="2" t="s">
        <v>621</v>
      </c>
      <c r="D245" s="2"/>
      <c r="E245" s="2"/>
      <c r="F245" s="2" t="s">
        <v>621</v>
      </c>
      <c r="G245" s="329">
        <v>509747</v>
      </c>
      <c r="H245" s="2">
        <v>1</v>
      </c>
      <c r="I245" s="2"/>
    </row>
    <row r="246" spans="1:9" x14ac:dyDescent="0.25">
      <c r="A246" s="2">
        <v>498.714</v>
      </c>
      <c r="B246" s="2">
        <v>13</v>
      </c>
      <c r="C246" s="2" t="s">
        <v>1071</v>
      </c>
      <c r="D246" s="2"/>
      <c r="E246" s="2"/>
      <c r="F246" s="2" t="s">
        <v>682</v>
      </c>
      <c r="G246" s="329">
        <v>498714</v>
      </c>
      <c r="H246" s="2">
        <v>1</v>
      </c>
      <c r="I246" s="2"/>
    </row>
    <row r="247" spans="1:9" x14ac:dyDescent="0.25">
      <c r="A247" s="2">
        <v>491.31200000000001</v>
      </c>
      <c r="B247" s="2">
        <v>12</v>
      </c>
      <c r="C247" s="2" t="s">
        <v>1072</v>
      </c>
      <c r="D247" s="2"/>
      <c r="E247" s="2"/>
      <c r="F247" s="2" t="s">
        <v>537</v>
      </c>
      <c r="G247" s="329">
        <v>491312</v>
      </c>
      <c r="H247" s="2">
        <v>1</v>
      </c>
      <c r="I247" s="2"/>
    </row>
    <row r="248" spans="1:9" x14ac:dyDescent="0.25">
      <c r="A248" s="2">
        <v>481.25299999999999</v>
      </c>
      <c r="B248" s="2">
        <v>100</v>
      </c>
      <c r="C248" s="2" t="s">
        <v>618</v>
      </c>
      <c r="D248" s="2"/>
      <c r="E248" s="2"/>
      <c r="F248" s="2" t="s">
        <v>618</v>
      </c>
      <c r="G248" s="329">
        <v>481253</v>
      </c>
      <c r="H248" s="2">
        <v>1</v>
      </c>
      <c r="I248" s="2"/>
    </row>
    <row r="249" spans="1:9" x14ac:dyDescent="0.25">
      <c r="A249" s="2">
        <v>479.62700000000001</v>
      </c>
      <c r="B249" s="2">
        <v>100</v>
      </c>
      <c r="C249" s="2" t="s">
        <v>20</v>
      </c>
      <c r="D249" s="2" t="s">
        <v>683</v>
      </c>
      <c r="E249" s="2">
        <v>9</v>
      </c>
      <c r="F249" s="2" t="s">
        <v>20</v>
      </c>
      <c r="G249" s="329">
        <v>479627</v>
      </c>
      <c r="H249" s="2">
        <v>5</v>
      </c>
      <c r="I249" s="2"/>
    </row>
    <row r="250" spans="1:9" x14ac:dyDescent="0.25">
      <c r="A250" s="2">
        <v>472.28800000000001</v>
      </c>
      <c r="B250" s="2">
        <v>100</v>
      </c>
      <c r="C250" s="2" t="s">
        <v>364</v>
      </c>
      <c r="D250" s="2"/>
      <c r="E250" s="2"/>
      <c r="F250" s="2" t="s">
        <v>364</v>
      </c>
      <c r="G250" s="329">
        <v>472288</v>
      </c>
      <c r="H250" s="2">
        <v>2</v>
      </c>
      <c r="I250" s="2"/>
    </row>
    <row r="251" spans="1:9" x14ac:dyDescent="0.25">
      <c r="A251" s="2">
        <v>467.85700000000003</v>
      </c>
      <c r="B251" s="2">
        <v>100</v>
      </c>
      <c r="C251" s="2" t="s">
        <v>548</v>
      </c>
      <c r="D251" s="2"/>
      <c r="E251" s="2"/>
      <c r="F251" s="2" t="s">
        <v>548</v>
      </c>
      <c r="G251" s="329">
        <v>467857</v>
      </c>
      <c r="H251" s="2">
        <v>2</v>
      </c>
      <c r="I251" s="2"/>
    </row>
    <row r="252" spans="1:9" x14ac:dyDescent="0.25">
      <c r="A252" s="2">
        <v>457.24799999999999</v>
      </c>
      <c r="B252" s="2">
        <v>100</v>
      </c>
      <c r="C252" s="2" t="s">
        <v>585</v>
      </c>
      <c r="D252" s="2"/>
      <c r="E252" s="2"/>
      <c r="F252" s="2" t="s">
        <v>585</v>
      </c>
      <c r="G252" s="329">
        <v>457248</v>
      </c>
      <c r="H252" s="2">
        <v>1</v>
      </c>
      <c r="I252" s="2"/>
    </row>
    <row r="253" spans="1:9" x14ac:dyDescent="0.25">
      <c r="A253" s="2">
        <v>448.95600000000002</v>
      </c>
      <c r="B253" s="2">
        <v>100</v>
      </c>
      <c r="C253" s="2" t="s">
        <v>586</v>
      </c>
      <c r="D253" s="2"/>
      <c r="E253" s="2"/>
      <c r="F253" s="2" t="s">
        <v>586</v>
      </c>
      <c r="G253" s="329">
        <v>448956</v>
      </c>
      <c r="H253" s="2">
        <v>1</v>
      </c>
      <c r="I253" s="2"/>
    </row>
    <row r="254" spans="1:9" x14ac:dyDescent="0.25">
      <c r="A254" s="2">
        <v>425.38499999999999</v>
      </c>
      <c r="B254" s="2">
        <v>100</v>
      </c>
      <c r="C254" s="2" t="s">
        <v>587</v>
      </c>
      <c r="D254" s="2"/>
      <c r="E254" s="2"/>
      <c r="F254" s="2" t="s">
        <v>587</v>
      </c>
      <c r="G254" s="329">
        <v>425385</v>
      </c>
      <c r="H254" s="2">
        <v>2</v>
      </c>
      <c r="I254" s="2"/>
    </row>
    <row r="255" spans="1:9" x14ac:dyDescent="0.25">
      <c r="A255" s="2">
        <v>395.65600000000001</v>
      </c>
      <c r="B255" s="2">
        <v>100</v>
      </c>
      <c r="C255" s="2" t="s">
        <v>507</v>
      </c>
      <c r="D255" s="2"/>
      <c r="E255" s="2"/>
      <c r="F255" s="2" t="s">
        <v>507</v>
      </c>
      <c r="G255" s="329">
        <v>395656</v>
      </c>
      <c r="H255" s="2">
        <v>1</v>
      </c>
      <c r="I255" s="2"/>
    </row>
    <row r="256" spans="1:9" x14ac:dyDescent="0.25">
      <c r="A256" s="2">
        <v>388.37900000000002</v>
      </c>
      <c r="B256" s="2">
        <v>17</v>
      </c>
      <c r="C256" s="2" t="s">
        <v>1073</v>
      </c>
      <c r="D256" s="2"/>
      <c r="E256" s="2"/>
      <c r="F256" s="2" t="s">
        <v>684</v>
      </c>
      <c r="G256" s="329">
        <v>388379</v>
      </c>
      <c r="H256" s="2">
        <v>1</v>
      </c>
      <c r="I256" s="2"/>
    </row>
    <row r="257" spans="1:9" x14ac:dyDescent="0.25">
      <c r="A257" s="2">
        <v>386.73</v>
      </c>
      <c r="B257" s="2">
        <v>100</v>
      </c>
      <c r="C257" s="2" t="s">
        <v>588</v>
      </c>
      <c r="D257" s="2"/>
      <c r="E257" s="2"/>
      <c r="F257" s="2" t="s">
        <v>588</v>
      </c>
      <c r="G257" s="329">
        <v>386.73</v>
      </c>
      <c r="H257" s="2">
        <v>2</v>
      </c>
      <c r="I257" s="2"/>
    </row>
    <row r="258" spans="1:9" x14ac:dyDescent="0.25">
      <c r="A258" s="2">
        <v>384.25200000000001</v>
      </c>
      <c r="B258" s="2">
        <v>100</v>
      </c>
      <c r="C258" s="2" t="s">
        <v>370</v>
      </c>
      <c r="D258" s="2" t="s">
        <v>685</v>
      </c>
      <c r="E258" s="2">
        <v>10</v>
      </c>
      <c r="F258" s="2" t="s">
        <v>370</v>
      </c>
      <c r="G258" s="329">
        <v>384252</v>
      </c>
      <c r="H258" s="2">
        <v>5</v>
      </c>
      <c r="I258" s="2"/>
    </row>
    <row r="259" spans="1:9" x14ac:dyDescent="0.25">
      <c r="A259" s="2">
        <v>383.73899999999998</v>
      </c>
      <c r="B259" s="2">
        <v>100</v>
      </c>
      <c r="C259" s="2" t="s">
        <v>368</v>
      </c>
      <c r="D259" s="2"/>
      <c r="E259" s="2"/>
      <c r="F259" s="2" t="s">
        <v>368</v>
      </c>
      <c r="G259" s="329">
        <v>383739</v>
      </c>
      <c r="H259" s="2">
        <v>2</v>
      </c>
      <c r="I259" s="2"/>
    </row>
    <row r="260" spans="1:9" x14ac:dyDescent="0.25">
      <c r="A260" s="2">
        <v>375.69600000000003</v>
      </c>
      <c r="B260" s="2">
        <v>100</v>
      </c>
      <c r="C260" s="2" t="s">
        <v>468</v>
      </c>
      <c r="D260" s="2"/>
      <c r="E260" s="2"/>
      <c r="F260" s="2" t="s">
        <v>468</v>
      </c>
      <c r="G260" s="329">
        <v>375696</v>
      </c>
      <c r="H260" s="2">
        <v>1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589</v>
      </c>
      <c r="G261" s="329">
        <v>361082</v>
      </c>
      <c r="H261" s="2">
        <v>2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/>
      <c r="E262" s="2"/>
      <c r="F262" s="2" t="s">
        <v>369</v>
      </c>
      <c r="G262" s="329">
        <v>346085</v>
      </c>
      <c r="H262" s="2">
        <v>2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451</v>
      </c>
      <c r="G263" s="329">
        <v>334107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538</v>
      </c>
      <c r="G264" s="329">
        <v>322969</v>
      </c>
      <c r="H264" s="2">
        <v>1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/>
      <c r="E265" s="2"/>
      <c r="F265" s="2" t="s">
        <v>590</v>
      </c>
      <c r="G265" s="329">
        <v>312267</v>
      </c>
      <c r="H265" s="2">
        <v>1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/>
      <c r="E266" s="2"/>
      <c r="F266" s="2" t="s">
        <v>371</v>
      </c>
      <c r="G266" s="329">
        <v>285189</v>
      </c>
      <c r="H266" s="2">
        <v>1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622</v>
      </c>
      <c r="G267" s="329">
        <v>739243</v>
      </c>
      <c r="H267" s="2">
        <v>1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2"/>
      <c r="E268" s="2"/>
      <c r="F268" s="2" t="s">
        <v>623</v>
      </c>
      <c r="G268" s="329">
        <v>684076</v>
      </c>
      <c r="H268" s="2">
        <v>1</v>
      </c>
      <c r="I268" s="2"/>
    </row>
    <row r="269" spans="1:9" x14ac:dyDescent="0.25">
      <c r="A269" s="2" t="e">
        <v>#REF!</v>
      </c>
      <c r="B269" s="2">
        <v>100</v>
      </c>
      <c r="C269" s="2" t="e">
        <v>#REF!</v>
      </c>
      <c r="D269" s="2"/>
    </row>
    <row r="270" spans="1:9" x14ac:dyDescent="0.25">
      <c r="A270" s="2" t="e">
        <v>#REF!</v>
      </c>
      <c r="B270" s="2">
        <v>100</v>
      </c>
      <c r="C270" s="2" t="e">
        <v>#REF!</v>
      </c>
      <c r="D270" s="2"/>
    </row>
    <row r="271" spans="1:9" x14ac:dyDescent="0.25">
      <c r="A271" s="2">
        <v>684.07600000000002</v>
      </c>
      <c r="B271" s="2">
        <v>100</v>
      </c>
      <c r="C271" s="2" t="s">
        <v>623</v>
      </c>
      <c r="D271" s="2"/>
    </row>
    <row r="272" spans="1:9" x14ac:dyDescent="0.25">
      <c r="A272" s="2" t="e">
        <v>#VALUE!</v>
      </c>
      <c r="B272" s="2">
        <v>100</v>
      </c>
      <c r="C272" s="2"/>
      <c r="D272" s="2"/>
    </row>
    <row r="273" spans="1:4" x14ac:dyDescent="0.25">
      <c r="A273" s="2" t="e">
        <v>#VALUE!</v>
      </c>
      <c r="B273" s="2">
        <v>100</v>
      </c>
      <c r="C273" s="2"/>
      <c r="D273" s="2"/>
    </row>
    <row r="274" spans="1:4" x14ac:dyDescent="0.25">
      <c r="A274" s="2" t="e">
        <v>#VALUE!</v>
      </c>
      <c r="B274" s="2">
        <v>100</v>
      </c>
      <c r="C274" s="2"/>
      <c r="D274" s="2"/>
    </row>
    <row r="275" spans="1:4" x14ac:dyDescent="0.25">
      <c r="A275" s="2" t="e">
        <v>#VALUE!</v>
      </c>
      <c r="B275" s="2">
        <v>100</v>
      </c>
      <c r="C275" s="2"/>
      <c r="D275" s="2"/>
    </row>
    <row r="276" spans="1:4" x14ac:dyDescent="0.25">
      <c r="A276" s="2" t="e">
        <v>#VALUE!</v>
      </c>
      <c r="B276" s="2">
        <v>100</v>
      </c>
      <c r="C276" s="2"/>
      <c r="D276" s="2"/>
    </row>
    <row r="277" spans="1:4" x14ac:dyDescent="0.25">
      <c r="A277" s="2" t="e">
        <v>#VALUE!</v>
      </c>
      <c r="B277" s="2">
        <v>100</v>
      </c>
      <c r="C277" s="2"/>
      <c r="D277" s="2"/>
    </row>
    <row r="278" spans="1:4" x14ac:dyDescent="0.25">
      <c r="A278" s="2" t="e">
        <v>#VALUE!</v>
      </c>
      <c r="B278" s="2">
        <v>100</v>
      </c>
      <c r="C278" s="2"/>
      <c r="D278" s="2"/>
    </row>
    <row r="279" spans="1:4" x14ac:dyDescent="0.25">
      <c r="A279" s="2" t="e">
        <v>#VALUE!</v>
      </c>
      <c r="B279" s="2">
        <v>100</v>
      </c>
      <c r="C279" s="2"/>
      <c r="D279" s="2"/>
    </row>
    <row r="280" spans="1:4" x14ac:dyDescent="0.25">
      <c r="A280" s="2" t="e">
        <v>#VALUE!</v>
      </c>
      <c r="B280" s="2">
        <v>100</v>
      </c>
      <c r="C280" s="2"/>
      <c r="D280" s="2"/>
    </row>
    <row r="281" spans="1:4" x14ac:dyDescent="0.25">
      <c r="A281" s="2" t="e">
        <v>#VALUE!</v>
      </c>
      <c r="B281" s="2">
        <v>100</v>
      </c>
      <c r="C281" s="2"/>
      <c r="D281" s="2"/>
    </row>
    <row r="282" spans="1:4" x14ac:dyDescent="0.25">
      <c r="A282" s="2" t="e">
        <v>#VALUE!</v>
      </c>
      <c r="B282" s="2">
        <v>100</v>
      </c>
      <c r="C282" s="2"/>
      <c r="D282" s="2"/>
    </row>
    <row r="283" spans="1:4" x14ac:dyDescent="0.25">
      <c r="A283" s="2" t="e">
        <v>#VALUE!</v>
      </c>
      <c r="B283" s="2">
        <v>100</v>
      </c>
      <c r="C283" s="2"/>
      <c r="D283" s="2"/>
    </row>
    <row r="284" spans="1:4" x14ac:dyDescent="0.25">
      <c r="A284" s="2" t="e">
        <v>#VALUE!</v>
      </c>
      <c r="B284" s="2">
        <v>100</v>
      </c>
      <c r="C284" s="2"/>
      <c r="D284" s="2"/>
    </row>
    <row r="285" spans="1:4" x14ac:dyDescent="0.25">
      <c r="A285" s="2" t="e">
        <v>#VALUE!</v>
      </c>
      <c r="B285" s="2">
        <v>100</v>
      </c>
      <c r="C285" s="2"/>
      <c r="D285" s="2"/>
    </row>
    <row r="286" spans="1:4" x14ac:dyDescent="0.25">
      <c r="A286" s="2" t="e">
        <v>#VALUE!</v>
      </c>
      <c r="B286" s="2">
        <v>100</v>
      </c>
      <c r="C286" s="2"/>
      <c r="D286" s="2"/>
    </row>
    <row r="287" spans="1:4" x14ac:dyDescent="0.25">
      <c r="A287" s="2" t="e">
        <v>#VALUE!</v>
      </c>
      <c r="B287" s="2">
        <v>100</v>
      </c>
      <c r="C287" s="2"/>
      <c r="D287" s="2"/>
    </row>
    <row r="288" spans="1:4" x14ac:dyDescent="0.25">
      <c r="A288" s="2" t="e">
        <v>#VALUE!</v>
      </c>
      <c r="B288" s="2">
        <v>100</v>
      </c>
      <c r="C288" s="2"/>
      <c r="D288" s="2"/>
    </row>
    <row r="289" spans="1:4" x14ac:dyDescent="0.25">
      <c r="A289" s="2" t="e">
        <v>#VALUE!</v>
      </c>
      <c r="B289" s="2">
        <v>100</v>
      </c>
      <c r="C289" s="2"/>
      <c r="D289" s="2"/>
    </row>
    <row r="290" spans="1:4" x14ac:dyDescent="0.25">
      <c r="A290" s="2" t="e">
        <v>#VALUE!</v>
      </c>
      <c r="B290" s="2">
        <v>100</v>
      </c>
      <c r="C290" s="2"/>
      <c r="D290" s="2"/>
    </row>
    <row r="291" spans="1:4" x14ac:dyDescent="0.25">
      <c r="A291" s="2" t="e">
        <v>#VALUE!</v>
      </c>
      <c r="B291" s="2">
        <v>100</v>
      </c>
      <c r="C291" s="2"/>
      <c r="D291" s="2"/>
    </row>
    <row r="292" spans="1:4" x14ac:dyDescent="0.25">
      <c r="A292" s="2" t="e">
        <v>#VALUE!</v>
      </c>
      <c r="B292" s="2">
        <v>100</v>
      </c>
      <c r="C292" s="2"/>
      <c r="D292" s="2"/>
    </row>
    <row r="293" spans="1:4" x14ac:dyDescent="0.25">
      <c r="A293" s="2" t="e">
        <v>#VALUE!</v>
      </c>
      <c r="B293" s="2">
        <v>100</v>
      </c>
      <c r="C293" s="2"/>
      <c r="D293" s="2"/>
    </row>
    <row r="294" spans="1:4" x14ac:dyDescent="0.25">
      <c r="A294" s="2" t="e">
        <v>#VALUE!</v>
      </c>
      <c r="B294" s="2">
        <v>100</v>
      </c>
      <c r="C294" s="2"/>
      <c r="D294" s="2"/>
    </row>
    <row r="295" spans="1:4" x14ac:dyDescent="0.25">
      <c r="A295" s="2" t="e">
        <v>#VALUE!</v>
      </c>
      <c r="B295" s="2">
        <v>100</v>
      </c>
      <c r="C295" s="2"/>
      <c r="D295" s="2"/>
    </row>
    <row r="296" spans="1:4" x14ac:dyDescent="0.25">
      <c r="A296" s="2" t="e">
        <v>#VALUE!</v>
      </c>
      <c r="B296" s="2">
        <v>100</v>
      </c>
      <c r="C296" s="2"/>
      <c r="D296" s="2"/>
    </row>
    <row r="297" spans="1:4" x14ac:dyDescent="0.25">
      <c r="A297" s="2" t="e">
        <v>#VALUE!</v>
      </c>
      <c r="B297" s="2">
        <v>100</v>
      </c>
      <c r="C297" s="2"/>
      <c r="D297" s="2"/>
    </row>
    <row r="298" spans="1:4" x14ac:dyDescent="0.25">
      <c r="A298" s="2" t="e">
        <v>#VALUE!</v>
      </c>
      <c r="B298" s="2">
        <v>100</v>
      </c>
      <c r="C298" s="2"/>
      <c r="D298" s="2"/>
    </row>
    <row r="299" spans="1:4" x14ac:dyDescent="0.25">
      <c r="A299" s="2" t="e">
        <v>#VALUE!</v>
      </c>
      <c r="B299" s="2">
        <v>100</v>
      </c>
      <c r="C299" s="2"/>
      <c r="D299" s="2"/>
    </row>
    <row r="300" spans="1:4" x14ac:dyDescent="0.25">
      <c r="A300" s="2" t="e">
        <v>#VALUE!</v>
      </c>
      <c r="B300" s="2">
        <v>100</v>
      </c>
      <c r="C300" s="2"/>
      <c r="D300" s="2"/>
    </row>
    <row r="301" spans="1:4" x14ac:dyDescent="0.25">
      <c r="A301" s="2" t="e">
        <v>#VALUE!</v>
      </c>
      <c r="B301" s="2">
        <v>100</v>
      </c>
      <c r="C301" s="2"/>
      <c r="D301" s="2"/>
    </row>
    <row r="302" spans="1:4" x14ac:dyDescent="0.25">
      <c r="A302" s="2" t="e">
        <v>#VALUE!</v>
      </c>
      <c r="B302" s="2">
        <v>100</v>
      </c>
      <c r="C302" s="2"/>
      <c r="D302" s="2"/>
    </row>
    <row r="303" spans="1:4" x14ac:dyDescent="0.25">
      <c r="A303" s="2" t="e">
        <v>#VALUE!</v>
      </c>
      <c r="B303" s="2">
        <v>100</v>
      </c>
      <c r="C303" s="2"/>
      <c r="D303" s="2"/>
    </row>
    <row r="304" spans="1:4" x14ac:dyDescent="0.25">
      <c r="A304" s="2" t="e">
        <v>#VALUE!</v>
      </c>
      <c r="B304" s="2">
        <v>100</v>
      </c>
      <c r="C304" s="2"/>
      <c r="D304" s="2"/>
    </row>
    <row r="305" spans="1:4" x14ac:dyDescent="0.25">
      <c r="A305" s="2" t="e">
        <v>#VALUE!</v>
      </c>
      <c r="B305" s="2">
        <v>100</v>
      </c>
      <c r="C305" s="2"/>
      <c r="D305" s="2"/>
    </row>
    <row r="306" spans="1:4" x14ac:dyDescent="0.25">
      <c r="A306" s="2" t="e">
        <v>#VALUE!</v>
      </c>
      <c r="B306" s="2">
        <v>100</v>
      </c>
      <c r="C306" s="2"/>
      <c r="D306" s="2"/>
    </row>
    <row r="307" spans="1:4" x14ac:dyDescent="0.25">
      <c r="A307" s="2" t="e">
        <v>#VALUE!</v>
      </c>
      <c r="B307" s="2">
        <v>100</v>
      </c>
      <c r="C307" s="2"/>
      <c r="D307" s="2"/>
    </row>
    <row r="308" spans="1:4" x14ac:dyDescent="0.25">
      <c r="A308" s="2" t="e">
        <v>#VALUE!</v>
      </c>
      <c r="B308" s="2">
        <v>100</v>
      </c>
      <c r="C308" s="2"/>
      <c r="D308" s="2"/>
    </row>
    <row r="309" spans="1:4" x14ac:dyDescent="0.25">
      <c r="A309" s="2" t="e">
        <v>#VALUE!</v>
      </c>
      <c r="B309" s="2">
        <v>100</v>
      </c>
      <c r="C309" s="2"/>
      <c r="D309" s="2"/>
    </row>
    <row r="310" spans="1:4" x14ac:dyDescent="0.25">
      <c r="A310" s="2" t="e">
        <v>#VALUE!</v>
      </c>
      <c r="B310" s="2">
        <v>100</v>
      </c>
      <c r="C310" s="2"/>
      <c r="D310" s="2"/>
    </row>
    <row r="311" spans="1:4" x14ac:dyDescent="0.25">
      <c r="A311" s="2" t="e">
        <v>#VALUE!</v>
      </c>
      <c r="B311" s="2">
        <v>100</v>
      </c>
      <c r="C311" s="2"/>
      <c r="D311" s="2"/>
    </row>
    <row r="312" spans="1:4" x14ac:dyDescent="0.25">
      <c r="A312" s="2" t="e">
        <v>#VALUE!</v>
      </c>
      <c r="B312" s="2">
        <v>100</v>
      </c>
      <c r="C312" s="2"/>
      <c r="D312" s="2"/>
    </row>
    <row r="313" spans="1:4" x14ac:dyDescent="0.25">
      <c r="A313" s="2" t="e">
        <v>#VALUE!</v>
      </c>
      <c r="B313" s="2">
        <v>100</v>
      </c>
      <c r="C313" s="2"/>
      <c r="D313" s="2"/>
    </row>
    <row r="314" spans="1:4" x14ac:dyDescent="0.25">
      <c r="A314" s="2" t="e">
        <v>#VALUE!</v>
      </c>
      <c r="B314" s="2">
        <v>100</v>
      </c>
      <c r="C314" s="2"/>
      <c r="D314" s="2"/>
    </row>
    <row r="315" spans="1:4" x14ac:dyDescent="0.25">
      <c r="A315" s="2" t="e">
        <v>#VALUE!</v>
      </c>
      <c r="B315" s="2">
        <v>100</v>
      </c>
      <c r="C315" s="2"/>
      <c r="D315" s="2"/>
    </row>
    <row r="316" spans="1:4" x14ac:dyDescent="0.25">
      <c r="A316" s="2" t="e">
        <v>#VALUE!</v>
      </c>
      <c r="B316" s="2">
        <v>100</v>
      </c>
      <c r="C316" s="2"/>
      <c r="D316" s="2"/>
    </row>
    <row r="317" spans="1:4" x14ac:dyDescent="0.25">
      <c r="A317" s="2" t="e">
        <v>#VALUE!</v>
      </c>
      <c r="B317" s="2">
        <v>100</v>
      </c>
      <c r="C317" s="2"/>
      <c r="D317" s="2"/>
    </row>
    <row r="318" spans="1:4" x14ac:dyDescent="0.25">
      <c r="A318" s="2" t="e">
        <v>#VALUE!</v>
      </c>
      <c r="B318" s="2">
        <v>100</v>
      </c>
      <c r="C318" s="2"/>
      <c r="D318" s="2"/>
    </row>
    <row r="319" spans="1:4" x14ac:dyDescent="0.25">
      <c r="A319" s="2" t="e">
        <v>#VALUE!</v>
      </c>
      <c r="B319" s="2">
        <v>100</v>
      </c>
      <c r="C319" s="2"/>
      <c r="D319" s="2"/>
    </row>
    <row r="320" spans="1:4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0" customWidth="1"/>
    <col min="3" max="3" width="51.42578125" style="301" customWidth="1"/>
    <col min="4" max="4" width="82.85546875" style="301" customWidth="1"/>
    <col min="5" max="5" width="32.5703125" style="301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9"/>
      <c r="D1" s="299"/>
      <c r="E1" s="299"/>
    </row>
    <row r="2" spans="1:6" s="32" customFormat="1" ht="16.5" thickTop="1" thickBot="1" x14ac:dyDescent="0.3">
      <c r="A2" s="32" t="s">
        <v>304</v>
      </c>
      <c r="B2" s="300" t="s">
        <v>381</v>
      </c>
      <c r="C2" s="300" t="s">
        <v>305</v>
      </c>
      <c r="D2" s="300" t="s">
        <v>252</v>
      </c>
      <c r="E2" s="300" t="s">
        <v>248</v>
      </c>
      <c r="F2" s="202"/>
    </row>
    <row r="3" spans="1:6" ht="15.75" thickTop="1" x14ac:dyDescent="0.25">
      <c r="A3" s="2" t="s">
        <v>254</v>
      </c>
      <c r="B3" s="330" t="s">
        <v>382</v>
      </c>
      <c r="C3" s="301" t="s">
        <v>253</v>
      </c>
      <c r="D3" s="301" t="s">
        <v>723</v>
      </c>
      <c r="E3" s="301" t="s">
        <v>724</v>
      </c>
    </row>
    <row r="4" spans="1:6" x14ac:dyDescent="0.25">
      <c r="A4" s="2" t="s">
        <v>254</v>
      </c>
      <c r="C4" s="301" t="s">
        <v>308</v>
      </c>
      <c r="D4" s="301" t="s">
        <v>725</v>
      </c>
      <c r="E4" s="301" t="s">
        <v>726</v>
      </c>
    </row>
    <row r="5" spans="1:6" x14ac:dyDescent="0.25">
      <c r="A5" s="2" t="s">
        <v>254</v>
      </c>
      <c r="C5" s="301" t="s">
        <v>294</v>
      </c>
      <c r="D5" s="301" t="s">
        <v>727</v>
      </c>
    </row>
    <row r="6" spans="1:6" x14ac:dyDescent="0.25">
      <c r="A6" s="2" t="s">
        <v>254</v>
      </c>
      <c r="C6" s="301" t="s">
        <v>295</v>
      </c>
      <c r="D6" s="301" t="s">
        <v>728</v>
      </c>
    </row>
    <row r="7" spans="1:6" x14ac:dyDescent="0.25">
      <c r="A7" s="2" t="s">
        <v>254</v>
      </c>
      <c r="C7" s="301" t="s">
        <v>372</v>
      </c>
      <c r="D7" s="301" t="s">
        <v>729</v>
      </c>
    </row>
    <row r="8" spans="1:6" x14ac:dyDescent="0.25">
      <c r="A8" s="2" t="s">
        <v>254</v>
      </c>
      <c r="C8" s="301" t="s">
        <v>373</v>
      </c>
      <c r="D8" s="301" t="s">
        <v>730</v>
      </c>
    </row>
    <row r="9" spans="1:6" x14ac:dyDescent="0.25">
      <c r="A9" s="2" t="s">
        <v>254</v>
      </c>
      <c r="C9" s="301" t="s">
        <v>378</v>
      </c>
      <c r="D9" s="301" t="s">
        <v>731</v>
      </c>
    </row>
    <row r="10" spans="1:6" x14ac:dyDescent="0.25">
      <c r="A10" s="2" t="s">
        <v>254</v>
      </c>
      <c r="C10" s="301" t="s">
        <v>378</v>
      </c>
      <c r="D10" s="301" t="s">
        <v>732</v>
      </c>
    </row>
    <row r="11" spans="1:6" x14ac:dyDescent="0.25">
      <c r="A11" s="2" t="s">
        <v>254</v>
      </c>
      <c r="C11" s="301" t="s">
        <v>378</v>
      </c>
      <c r="D11" s="301" t="s">
        <v>733</v>
      </c>
    </row>
    <row r="12" spans="1:6" x14ac:dyDescent="0.25">
      <c r="A12" s="2" t="s">
        <v>1</v>
      </c>
      <c r="B12" s="330" t="s">
        <v>99</v>
      </c>
      <c r="C12" s="301" t="s">
        <v>310</v>
      </c>
      <c r="D12" s="301" t="s">
        <v>725</v>
      </c>
      <c r="E12" s="301" t="s">
        <v>726</v>
      </c>
    </row>
    <row r="13" spans="1:6" x14ac:dyDescent="0.25">
      <c r="A13" s="2" t="s">
        <v>1</v>
      </c>
      <c r="C13" s="301" t="s">
        <v>734</v>
      </c>
      <c r="D13" s="301" t="s">
        <v>735</v>
      </c>
      <c r="E13" s="301" t="s">
        <v>736</v>
      </c>
    </row>
    <row r="14" spans="1:6" x14ac:dyDescent="0.25">
      <c r="A14" s="2" t="s">
        <v>1</v>
      </c>
      <c r="C14" s="301" t="s">
        <v>383</v>
      </c>
      <c r="D14" s="301" t="s">
        <v>737</v>
      </c>
      <c r="E14" s="301" t="s">
        <v>738</v>
      </c>
    </row>
    <row r="15" spans="1:6" x14ac:dyDescent="0.25">
      <c r="A15" s="2" t="s">
        <v>1</v>
      </c>
      <c r="C15" s="301" t="s">
        <v>379</v>
      </c>
      <c r="D15" s="301" t="s">
        <v>739</v>
      </c>
      <c r="E15" s="301" t="s">
        <v>740</v>
      </c>
    </row>
    <row r="16" spans="1:6" x14ac:dyDescent="0.25">
      <c r="A16" s="2" t="s">
        <v>1</v>
      </c>
      <c r="C16" s="301" t="s">
        <v>379</v>
      </c>
      <c r="D16" s="301" t="s">
        <v>741</v>
      </c>
      <c r="E16" s="301" t="s">
        <v>742</v>
      </c>
    </row>
    <row r="17" spans="1:5" x14ac:dyDescent="0.25">
      <c r="A17" s="2" t="s">
        <v>1</v>
      </c>
      <c r="C17" s="301" t="s">
        <v>743</v>
      </c>
      <c r="D17" s="301" t="s">
        <v>744</v>
      </c>
      <c r="E17" s="301" t="s">
        <v>745</v>
      </c>
    </row>
    <row r="18" spans="1:5" x14ac:dyDescent="0.25">
      <c r="A18" s="2" t="s">
        <v>1</v>
      </c>
      <c r="C18" s="301" t="s">
        <v>743</v>
      </c>
      <c r="D18" s="301" t="s">
        <v>746</v>
      </c>
      <c r="E18" s="301" t="s">
        <v>745</v>
      </c>
    </row>
    <row r="19" spans="1:5" x14ac:dyDescent="0.25">
      <c r="A19" s="2" t="s">
        <v>1</v>
      </c>
      <c r="C19" s="301" t="s">
        <v>743</v>
      </c>
      <c r="D19" s="301" t="s">
        <v>747</v>
      </c>
      <c r="E19" s="301" t="s">
        <v>748</v>
      </c>
    </row>
    <row r="20" spans="1:5" x14ac:dyDescent="0.25">
      <c r="A20" s="2" t="s">
        <v>1</v>
      </c>
      <c r="C20" s="301" t="s">
        <v>743</v>
      </c>
      <c r="D20" s="301" t="s">
        <v>749</v>
      </c>
      <c r="E20" s="301" t="s">
        <v>745</v>
      </c>
    </row>
    <row r="21" spans="1:5" x14ac:dyDescent="0.25">
      <c r="A21" s="2" t="s">
        <v>1</v>
      </c>
      <c r="C21" s="301" t="s">
        <v>743</v>
      </c>
      <c r="D21" s="301" t="s">
        <v>750</v>
      </c>
      <c r="E21" s="301" t="s">
        <v>751</v>
      </c>
    </row>
    <row r="22" spans="1:5" x14ac:dyDescent="0.25">
      <c r="A22" s="2" t="s">
        <v>1</v>
      </c>
      <c r="C22" s="301" t="s">
        <v>743</v>
      </c>
      <c r="D22" s="301" t="s">
        <v>752</v>
      </c>
      <c r="E22" s="301" t="s">
        <v>753</v>
      </c>
    </row>
    <row r="23" spans="1:5" x14ac:dyDescent="0.25">
      <c r="A23" s="2" t="s">
        <v>1</v>
      </c>
      <c r="C23" s="301" t="s">
        <v>743</v>
      </c>
      <c r="D23" s="301" t="s">
        <v>754</v>
      </c>
      <c r="E23" s="301" t="s">
        <v>745</v>
      </c>
    </row>
    <row r="24" spans="1:5" x14ac:dyDescent="0.25">
      <c r="A24" s="2" t="s">
        <v>1</v>
      </c>
      <c r="C24" s="301" t="s">
        <v>743</v>
      </c>
      <c r="D24" s="301" t="s">
        <v>755</v>
      </c>
      <c r="E24" s="301" t="s">
        <v>745</v>
      </c>
    </row>
    <row r="25" spans="1:5" x14ac:dyDescent="0.25">
      <c r="A25" s="2" t="s">
        <v>1</v>
      </c>
      <c r="C25" s="301" t="s">
        <v>743</v>
      </c>
      <c r="D25" s="301" t="s">
        <v>756</v>
      </c>
      <c r="E25" s="301" t="s">
        <v>738</v>
      </c>
    </row>
    <row r="26" spans="1:5" x14ac:dyDescent="0.25">
      <c r="A26" s="2" t="s">
        <v>1</v>
      </c>
      <c r="C26" s="301" t="s">
        <v>743</v>
      </c>
      <c r="D26" s="301" t="s">
        <v>757</v>
      </c>
      <c r="E26" s="301" t="s">
        <v>745</v>
      </c>
    </row>
    <row r="27" spans="1:5" x14ac:dyDescent="0.25">
      <c r="A27" s="2" t="s">
        <v>16</v>
      </c>
      <c r="B27" s="330" t="s">
        <v>100</v>
      </c>
      <c r="C27" s="301" t="s">
        <v>312</v>
      </c>
      <c r="D27" s="301" t="s">
        <v>758</v>
      </c>
      <c r="E27" s="301" t="s">
        <v>759</v>
      </c>
    </row>
    <row r="28" spans="1:5" x14ac:dyDescent="0.25">
      <c r="A28" s="2" t="s">
        <v>16</v>
      </c>
      <c r="C28" s="301" t="s">
        <v>760</v>
      </c>
      <c r="D28" s="301" t="s">
        <v>761</v>
      </c>
      <c r="E28" s="301" t="s">
        <v>762</v>
      </c>
    </row>
    <row r="29" spans="1:5" x14ac:dyDescent="0.25">
      <c r="A29" s="2" t="s">
        <v>16</v>
      </c>
      <c r="C29" s="301" t="s">
        <v>380</v>
      </c>
      <c r="D29" s="301" t="s">
        <v>763</v>
      </c>
      <c r="E29" s="301" t="s">
        <v>764</v>
      </c>
    </row>
    <row r="30" spans="1:5" x14ac:dyDescent="0.25">
      <c r="A30" s="2" t="s">
        <v>16</v>
      </c>
      <c r="C30" s="301" t="s">
        <v>380</v>
      </c>
      <c r="D30" s="301" t="s">
        <v>765</v>
      </c>
      <c r="E30" s="301" t="s">
        <v>766</v>
      </c>
    </row>
    <row r="31" spans="1:5" x14ac:dyDescent="0.25">
      <c r="A31" s="2" t="s">
        <v>16</v>
      </c>
      <c r="C31" s="301" t="s">
        <v>380</v>
      </c>
      <c r="D31" s="301" t="s">
        <v>767</v>
      </c>
      <c r="E31" s="301" t="s">
        <v>764</v>
      </c>
    </row>
    <row r="32" spans="1:5" x14ac:dyDescent="0.25">
      <c r="A32" s="2" t="s">
        <v>16</v>
      </c>
      <c r="C32" s="301" t="s">
        <v>380</v>
      </c>
      <c r="D32" s="301" t="s">
        <v>768</v>
      </c>
      <c r="E32" s="301" t="s">
        <v>769</v>
      </c>
    </row>
    <row r="33" spans="1:5" x14ac:dyDescent="0.25">
      <c r="A33" s="2" t="s">
        <v>16</v>
      </c>
      <c r="C33" s="301" t="s">
        <v>770</v>
      </c>
      <c r="D33" s="301" t="s">
        <v>771</v>
      </c>
      <c r="E33" s="301" t="s">
        <v>772</v>
      </c>
    </row>
    <row r="34" spans="1:5" x14ac:dyDescent="0.25">
      <c r="A34" s="2" t="s">
        <v>16</v>
      </c>
      <c r="C34" s="301" t="s">
        <v>773</v>
      </c>
      <c r="D34" s="301" t="s">
        <v>774</v>
      </c>
      <c r="E34" s="301" t="s">
        <v>775</v>
      </c>
    </row>
    <row r="35" spans="1:5" x14ac:dyDescent="0.25">
      <c r="A35" s="2" t="s">
        <v>16</v>
      </c>
      <c r="C35" s="301" t="s">
        <v>773</v>
      </c>
      <c r="D35" s="301" t="s">
        <v>776</v>
      </c>
      <c r="E35" s="301" t="s">
        <v>775</v>
      </c>
    </row>
    <row r="36" spans="1:5" x14ac:dyDescent="0.25">
      <c r="A36" s="2" t="e">
        <v>#N/A</v>
      </c>
      <c r="B36" s="330" t="e">
        <v>#N/A</v>
      </c>
      <c r="C36" s="301" t="e">
        <v>#N/A</v>
      </c>
      <c r="D36" s="301" t="e">
        <v>#N/A</v>
      </c>
      <c r="E36" s="301" t="e">
        <v>#N/A</v>
      </c>
    </row>
    <row r="37" spans="1:5" x14ac:dyDescent="0.25">
      <c r="A37" s="2" t="e">
        <v>#N/A</v>
      </c>
      <c r="B37" s="330" t="e">
        <v>#N/A</v>
      </c>
      <c r="C37" s="301" t="e">
        <v>#N/A</v>
      </c>
      <c r="D37" s="301" t="e">
        <v>#N/A</v>
      </c>
      <c r="E37" s="301" t="e">
        <v>#N/A</v>
      </c>
    </row>
    <row r="38" spans="1:5" x14ac:dyDescent="0.25">
      <c r="A38" s="2" t="e">
        <v>#N/A</v>
      </c>
      <c r="B38" s="330" t="e">
        <v>#N/A</v>
      </c>
      <c r="C38" s="301" t="e">
        <v>#N/A</v>
      </c>
      <c r="D38" s="301" t="e">
        <v>#N/A</v>
      </c>
      <c r="E38" s="301" t="e">
        <v>#N/A</v>
      </c>
    </row>
    <row r="39" spans="1:5" x14ac:dyDescent="0.25">
      <c r="A39" s="2" t="e">
        <v>#N/A</v>
      </c>
      <c r="B39" s="330" t="e">
        <v>#N/A</v>
      </c>
      <c r="C39" s="301" t="e">
        <v>#N/A</v>
      </c>
      <c r="D39" s="301" t="e">
        <v>#N/A</v>
      </c>
      <c r="E39" s="301" t="e">
        <v>#N/A</v>
      </c>
    </row>
    <row r="40" spans="1:5" x14ac:dyDescent="0.25">
      <c r="A40" s="2" t="e">
        <v>#N/A</v>
      </c>
      <c r="B40" s="330" t="e">
        <v>#N/A</v>
      </c>
      <c r="C40" s="301" t="e">
        <v>#N/A</v>
      </c>
      <c r="D40" s="301" t="e">
        <v>#N/A</v>
      </c>
      <c r="E40" s="301" t="e">
        <v>#N/A</v>
      </c>
    </row>
    <row r="41" spans="1:5" x14ac:dyDescent="0.25">
      <c r="A41" s="2" t="e">
        <v>#N/A</v>
      </c>
      <c r="B41" s="330" t="e">
        <v>#N/A</v>
      </c>
      <c r="C41" s="301" t="e">
        <v>#N/A</v>
      </c>
      <c r="D41" s="301" t="e">
        <v>#N/A</v>
      </c>
      <c r="E41" s="301" t="e">
        <v>#N/A</v>
      </c>
    </row>
    <row r="42" spans="1:5" x14ac:dyDescent="0.25">
      <c r="A42" s="2" t="e">
        <v>#N/A</v>
      </c>
      <c r="B42" s="330" t="e">
        <v>#N/A</v>
      </c>
      <c r="C42" s="301" t="e">
        <v>#N/A</v>
      </c>
      <c r="D42" s="301" t="e">
        <v>#N/A</v>
      </c>
      <c r="E42" s="301" t="e">
        <v>#N/A</v>
      </c>
    </row>
    <row r="43" spans="1:5" x14ac:dyDescent="0.25">
      <c r="A43" s="2" t="e">
        <v>#N/A</v>
      </c>
      <c r="B43" s="330" t="e">
        <v>#N/A</v>
      </c>
      <c r="C43" s="301" t="e">
        <v>#N/A</v>
      </c>
      <c r="D43" s="301" t="e">
        <v>#N/A</v>
      </c>
      <c r="E43" s="301" t="e">
        <v>#N/A</v>
      </c>
    </row>
    <row r="44" spans="1:5" x14ac:dyDescent="0.25">
      <c r="A44" s="2" t="e">
        <v>#N/A</v>
      </c>
      <c r="B44" s="330" t="e">
        <v>#N/A</v>
      </c>
      <c r="C44" s="301" t="e">
        <v>#N/A</v>
      </c>
      <c r="D44" s="301" t="e">
        <v>#N/A</v>
      </c>
      <c r="E44" s="301" t="e">
        <v>#N/A</v>
      </c>
    </row>
    <row r="45" spans="1:5" x14ac:dyDescent="0.25">
      <c r="A45" s="2" t="e">
        <v>#N/A</v>
      </c>
      <c r="B45" s="330" t="e">
        <v>#N/A</v>
      </c>
      <c r="C45" s="301" t="e">
        <v>#N/A</v>
      </c>
      <c r="D45" s="301" t="e">
        <v>#N/A</v>
      </c>
      <c r="E45" s="301" t="e">
        <v>#N/A</v>
      </c>
    </row>
    <row r="46" spans="1:5" x14ac:dyDescent="0.25">
      <c r="A46" s="2" t="e">
        <v>#N/A</v>
      </c>
      <c r="B46" s="330" t="e">
        <v>#N/A</v>
      </c>
      <c r="C46" s="301" t="e">
        <v>#N/A</v>
      </c>
      <c r="D46" s="301" t="e">
        <v>#N/A</v>
      </c>
      <c r="E46" s="301" t="e">
        <v>#N/A</v>
      </c>
    </row>
    <row r="47" spans="1:5" x14ac:dyDescent="0.25">
      <c r="A47" s="2" t="e">
        <v>#N/A</v>
      </c>
      <c r="B47" s="330" t="e">
        <v>#N/A</v>
      </c>
      <c r="C47" s="301" t="e">
        <v>#N/A</v>
      </c>
      <c r="D47" s="301" t="e">
        <v>#N/A</v>
      </c>
      <c r="E47" s="301" t="e">
        <v>#N/A</v>
      </c>
    </row>
    <row r="48" spans="1:5" x14ac:dyDescent="0.25">
      <c r="A48" s="2" t="e">
        <v>#N/A</v>
      </c>
      <c r="B48" s="330" t="e">
        <v>#N/A</v>
      </c>
      <c r="C48" s="301" t="e">
        <v>#N/A</v>
      </c>
      <c r="D48" s="301" t="e">
        <v>#N/A</v>
      </c>
      <c r="E48" s="301" t="e">
        <v>#N/A</v>
      </c>
    </row>
    <row r="49" spans="1:5" x14ac:dyDescent="0.25">
      <c r="A49" s="2" t="e">
        <v>#N/A</v>
      </c>
      <c r="B49" s="330" t="e">
        <v>#N/A</v>
      </c>
      <c r="C49" s="301" t="e">
        <v>#N/A</v>
      </c>
      <c r="D49" s="301" t="e">
        <v>#N/A</v>
      </c>
      <c r="E49" s="301" t="e">
        <v>#N/A</v>
      </c>
    </row>
    <row r="50" spans="1:5" x14ac:dyDescent="0.25">
      <c r="A50" s="2" t="e">
        <v>#N/A</v>
      </c>
      <c r="B50" s="330" t="e">
        <v>#N/A</v>
      </c>
      <c r="C50" s="301" t="e">
        <v>#N/A</v>
      </c>
      <c r="D50" s="301" t="e">
        <v>#N/A</v>
      </c>
      <c r="E50" s="301" t="e">
        <v>#N/A</v>
      </c>
    </row>
    <row r="51" spans="1:5" x14ac:dyDescent="0.25">
      <c r="A51" s="2" t="e">
        <v>#N/A</v>
      </c>
      <c r="B51" s="330" t="e">
        <v>#N/A</v>
      </c>
      <c r="C51" s="301" t="e">
        <v>#N/A</v>
      </c>
      <c r="D51" s="301" t="e">
        <v>#N/A</v>
      </c>
      <c r="E51" s="301" t="e">
        <v>#N/A</v>
      </c>
    </row>
    <row r="52" spans="1:5" x14ac:dyDescent="0.25">
      <c r="A52" s="2" t="e">
        <v>#N/A</v>
      </c>
      <c r="B52" s="330" t="e">
        <v>#N/A</v>
      </c>
      <c r="C52" s="301" t="e">
        <v>#N/A</v>
      </c>
      <c r="D52" s="301" t="e">
        <v>#N/A</v>
      </c>
      <c r="E52" s="301" t="e">
        <v>#N/A</v>
      </c>
    </row>
    <row r="53" spans="1:5" x14ac:dyDescent="0.25">
      <c r="A53" s="2" t="e">
        <v>#N/A</v>
      </c>
      <c r="B53" s="330" t="e">
        <v>#N/A</v>
      </c>
      <c r="C53" s="301" t="e">
        <v>#N/A</v>
      </c>
      <c r="D53" s="301" t="e">
        <v>#N/A</v>
      </c>
      <c r="E53" s="301" t="e">
        <v>#N/A</v>
      </c>
    </row>
    <row r="54" spans="1:5" x14ac:dyDescent="0.25">
      <c r="A54" s="2" t="e">
        <v>#N/A</v>
      </c>
      <c r="B54" s="330" t="e">
        <v>#N/A</v>
      </c>
      <c r="C54" s="301" t="e">
        <v>#N/A</v>
      </c>
      <c r="D54" s="301" t="e">
        <v>#N/A</v>
      </c>
      <c r="E54" s="301" t="e">
        <v>#N/A</v>
      </c>
    </row>
    <row r="55" spans="1:5" x14ac:dyDescent="0.25">
      <c r="A55" s="2" t="e">
        <v>#N/A</v>
      </c>
      <c r="B55" s="330" t="e">
        <v>#N/A</v>
      </c>
      <c r="C55" s="301" t="e">
        <v>#N/A</v>
      </c>
      <c r="D55" s="301" t="e">
        <v>#N/A</v>
      </c>
      <c r="E55" s="301" t="e">
        <v>#N/A</v>
      </c>
    </row>
    <row r="56" spans="1:5" x14ac:dyDescent="0.25">
      <c r="A56" s="2" t="e">
        <v>#N/A</v>
      </c>
      <c r="B56" s="330" t="e">
        <v>#N/A</v>
      </c>
      <c r="C56" s="301" t="e">
        <v>#N/A</v>
      </c>
      <c r="D56" s="301" t="e">
        <v>#N/A</v>
      </c>
      <c r="E56" s="301" t="e">
        <v>#N/A</v>
      </c>
    </row>
    <row r="57" spans="1:5" x14ac:dyDescent="0.25">
      <c r="A57" s="2" t="e">
        <v>#N/A</v>
      </c>
      <c r="B57" s="330" t="e">
        <v>#N/A</v>
      </c>
      <c r="C57" s="301" t="e">
        <v>#N/A</v>
      </c>
      <c r="D57" s="301" t="e">
        <v>#N/A</v>
      </c>
      <c r="E57" s="301" t="e">
        <v>#N/A</v>
      </c>
    </row>
    <row r="58" spans="1:5" x14ac:dyDescent="0.25">
      <c r="A58" s="2" t="e">
        <v>#N/A</v>
      </c>
      <c r="B58" s="330" t="e">
        <v>#N/A</v>
      </c>
      <c r="C58" s="301" t="e">
        <v>#N/A</v>
      </c>
      <c r="D58" s="301" t="e">
        <v>#N/A</v>
      </c>
      <c r="E58" s="301" t="e">
        <v>#N/A</v>
      </c>
    </row>
    <row r="59" spans="1:5" x14ac:dyDescent="0.25">
      <c r="A59" s="2" t="e">
        <v>#N/A</v>
      </c>
      <c r="B59" s="330" t="e">
        <v>#N/A</v>
      </c>
      <c r="C59" s="301" t="e">
        <v>#N/A</v>
      </c>
      <c r="D59" s="301" t="e">
        <v>#N/A</v>
      </c>
      <c r="E59" s="301" t="e">
        <v>#N/A</v>
      </c>
    </row>
    <row r="60" spans="1:5" x14ac:dyDescent="0.25">
      <c r="A60" s="2" t="e">
        <v>#N/A</v>
      </c>
      <c r="B60" s="330" t="e">
        <v>#N/A</v>
      </c>
      <c r="C60" s="301" t="e">
        <v>#N/A</v>
      </c>
      <c r="D60" s="301" t="e">
        <v>#N/A</v>
      </c>
      <c r="E60" s="301" t="e">
        <v>#N/A</v>
      </c>
    </row>
    <row r="61" spans="1:5" x14ac:dyDescent="0.25">
      <c r="A61" s="2" t="e">
        <v>#N/A</v>
      </c>
      <c r="B61" s="330" t="e">
        <v>#N/A</v>
      </c>
      <c r="C61" s="301" t="e">
        <v>#N/A</v>
      </c>
      <c r="D61" s="301" t="e">
        <v>#N/A</v>
      </c>
      <c r="E61" s="301" t="e">
        <v>#N/A</v>
      </c>
    </row>
    <row r="62" spans="1:5" x14ac:dyDescent="0.25">
      <c r="A62" s="2" t="e">
        <v>#N/A</v>
      </c>
      <c r="B62" s="330" t="e">
        <v>#N/A</v>
      </c>
      <c r="C62" s="301" t="e">
        <v>#N/A</v>
      </c>
      <c r="D62" s="301" t="e">
        <v>#N/A</v>
      </c>
      <c r="E62" s="301" t="e">
        <v>#N/A</v>
      </c>
    </row>
    <row r="63" spans="1:5" x14ac:dyDescent="0.25">
      <c r="A63" s="2" t="e">
        <v>#N/A</v>
      </c>
      <c r="B63" s="330" t="e">
        <v>#N/A</v>
      </c>
      <c r="C63" s="301" t="e">
        <v>#N/A</v>
      </c>
      <c r="D63" s="301" t="e">
        <v>#N/A</v>
      </c>
      <c r="E63" s="301" t="e">
        <v>#N/A</v>
      </c>
    </row>
    <row r="64" spans="1:5" x14ac:dyDescent="0.25">
      <c r="A64" s="2" t="e">
        <v>#N/A</v>
      </c>
      <c r="B64" s="330" t="e">
        <v>#N/A</v>
      </c>
      <c r="C64" s="301" t="e">
        <v>#N/A</v>
      </c>
      <c r="D64" s="301" t="e">
        <v>#N/A</v>
      </c>
      <c r="E64" s="301" t="e">
        <v>#N/A</v>
      </c>
    </row>
    <row r="65" spans="1:5" x14ac:dyDescent="0.25">
      <c r="A65" s="2" t="e">
        <v>#N/A</v>
      </c>
      <c r="B65" s="330" t="e">
        <v>#N/A</v>
      </c>
      <c r="C65" s="301" t="e">
        <v>#N/A</v>
      </c>
      <c r="D65" s="301" t="e">
        <v>#N/A</v>
      </c>
      <c r="E65" s="301" t="e">
        <v>#N/A</v>
      </c>
    </row>
    <row r="66" spans="1:5" x14ac:dyDescent="0.25">
      <c r="A66" s="2" t="e">
        <v>#N/A</v>
      </c>
      <c r="B66" s="330" t="e">
        <v>#N/A</v>
      </c>
      <c r="C66" s="301" t="e">
        <v>#N/A</v>
      </c>
      <c r="D66" s="301" t="e">
        <v>#N/A</v>
      </c>
      <c r="E66" s="301" t="e">
        <v>#N/A</v>
      </c>
    </row>
    <row r="67" spans="1:5" x14ac:dyDescent="0.25">
      <c r="A67" s="2" t="e">
        <v>#N/A</v>
      </c>
      <c r="B67" s="330" t="e">
        <v>#N/A</v>
      </c>
      <c r="C67" s="301" t="e">
        <v>#N/A</v>
      </c>
      <c r="D67" s="301" t="e">
        <v>#N/A</v>
      </c>
      <c r="E67" s="301" t="e">
        <v>#N/A</v>
      </c>
    </row>
    <row r="68" spans="1:5" x14ac:dyDescent="0.25">
      <c r="A68" s="2" t="e">
        <v>#N/A</v>
      </c>
      <c r="B68" s="330" t="e">
        <v>#N/A</v>
      </c>
      <c r="C68" s="301" t="e">
        <v>#N/A</v>
      </c>
      <c r="D68" s="301" t="e">
        <v>#N/A</v>
      </c>
      <c r="E68" s="301" t="e">
        <v>#N/A</v>
      </c>
    </row>
    <row r="69" spans="1:5" x14ac:dyDescent="0.25">
      <c r="A69" s="2" t="e">
        <v>#N/A</v>
      </c>
      <c r="B69" s="330" t="e">
        <v>#N/A</v>
      </c>
      <c r="C69" s="301" t="e">
        <v>#N/A</v>
      </c>
      <c r="D69" s="301" t="e">
        <v>#N/A</v>
      </c>
      <c r="E69" s="301" t="e">
        <v>#N/A</v>
      </c>
    </row>
    <row r="70" spans="1:5" x14ac:dyDescent="0.25">
      <c r="A70" s="2" t="e">
        <v>#N/A</v>
      </c>
      <c r="B70" s="330" t="e">
        <v>#N/A</v>
      </c>
      <c r="C70" s="301" t="e">
        <v>#N/A</v>
      </c>
      <c r="D70" s="301" t="e">
        <v>#N/A</v>
      </c>
      <c r="E70" s="301" t="e">
        <v>#N/A</v>
      </c>
    </row>
    <row r="71" spans="1:5" x14ac:dyDescent="0.25">
      <c r="A71" s="2" t="e">
        <v>#N/A</v>
      </c>
      <c r="B71" s="330" t="e">
        <v>#N/A</v>
      </c>
      <c r="C71" s="301" t="e">
        <v>#N/A</v>
      </c>
      <c r="D71" s="301" t="e">
        <v>#N/A</v>
      </c>
      <c r="E71" s="301" t="e">
        <v>#N/A</v>
      </c>
    </row>
    <row r="72" spans="1:5" x14ac:dyDescent="0.25">
      <c r="A72" s="2" t="e">
        <v>#N/A</v>
      </c>
      <c r="B72" s="330" t="e">
        <v>#N/A</v>
      </c>
      <c r="C72" s="301" t="e">
        <v>#N/A</v>
      </c>
      <c r="D72" s="301" t="e">
        <v>#N/A</v>
      </c>
      <c r="E72" s="301" t="e">
        <v>#N/A</v>
      </c>
    </row>
    <row r="73" spans="1:5" x14ac:dyDescent="0.25">
      <c r="A73" s="2" t="e">
        <v>#N/A</v>
      </c>
      <c r="B73" s="330" t="e">
        <v>#N/A</v>
      </c>
      <c r="C73" s="301" t="e">
        <v>#N/A</v>
      </c>
      <c r="D73" s="301" t="e">
        <v>#N/A</v>
      </c>
      <c r="E73" s="301" t="e">
        <v>#N/A</v>
      </c>
    </row>
    <row r="74" spans="1:5" x14ac:dyDescent="0.25">
      <c r="A74" s="2" t="e">
        <v>#N/A</v>
      </c>
      <c r="B74" s="330" t="e">
        <v>#N/A</v>
      </c>
      <c r="C74" s="301" t="e">
        <v>#N/A</v>
      </c>
      <c r="D74" s="301" t="e">
        <v>#N/A</v>
      </c>
      <c r="E74" s="301" t="e">
        <v>#N/A</v>
      </c>
    </row>
    <row r="75" spans="1:5" x14ac:dyDescent="0.25">
      <c r="A75" s="2" t="e">
        <v>#N/A</v>
      </c>
      <c r="B75" s="330" t="e">
        <v>#N/A</v>
      </c>
      <c r="C75" s="301" t="e">
        <v>#N/A</v>
      </c>
      <c r="D75" s="301" t="e">
        <v>#N/A</v>
      </c>
      <c r="E75" s="301" t="e">
        <v>#N/A</v>
      </c>
    </row>
    <row r="76" spans="1:5" x14ac:dyDescent="0.25">
      <c r="A76" s="2" t="e">
        <v>#N/A</v>
      </c>
      <c r="B76" s="330" t="e">
        <v>#N/A</v>
      </c>
      <c r="C76" s="301" t="e">
        <v>#N/A</v>
      </c>
      <c r="D76" s="301" t="e">
        <v>#N/A</v>
      </c>
      <c r="E76" s="301" t="e">
        <v>#N/A</v>
      </c>
    </row>
    <row r="77" spans="1:5" x14ac:dyDescent="0.25">
      <c r="A77" s="2" t="e">
        <v>#N/A</v>
      </c>
      <c r="B77" s="330" t="e">
        <v>#N/A</v>
      </c>
      <c r="C77" s="301" t="e">
        <v>#N/A</v>
      </c>
      <c r="D77" s="301" t="e">
        <v>#N/A</v>
      </c>
      <c r="E77" s="301" t="e">
        <v>#N/A</v>
      </c>
    </row>
    <row r="78" spans="1:5" x14ac:dyDescent="0.25">
      <c r="A78" s="2" t="e">
        <v>#N/A</v>
      </c>
      <c r="B78" s="330" t="e">
        <v>#N/A</v>
      </c>
      <c r="C78" s="301" t="e">
        <v>#N/A</v>
      </c>
      <c r="D78" s="301" t="e">
        <v>#N/A</v>
      </c>
      <c r="E78" s="301" t="e">
        <v>#N/A</v>
      </c>
    </row>
    <row r="79" spans="1:5" x14ac:dyDescent="0.25">
      <c r="A79" s="2" t="e">
        <v>#N/A</v>
      </c>
      <c r="B79" s="330" t="e">
        <v>#N/A</v>
      </c>
      <c r="C79" s="301" t="e">
        <v>#N/A</v>
      </c>
      <c r="D79" s="301" t="e">
        <v>#N/A</v>
      </c>
      <c r="E79" s="301" t="e">
        <v>#N/A</v>
      </c>
    </row>
    <row r="80" spans="1:5" x14ac:dyDescent="0.25">
      <c r="A80" s="2" t="e">
        <v>#N/A</v>
      </c>
      <c r="B80" s="330" t="e">
        <v>#N/A</v>
      </c>
      <c r="C80" s="301" t="e">
        <v>#N/A</v>
      </c>
      <c r="D80" s="301" t="e">
        <v>#N/A</v>
      </c>
      <c r="E80" s="301" t="e">
        <v>#N/A</v>
      </c>
    </row>
    <row r="81" spans="1:5" x14ac:dyDescent="0.25">
      <c r="A81" s="2" t="e">
        <v>#N/A</v>
      </c>
      <c r="B81" s="330" t="e">
        <v>#N/A</v>
      </c>
      <c r="C81" s="301" t="e">
        <v>#N/A</v>
      </c>
      <c r="D81" s="301" t="e">
        <v>#N/A</v>
      </c>
      <c r="E81" s="301" t="e">
        <v>#N/A</v>
      </c>
    </row>
    <row r="82" spans="1:5" x14ac:dyDescent="0.25">
      <c r="A82" s="2" t="e">
        <v>#N/A</v>
      </c>
      <c r="B82" s="330" t="e">
        <v>#N/A</v>
      </c>
      <c r="C82" s="301" t="e">
        <v>#N/A</v>
      </c>
      <c r="D82" s="301" t="e">
        <v>#N/A</v>
      </c>
      <c r="E82" s="301" t="e">
        <v>#N/A</v>
      </c>
    </row>
    <row r="83" spans="1:5" x14ac:dyDescent="0.25">
      <c r="A83" s="2" t="e">
        <v>#N/A</v>
      </c>
      <c r="B83" s="330" t="e">
        <v>#N/A</v>
      </c>
      <c r="C83" s="301" t="e">
        <v>#N/A</v>
      </c>
      <c r="D83" s="301" t="e">
        <v>#N/A</v>
      </c>
      <c r="E83" s="301" t="e">
        <v>#N/A</v>
      </c>
    </row>
    <row r="84" spans="1:5" x14ac:dyDescent="0.25">
      <c r="A84" s="2" t="e">
        <v>#N/A</v>
      </c>
      <c r="B84" s="330" t="e">
        <v>#N/A</v>
      </c>
      <c r="C84" s="301" t="e">
        <v>#N/A</v>
      </c>
      <c r="D84" s="301" t="e">
        <v>#N/A</v>
      </c>
      <c r="E84" s="301" t="e">
        <v>#N/A</v>
      </c>
    </row>
    <row r="85" spans="1:5" x14ac:dyDescent="0.25">
      <c r="A85" s="2" t="e">
        <v>#N/A</v>
      </c>
      <c r="B85" s="330" t="e">
        <v>#N/A</v>
      </c>
      <c r="C85" s="301" t="e">
        <v>#N/A</v>
      </c>
      <c r="D85" s="301" t="e">
        <v>#N/A</v>
      </c>
      <c r="E85" s="301" t="e">
        <v>#N/A</v>
      </c>
    </row>
    <row r="86" spans="1:5" x14ac:dyDescent="0.25">
      <c r="A86" s="2" t="e">
        <v>#N/A</v>
      </c>
      <c r="B86" s="330" t="e">
        <v>#N/A</v>
      </c>
      <c r="C86" s="301" t="e">
        <v>#N/A</v>
      </c>
      <c r="D86" s="301" t="e">
        <v>#N/A</v>
      </c>
      <c r="E86" s="301" t="e">
        <v>#N/A</v>
      </c>
    </row>
    <row r="87" spans="1:5" x14ac:dyDescent="0.25">
      <c r="A87" s="2" t="e">
        <v>#N/A</v>
      </c>
      <c r="B87" s="330" t="e">
        <v>#N/A</v>
      </c>
      <c r="C87" s="301" t="e">
        <v>#N/A</v>
      </c>
      <c r="D87" s="301" t="e">
        <v>#N/A</v>
      </c>
      <c r="E87" s="301" t="e">
        <v>#N/A</v>
      </c>
    </row>
    <row r="88" spans="1:5" x14ac:dyDescent="0.25">
      <c r="A88" s="2" t="e">
        <v>#N/A</v>
      </c>
      <c r="B88" s="330" t="e">
        <v>#N/A</v>
      </c>
      <c r="C88" s="301" t="e">
        <v>#N/A</v>
      </c>
      <c r="D88" s="301" t="e">
        <v>#N/A</v>
      </c>
      <c r="E88" s="301" t="e">
        <v>#N/A</v>
      </c>
    </row>
    <row r="89" spans="1:5" x14ac:dyDescent="0.25">
      <c r="A89" s="2" t="e">
        <v>#N/A</v>
      </c>
      <c r="B89" s="330" t="e">
        <v>#N/A</v>
      </c>
      <c r="C89" s="301" t="e">
        <v>#N/A</v>
      </c>
      <c r="D89" s="301" t="e">
        <v>#N/A</v>
      </c>
      <c r="E89" s="301" t="e">
        <v>#N/A</v>
      </c>
    </row>
    <row r="90" spans="1:5" x14ac:dyDescent="0.25">
      <c r="A90" s="2" t="e">
        <v>#N/A</v>
      </c>
      <c r="B90" s="330" t="e">
        <v>#N/A</v>
      </c>
      <c r="C90" s="301" t="e">
        <v>#N/A</v>
      </c>
      <c r="D90" s="301" t="e">
        <v>#N/A</v>
      </c>
      <c r="E90" s="301" t="e">
        <v>#N/A</v>
      </c>
    </row>
    <row r="91" spans="1:5" x14ac:dyDescent="0.25">
      <c r="A91" s="2" t="e">
        <v>#N/A</v>
      </c>
      <c r="B91" s="330" t="e">
        <v>#N/A</v>
      </c>
      <c r="C91" s="301" t="e">
        <v>#N/A</v>
      </c>
      <c r="D91" s="301" t="e">
        <v>#N/A</v>
      </c>
      <c r="E91" s="301" t="e">
        <v>#N/A</v>
      </c>
    </row>
    <row r="92" spans="1:5" x14ac:dyDescent="0.25">
      <c r="A92" s="2" t="e">
        <v>#N/A</v>
      </c>
      <c r="B92" s="330" t="e">
        <v>#N/A</v>
      </c>
      <c r="C92" s="301" t="e">
        <v>#N/A</v>
      </c>
      <c r="D92" s="301" t="e">
        <v>#N/A</v>
      </c>
      <c r="E92" s="301" t="e">
        <v>#N/A</v>
      </c>
    </row>
    <row r="93" spans="1:5" x14ac:dyDescent="0.25">
      <c r="A93" s="2" t="e">
        <v>#N/A</v>
      </c>
      <c r="B93" s="330" t="e">
        <v>#N/A</v>
      </c>
      <c r="C93" s="301" t="e">
        <v>#N/A</v>
      </c>
      <c r="D93" s="301" t="e">
        <v>#N/A</v>
      </c>
      <c r="E93" s="301" t="e">
        <v>#N/A</v>
      </c>
    </row>
    <row r="94" spans="1:5" x14ac:dyDescent="0.25">
      <c r="A94" s="2" t="e">
        <v>#N/A</v>
      </c>
      <c r="B94" s="330" t="e">
        <v>#N/A</v>
      </c>
      <c r="C94" s="301" t="e">
        <v>#N/A</v>
      </c>
      <c r="D94" s="301" t="e">
        <v>#N/A</v>
      </c>
      <c r="E94" s="301" t="e">
        <v>#N/A</v>
      </c>
    </row>
    <row r="95" spans="1:5" x14ac:dyDescent="0.25">
      <c r="A95" s="2" t="e">
        <v>#N/A</v>
      </c>
      <c r="B95" s="330" t="e">
        <v>#N/A</v>
      </c>
      <c r="C95" s="301" t="e">
        <v>#N/A</v>
      </c>
      <c r="D95" s="301" t="e">
        <v>#N/A</v>
      </c>
      <c r="E95" s="301" t="e">
        <v>#N/A</v>
      </c>
    </row>
    <row r="96" spans="1:5" x14ac:dyDescent="0.25">
      <c r="A96" s="2" t="e">
        <v>#N/A</v>
      </c>
      <c r="B96" s="330" t="e">
        <v>#N/A</v>
      </c>
      <c r="C96" s="301" t="e">
        <v>#N/A</v>
      </c>
      <c r="D96" s="301" t="e">
        <v>#N/A</v>
      </c>
      <c r="E96" s="301" t="e">
        <v>#N/A</v>
      </c>
    </row>
    <row r="97" spans="1:5" x14ac:dyDescent="0.25">
      <c r="A97" s="2" t="e">
        <v>#N/A</v>
      </c>
      <c r="B97" s="330" t="e">
        <v>#N/A</v>
      </c>
      <c r="C97" s="301" t="e">
        <v>#N/A</v>
      </c>
      <c r="D97" s="301" t="e">
        <v>#N/A</v>
      </c>
      <c r="E97" s="301" t="e">
        <v>#N/A</v>
      </c>
    </row>
    <row r="98" spans="1:5" x14ac:dyDescent="0.25">
      <c r="A98" s="2" t="e">
        <v>#N/A</v>
      </c>
      <c r="B98" s="330" t="e">
        <v>#N/A</v>
      </c>
      <c r="C98" s="301" t="e">
        <v>#N/A</v>
      </c>
      <c r="D98" s="301" t="e">
        <v>#N/A</v>
      </c>
      <c r="E98" s="301" t="e">
        <v>#N/A</v>
      </c>
    </row>
    <row r="99" spans="1:5" x14ac:dyDescent="0.25">
      <c r="A99" s="2" t="e">
        <v>#N/A</v>
      </c>
      <c r="B99" s="330" t="e">
        <v>#N/A</v>
      </c>
      <c r="C99" s="301" t="e">
        <v>#N/A</v>
      </c>
      <c r="D99" s="301" t="e">
        <v>#N/A</v>
      </c>
      <c r="E99" s="301" t="e">
        <v>#N/A</v>
      </c>
    </row>
    <row r="100" spans="1:5" x14ac:dyDescent="0.25">
      <c r="A100" s="2" t="e">
        <v>#N/A</v>
      </c>
      <c r="B100" s="330" t="e">
        <v>#N/A</v>
      </c>
      <c r="C100" s="301" t="e">
        <v>#N/A</v>
      </c>
      <c r="D100" s="301" t="e">
        <v>#N/A</v>
      </c>
      <c r="E100" s="301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0" width="5.7109375" customWidth="1"/>
    <col min="21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36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 t="s">
        <v>695</v>
      </c>
      <c r="N1" s="16">
        <v>12</v>
      </c>
      <c r="O1" s="16">
        <v>13</v>
      </c>
      <c r="P1" s="16">
        <v>14</v>
      </c>
      <c r="Q1" s="16">
        <v>15</v>
      </c>
      <c r="R1" s="16">
        <v>16</v>
      </c>
      <c r="S1" s="16">
        <v>17</v>
      </c>
      <c r="T1" s="52">
        <v>18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23</v>
      </c>
      <c r="B2" s="117">
        <v>3</v>
      </c>
      <c r="C2" s="118">
        <v>3</v>
      </c>
      <c r="D2" s="118">
        <v>3</v>
      </c>
      <c r="E2" s="118">
        <v>3</v>
      </c>
      <c r="F2" s="118">
        <v>4</v>
      </c>
      <c r="G2" s="118">
        <v>3</v>
      </c>
      <c r="H2" s="118">
        <v>3</v>
      </c>
      <c r="I2" s="118">
        <v>3</v>
      </c>
      <c r="J2" s="118">
        <v>4</v>
      </c>
      <c r="K2" s="118">
        <v>4</v>
      </c>
      <c r="L2" s="118">
        <v>4</v>
      </c>
      <c r="M2" s="118">
        <v>3</v>
      </c>
      <c r="N2" s="118">
        <v>3</v>
      </c>
      <c r="O2" s="118">
        <v>3</v>
      </c>
      <c r="P2" s="118">
        <v>3</v>
      </c>
      <c r="Q2" s="118">
        <v>3</v>
      </c>
      <c r="R2" s="118">
        <v>3</v>
      </c>
      <c r="S2" s="118">
        <v>3</v>
      </c>
      <c r="T2" s="119">
        <v>3</v>
      </c>
      <c r="U2" s="119" t="s">
        <v>53</v>
      </c>
      <c r="V2" s="119" t="s">
        <v>53</v>
      </c>
      <c r="W2" s="119" t="s">
        <v>53</v>
      </c>
      <c r="X2" s="119" t="s">
        <v>53</v>
      </c>
      <c r="Y2" s="119" t="s">
        <v>53</v>
      </c>
      <c r="Z2" s="119" t="s">
        <v>53</v>
      </c>
      <c r="AA2" s="119" t="s">
        <v>53</v>
      </c>
      <c r="AB2" s="341" t="s">
        <v>53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72</v>
      </c>
      <c r="B3" s="127">
        <v>2.8</v>
      </c>
      <c r="C3" s="128">
        <v>2.9</v>
      </c>
      <c r="D3" s="128">
        <v>2.7</v>
      </c>
      <c r="E3" s="128">
        <v>3.1</v>
      </c>
      <c r="F3" s="128">
        <v>3.3</v>
      </c>
      <c r="G3" s="128">
        <v>2.8</v>
      </c>
      <c r="H3" s="128">
        <v>2.8</v>
      </c>
      <c r="I3" s="128">
        <v>2.7</v>
      </c>
      <c r="J3" s="128">
        <v>3.9</v>
      </c>
      <c r="K3" s="128">
        <v>4.3</v>
      </c>
      <c r="L3" s="128">
        <v>4.5999999999999996</v>
      </c>
      <c r="M3" s="128">
        <v>3.2</v>
      </c>
      <c r="N3" s="128">
        <v>2.8</v>
      </c>
      <c r="O3" s="128">
        <v>2.9</v>
      </c>
      <c r="P3" s="128">
        <v>2.9</v>
      </c>
      <c r="Q3" s="128">
        <v>2.7</v>
      </c>
      <c r="R3" s="128">
        <v>2.8</v>
      </c>
      <c r="S3" s="128">
        <v>2.5</v>
      </c>
      <c r="T3" s="128">
        <v>3</v>
      </c>
      <c r="U3" s="128" t="s">
        <v>53</v>
      </c>
      <c r="V3" s="128" t="s">
        <v>53</v>
      </c>
      <c r="W3" s="128" t="s">
        <v>53</v>
      </c>
      <c r="X3" s="128" t="s">
        <v>53</v>
      </c>
      <c r="Y3" s="128" t="s">
        <v>53</v>
      </c>
      <c r="Z3" s="128" t="s">
        <v>53</v>
      </c>
      <c r="AA3" s="128" t="s">
        <v>53</v>
      </c>
      <c r="AB3" s="342" t="s">
        <v>53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75</v>
      </c>
      <c r="B4" s="130">
        <v>3.3</v>
      </c>
      <c r="C4" s="131">
        <v>3.1</v>
      </c>
      <c r="D4" s="131">
        <v>3.9</v>
      </c>
      <c r="E4" s="131">
        <v>3.5</v>
      </c>
      <c r="F4" s="131">
        <v>4.7</v>
      </c>
      <c r="G4" s="131">
        <v>3.6</v>
      </c>
      <c r="H4" s="131">
        <v>3.5</v>
      </c>
      <c r="I4" s="131">
        <v>3.3</v>
      </c>
      <c r="J4" s="131">
        <v>4.7</v>
      </c>
      <c r="K4" s="131">
        <v>4.7</v>
      </c>
      <c r="L4" s="131">
        <v>5.4</v>
      </c>
      <c r="M4" s="131">
        <v>3.4</v>
      </c>
      <c r="N4" s="131">
        <v>3.4</v>
      </c>
      <c r="O4" s="131">
        <v>3.5</v>
      </c>
      <c r="P4" s="131">
        <v>3.6</v>
      </c>
      <c r="Q4" s="131">
        <v>3</v>
      </c>
      <c r="R4" s="131">
        <v>3.4</v>
      </c>
      <c r="S4" s="131">
        <v>3.4</v>
      </c>
      <c r="T4" s="131">
        <v>3.7</v>
      </c>
      <c r="U4" s="131" t="s">
        <v>53</v>
      </c>
      <c r="V4" s="131" t="s">
        <v>53</v>
      </c>
      <c r="W4" s="131" t="s">
        <v>53</v>
      </c>
      <c r="X4" s="131" t="s">
        <v>53</v>
      </c>
      <c r="Y4" s="131" t="s">
        <v>53</v>
      </c>
      <c r="Z4" s="131" t="s">
        <v>53</v>
      </c>
      <c r="AA4" s="131" t="s">
        <v>53</v>
      </c>
      <c r="AB4" s="343" t="s">
        <v>53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155</v>
      </c>
      <c r="B5" s="219">
        <v>-0.20000000000000018</v>
      </c>
      <c r="C5" s="220">
        <v>-0.10000000000000009</v>
      </c>
      <c r="D5" s="219">
        <v>-0.29999999999999982</v>
      </c>
      <c r="E5" s="219">
        <v>0.10000000000000009</v>
      </c>
      <c r="F5" s="219">
        <v>-0.70000000000000018</v>
      </c>
      <c r="G5" s="219">
        <v>-0.20000000000000018</v>
      </c>
      <c r="H5" s="219">
        <v>-0.20000000000000018</v>
      </c>
      <c r="I5" s="219">
        <v>-0.29999999999999982</v>
      </c>
      <c r="J5" s="219">
        <v>-0.10000000000000009</v>
      </c>
      <c r="K5" s="219">
        <v>0.29999999999999982</v>
      </c>
      <c r="L5" s="219">
        <v>0.59999999999999964</v>
      </c>
      <c r="M5" s="219">
        <v>0.20000000000000018</v>
      </c>
      <c r="N5" s="219">
        <v>-0.20000000000000018</v>
      </c>
      <c r="O5" s="219">
        <v>-0.10000000000000009</v>
      </c>
      <c r="P5" s="219">
        <v>-0.10000000000000009</v>
      </c>
      <c r="Q5" s="219">
        <v>-0.29999999999999982</v>
      </c>
      <c r="R5" s="219">
        <v>-0.20000000000000018</v>
      </c>
      <c r="S5" s="219">
        <v>-0.5</v>
      </c>
      <c r="T5" s="219">
        <v>0</v>
      </c>
      <c r="U5" s="219" t="s">
        <v>53</v>
      </c>
      <c r="V5" s="221" t="s">
        <v>53</v>
      </c>
      <c r="W5" s="221" t="s">
        <v>53</v>
      </c>
      <c r="X5" s="221" t="s">
        <v>53</v>
      </c>
      <c r="Y5" s="221" t="s">
        <v>53</v>
      </c>
      <c r="Z5" s="221" t="s">
        <v>53</v>
      </c>
      <c r="AA5" s="221" t="s">
        <v>53</v>
      </c>
      <c r="AB5" s="221" t="s">
        <v>53</v>
      </c>
    </row>
    <row r="6" spans="1:156" s="207" customFormat="1" x14ac:dyDescent="0.25">
      <c r="A6" s="218" t="s">
        <v>126</v>
      </c>
      <c r="B6" s="219">
        <v>0.29999999999999982</v>
      </c>
      <c r="C6" s="220">
        <v>0.10000000000000009</v>
      </c>
      <c r="D6" s="219">
        <v>0.89999999999999991</v>
      </c>
      <c r="E6" s="219">
        <v>0.5</v>
      </c>
      <c r="F6" s="219">
        <v>0.70000000000000018</v>
      </c>
      <c r="G6" s="219">
        <v>0.60000000000000009</v>
      </c>
      <c r="H6" s="219">
        <v>0.5</v>
      </c>
      <c r="I6" s="219">
        <v>0.29999999999999982</v>
      </c>
      <c r="J6" s="219">
        <v>0.70000000000000018</v>
      </c>
      <c r="K6" s="219">
        <v>0.70000000000000018</v>
      </c>
      <c r="L6" s="219">
        <v>1.4000000000000004</v>
      </c>
      <c r="M6" s="219">
        <v>0.39999999999999991</v>
      </c>
      <c r="N6" s="219">
        <v>0.39999999999999991</v>
      </c>
      <c r="O6" s="219">
        <v>0.5</v>
      </c>
      <c r="P6" s="219">
        <v>0.60000000000000009</v>
      </c>
      <c r="Q6" s="219">
        <v>0</v>
      </c>
      <c r="R6" s="219">
        <v>0.39999999999999991</v>
      </c>
      <c r="S6" s="219">
        <v>0.39999999999999991</v>
      </c>
      <c r="T6" s="219">
        <v>0.70000000000000018</v>
      </c>
      <c r="U6" s="219" t="s">
        <v>53</v>
      </c>
      <c r="V6" s="221" t="s">
        <v>53</v>
      </c>
      <c r="W6" s="221" t="s">
        <v>53</v>
      </c>
      <c r="X6" s="221" t="s">
        <v>53</v>
      </c>
      <c r="Y6" s="221" t="s">
        <v>53</v>
      </c>
      <c r="Z6" s="221" t="s">
        <v>53</v>
      </c>
      <c r="AA6" s="221" t="s">
        <v>53</v>
      </c>
      <c r="AB6" s="221" t="s">
        <v>53</v>
      </c>
    </row>
    <row r="7" spans="1:156" s="203" customFormat="1" ht="15" customHeight="1" x14ac:dyDescent="0.25">
      <c r="A7" s="203" t="s">
        <v>47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99</v>
      </c>
    </row>
    <row r="8" spans="1:156" s="203" customFormat="1" x14ac:dyDescent="0.25">
      <c r="A8" s="203" t="s">
        <v>45</v>
      </c>
      <c r="B8" s="203">
        <v>-26</v>
      </c>
      <c r="C8" s="203">
        <v>-17</v>
      </c>
      <c r="D8" s="203">
        <v>-12</v>
      </c>
      <c r="E8" s="203">
        <v>-10</v>
      </c>
      <c r="F8" s="203">
        <v>-27</v>
      </c>
      <c r="G8" s="203">
        <v>-12</v>
      </c>
      <c r="H8" s="203">
        <v>-8</v>
      </c>
      <c r="I8" s="203">
        <v>-21</v>
      </c>
      <c r="J8" s="203">
        <v>-8</v>
      </c>
      <c r="K8" s="203">
        <v>-8</v>
      </c>
      <c r="L8" s="203">
        <v>-3</v>
      </c>
      <c r="M8" s="203">
        <v>-9</v>
      </c>
      <c r="N8" s="203">
        <v>-23</v>
      </c>
      <c r="O8" s="203">
        <v>-14</v>
      </c>
      <c r="P8" s="203">
        <v>-15</v>
      </c>
      <c r="Q8" s="203">
        <v>-32</v>
      </c>
      <c r="R8" s="203">
        <v>-10</v>
      </c>
      <c r="S8" s="203">
        <v>-48</v>
      </c>
      <c r="T8" s="203">
        <v>-2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99</v>
      </c>
      <c r="AJ8" s="203" t="s">
        <v>47</v>
      </c>
      <c r="AK8" s="203" t="s">
        <v>45</v>
      </c>
      <c r="AL8" s="203" t="s">
        <v>27</v>
      </c>
      <c r="AM8" s="203" t="s">
        <v>46</v>
      </c>
    </row>
    <row r="9" spans="1:156" s="203" customFormat="1" x14ac:dyDescent="0.25">
      <c r="A9" s="203" t="s">
        <v>27</v>
      </c>
      <c r="B9" s="203">
        <v>26</v>
      </c>
      <c r="C9" s="203">
        <v>24</v>
      </c>
      <c r="D9" s="203">
        <v>37</v>
      </c>
      <c r="E9" s="203">
        <v>33</v>
      </c>
      <c r="F9" s="203">
        <v>30</v>
      </c>
      <c r="G9" s="203">
        <v>44</v>
      </c>
      <c r="H9" s="203">
        <v>35</v>
      </c>
      <c r="I9" s="203">
        <v>20</v>
      </c>
      <c r="J9" s="203">
        <v>38</v>
      </c>
      <c r="K9" s="203">
        <v>35</v>
      </c>
      <c r="L9" s="203">
        <v>49</v>
      </c>
      <c r="M9" s="203">
        <v>25</v>
      </c>
      <c r="N9" s="203">
        <v>24</v>
      </c>
      <c r="O9" s="203">
        <v>31</v>
      </c>
      <c r="P9" s="203">
        <v>33</v>
      </c>
      <c r="Q9" s="203">
        <v>8</v>
      </c>
      <c r="R9" s="203">
        <v>37</v>
      </c>
      <c r="S9" s="203">
        <v>32</v>
      </c>
      <c r="T9" s="203">
        <v>56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99</v>
      </c>
      <c r="AH9" s="203">
        <v>112.00091</v>
      </c>
      <c r="AI9" s="203" t="s">
        <v>0</v>
      </c>
      <c r="AJ9" s="203">
        <v>0</v>
      </c>
      <c r="AK9" s="203">
        <v>-15</v>
      </c>
      <c r="AL9" s="203">
        <v>3</v>
      </c>
      <c r="AM9" s="203">
        <v>1</v>
      </c>
    </row>
    <row r="10" spans="1:156" s="203" customFormat="1" x14ac:dyDescent="0.25">
      <c r="A10" s="203" t="s">
        <v>46</v>
      </c>
      <c r="B10" s="203">
        <v>12</v>
      </c>
      <c r="C10" s="203">
        <v>6</v>
      </c>
      <c r="D10" s="203">
        <v>13</v>
      </c>
      <c r="E10" s="203">
        <v>11</v>
      </c>
      <c r="F10" s="203">
        <v>5</v>
      </c>
      <c r="G10" s="203">
        <v>10</v>
      </c>
      <c r="H10" s="203">
        <v>8</v>
      </c>
      <c r="I10" s="203">
        <v>2</v>
      </c>
      <c r="J10" s="203">
        <v>12</v>
      </c>
      <c r="K10" s="203">
        <v>19</v>
      </c>
      <c r="L10" s="203">
        <v>33</v>
      </c>
      <c r="M10" s="203">
        <v>22</v>
      </c>
      <c r="N10" s="203">
        <v>8</v>
      </c>
      <c r="O10" s="203">
        <v>6</v>
      </c>
      <c r="P10" s="203">
        <v>16</v>
      </c>
      <c r="Q10" s="203">
        <v>6</v>
      </c>
      <c r="R10" s="203">
        <v>5</v>
      </c>
      <c r="S10" s="203">
        <v>31</v>
      </c>
      <c r="T10" s="203">
        <v>8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99</v>
      </c>
      <c r="AH10" s="203">
        <v>114.00091999999999</v>
      </c>
      <c r="AI10" s="203" t="s">
        <v>696</v>
      </c>
      <c r="AJ10" s="203">
        <v>0</v>
      </c>
      <c r="AK10" s="203">
        <v>-15</v>
      </c>
      <c r="AL10" s="203">
        <v>5</v>
      </c>
      <c r="AM10" s="203">
        <v>1</v>
      </c>
    </row>
    <row r="11" spans="1:156" s="203" customFormat="1" x14ac:dyDescent="0.25">
      <c r="A11" s="203" t="s">
        <v>47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100</v>
      </c>
      <c r="AH11" s="203">
        <v>119.00093</v>
      </c>
      <c r="AI11" s="203" t="s">
        <v>330</v>
      </c>
      <c r="AJ11" s="203">
        <v>0</v>
      </c>
      <c r="AK11" s="203">
        <v>-8</v>
      </c>
      <c r="AL11" s="203">
        <v>3</v>
      </c>
      <c r="AM11" s="203">
        <v>1</v>
      </c>
    </row>
    <row r="12" spans="1:156" s="203" customFormat="1" x14ac:dyDescent="0.25">
      <c r="A12" s="203" t="s">
        <v>45</v>
      </c>
      <c r="B12" s="203">
        <v>-3</v>
      </c>
      <c r="C12" s="203">
        <v>0</v>
      </c>
      <c r="D12" s="203">
        <v>-1</v>
      </c>
      <c r="E12" s="203">
        <v>-1</v>
      </c>
      <c r="F12" s="203">
        <v>0</v>
      </c>
      <c r="G12" s="203">
        <v>0</v>
      </c>
      <c r="H12" s="203">
        <v>-1</v>
      </c>
      <c r="I12" s="203">
        <v>-2</v>
      </c>
      <c r="J12" s="203">
        <v>0</v>
      </c>
      <c r="K12" s="203">
        <v>0</v>
      </c>
      <c r="L12" s="203">
        <v>0</v>
      </c>
      <c r="M12" s="203">
        <v>0</v>
      </c>
      <c r="N12" s="203">
        <v>-2</v>
      </c>
      <c r="O12" s="203">
        <v>0</v>
      </c>
      <c r="P12" s="203">
        <v>0</v>
      </c>
      <c r="Q12" s="203">
        <v>-1</v>
      </c>
      <c r="R12" s="203">
        <v>0</v>
      </c>
      <c r="S12" s="203">
        <v>-7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100</v>
      </c>
      <c r="AH12" s="203">
        <v>119.00094</v>
      </c>
      <c r="AI12" s="203" t="s">
        <v>5</v>
      </c>
      <c r="AJ12" s="203">
        <v>0</v>
      </c>
      <c r="AK12" s="203">
        <v>-9</v>
      </c>
      <c r="AL12" s="203">
        <v>2</v>
      </c>
      <c r="AM12" s="203">
        <v>2</v>
      </c>
    </row>
    <row r="13" spans="1:156" s="203" customFormat="1" x14ac:dyDescent="0.25">
      <c r="A13" s="203" t="s">
        <v>27</v>
      </c>
      <c r="B13" s="203">
        <v>4</v>
      </c>
      <c r="C13" s="203">
        <v>6</v>
      </c>
      <c r="D13" s="203">
        <v>8</v>
      </c>
      <c r="E13" s="203">
        <v>6</v>
      </c>
      <c r="F13" s="203">
        <v>6</v>
      </c>
      <c r="G13" s="203">
        <v>8</v>
      </c>
      <c r="H13" s="203">
        <v>5</v>
      </c>
      <c r="I13" s="203">
        <v>8</v>
      </c>
      <c r="J13" s="203">
        <v>2</v>
      </c>
      <c r="K13" s="203">
        <v>7</v>
      </c>
      <c r="L13" s="203">
        <v>2</v>
      </c>
      <c r="M13" s="203">
        <v>4</v>
      </c>
      <c r="N13" s="203">
        <v>7</v>
      </c>
      <c r="O13" s="203">
        <v>5</v>
      </c>
      <c r="P13" s="203">
        <v>7</v>
      </c>
      <c r="Q13" s="203">
        <v>5</v>
      </c>
      <c r="R13" s="203">
        <v>9</v>
      </c>
      <c r="S13" s="203">
        <v>6</v>
      </c>
      <c r="T13" s="203">
        <v>10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100</v>
      </c>
      <c r="AH13" s="203">
        <v>120.00095</v>
      </c>
      <c r="AI13" s="203" t="s">
        <v>687</v>
      </c>
      <c r="AJ13" s="203">
        <v>0</v>
      </c>
      <c r="AK13" s="203">
        <v>-7</v>
      </c>
      <c r="AL13" s="203">
        <v>5</v>
      </c>
      <c r="AM13" s="203">
        <v>0</v>
      </c>
    </row>
    <row r="14" spans="1:156" s="203" customFormat="1" x14ac:dyDescent="0.25">
      <c r="A14" s="203" t="s">
        <v>46</v>
      </c>
      <c r="B14" s="203">
        <v>4</v>
      </c>
      <c r="C14" s="203">
        <v>2</v>
      </c>
      <c r="D14" s="203">
        <v>7</v>
      </c>
      <c r="E14" s="203">
        <v>5</v>
      </c>
      <c r="F14" s="203">
        <v>6</v>
      </c>
      <c r="G14" s="203">
        <v>4</v>
      </c>
      <c r="H14" s="203">
        <v>5</v>
      </c>
      <c r="I14" s="203">
        <v>1</v>
      </c>
      <c r="J14" s="203">
        <v>8</v>
      </c>
      <c r="K14" s="203">
        <v>6</v>
      </c>
      <c r="L14" s="203">
        <v>12</v>
      </c>
      <c r="M14" s="203">
        <v>6</v>
      </c>
      <c r="N14" s="203">
        <v>2</v>
      </c>
      <c r="O14" s="203">
        <v>5</v>
      </c>
      <c r="P14" s="203">
        <v>4</v>
      </c>
      <c r="Q14" s="203">
        <v>0</v>
      </c>
      <c r="R14" s="203">
        <v>2</v>
      </c>
      <c r="S14" s="203">
        <v>4</v>
      </c>
      <c r="T14" s="203">
        <v>3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100</v>
      </c>
      <c r="AH14" s="203">
        <v>120.00096000000001</v>
      </c>
      <c r="AI14" s="203" t="s">
        <v>353</v>
      </c>
      <c r="AJ14" s="203">
        <v>0</v>
      </c>
      <c r="AK14" s="203">
        <v>-12</v>
      </c>
      <c r="AL14" s="203">
        <v>2</v>
      </c>
      <c r="AM14" s="203">
        <v>3</v>
      </c>
    </row>
    <row r="15" spans="1:156" s="203" customFormat="1" x14ac:dyDescent="0.25">
      <c r="AH15" s="203">
        <v>121.00097</v>
      </c>
      <c r="AI15" s="203" t="s">
        <v>697</v>
      </c>
      <c r="AJ15" s="203">
        <v>0</v>
      </c>
      <c r="AK15" s="203">
        <v>-9</v>
      </c>
      <c r="AL15" s="203">
        <v>6</v>
      </c>
      <c r="AM15" s="203">
        <v>1</v>
      </c>
    </row>
    <row r="16" spans="1:156" s="203" customFormat="1" x14ac:dyDescent="0.25">
      <c r="AH16" s="203">
        <v>122.00098</v>
      </c>
      <c r="AI16" s="203" t="s">
        <v>10</v>
      </c>
      <c r="AJ16" s="203">
        <v>0</v>
      </c>
      <c r="AK16" s="203">
        <v>-10</v>
      </c>
      <c r="AL16" s="203">
        <v>8</v>
      </c>
      <c r="AM16" s="203">
        <v>1</v>
      </c>
    </row>
    <row r="17" spans="34:39" s="203" customFormat="1" x14ac:dyDescent="0.25">
      <c r="AH17" s="203">
        <v>123.00099</v>
      </c>
      <c r="AI17" s="203" t="s">
        <v>698</v>
      </c>
      <c r="AJ17" s="203">
        <v>0</v>
      </c>
      <c r="AK17" s="203">
        <v>-7</v>
      </c>
      <c r="AL17" s="203">
        <v>6</v>
      </c>
      <c r="AM17" s="203">
        <v>1</v>
      </c>
    </row>
    <row r="18" spans="34:39" s="203" customFormat="1" x14ac:dyDescent="0.25">
      <c r="AH18" s="203">
        <v>123.001</v>
      </c>
      <c r="AI18" s="203" t="s">
        <v>7</v>
      </c>
      <c r="AJ18" s="203">
        <v>0</v>
      </c>
      <c r="AK18" s="203">
        <v>-10</v>
      </c>
      <c r="AL18" s="203">
        <v>7</v>
      </c>
      <c r="AM18" s="203">
        <v>2</v>
      </c>
    </row>
    <row r="19" spans="34:39" s="203" customFormat="1" x14ac:dyDescent="0.25">
      <c r="AH19" s="203">
        <v>123.00100999999999</v>
      </c>
      <c r="AI19" s="203" t="s">
        <v>4</v>
      </c>
      <c r="AJ19" s="203">
        <v>0</v>
      </c>
      <c r="AK19" s="203">
        <v>-9</v>
      </c>
      <c r="AL19" s="203">
        <v>6</v>
      </c>
      <c r="AM19" s="203">
        <v>2</v>
      </c>
    </row>
    <row r="20" spans="34:39" s="203" customFormat="1" x14ac:dyDescent="0.25">
      <c r="AH20" s="203">
        <v>123.00102</v>
      </c>
      <c r="AI20" s="203" t="s">
        <v>340</v>
      </c>
      <c r="AJ20" s="203">
        <v>0</v>
      </c>
      <c r="AK20" s="203">
        <v>-9</v>
      </c>
      <c r="AL20" s="203">
        <v>5</v>
      </c>
      <c r="AM20" s="203">
        <v>2</v>
      </c>
    </row>
    <row r="21" spans="34:39" s="203" customFormat="1" x14ac:dyDescent="0.25">
      <c r="AH21" s="203">
        <v>124.00103</v>
      </c>
      <c r="AI21" s="203" t="s">
        <v>200</v>
      </c>
      <c r="AJ21" s="203">
        <v>0</v>
      </c>
      <c r="AK21" s="203">
        <v>-8</v>
      </c>
      <c r="AL21" s="203">
        <v>6</v>
      </c>
      <c r="AM21" s="203">
        <v>2</v>
      </c>
    </row>
    <row r="22" spans="34:39" s="203" customFormat="1" x14ac:dyDescent="0.25">
      <c r="AH22" s="203">
        <v>124.00104</v>
      </c>
      <c r="AI22" s="203" t="s">
        <v>699</v>
      </c>
      <c r="AJ22" s="203">
        <v>0</v>
      </c>
      <c r="AK22" s="203">
        <v>-12</v>
      </c>
      <c r="AL22" s="203">
        <v>6</v>
      </c>
      <c r="AM22" s="203">
        <v>4</v>
      </c>
    </row>
    <row r="23" spans="34:39" s="203" customFormat="1" x14ac:dyDescent="0.25">
      <c r="AH23" s="203">
        <v>126.00105000000001</v>
      </c>
      <c r="AI23" s="203" t="s">
        <v>197</v>
      </c>
      <c r="AJ23" s="203">
        <v>0</v>
      </c>
      <c r="AK23" s="203">
        <v>-4</v>
      </c>
      <c r="AL23" s="203">
        <v>6</v>
      </c>
      <c r="AM23" s="203">
        <v>1</v>
      </c>
    </row>
    <row r="24" spans="34:39" s="203" customFormat="1" x14ac:dyDescent="0.25">
      <c r="AH24" s="203">
        <v>126.00106</v>
      </c>
      <c r="AI24" s="203" t="s">
        <v>700</v>
      </c>
      <c r="AJ24" s="203">
        <v>0</v>
      </c>
      <c r="AK24" s="203">
        <v>-6</v>
      </c>
      <c r="AL24" s="203">
        <v>8</v>
      </c>
      <c r="AM24" s="203">
        <v>1</v>
      </c>
    </row>
    <row r="25" spans="34:39" s="203" customFormat="1" x14ac:dyDescent="0.25">
      <c r="AH25" s="203">
        <v>126.00107</v>
      </c>
      <c r="AI25" s="203" t="s">
        <v>3</v>
      </c>
      <c r="AJ25" s="203">
        <v>0</v>
      </c>
      <c r="AK25" s="203">
        <v>-12</v>
      </c>
      <c r="AL25" s="203">
        <v>7</v>
      </c>
      <c r="AM25" s="203">
        <v>4</v>
      </c>
    </row>
    <row r="26" spans="34:39" s="203" customFormat="1" x14ac:dyDescent="0.25">
      <c r="AH26" s="203">
        <v>126.00108</v>
      </c>
      <c r="AI26" s="203" t="s">
        <v>701</v>
      </c>
      <c r="AJ26" s="203">
        <v>0</v>
      </c>
      <c r="AK26" s="203">
        <v>-9</v>
      </c>
      <c r="AL26" s="203">
        <v>5</v>
      </c>
      <c r="AM26" s="203">
        <v>4</v>
      </c>
    </row>
    <row r="27" spans="34:39" s="203" customFormat="1" x14ac:dyDescent="0.25">
      <c r="AH27" s="203">
        <v>127.00109</v>
      </c>
      <c r="AI27" s="203" t="s">
        <v>341</v>
      </c>
      <c r="AJ27" s="203">
        <v>0</v>
      </c>
      <c r="AK27" s="203">
        <v>-8</v>
      </c>
      <c r="AL27" s="203">
        <v>11</v>
      </c>
      <c r="AM27" s="203">
        <v>1</v>
      </c>
    </row>
    <row r="28" spans="34:39" s="203" customFormat="1" x14ac:dyDescent="0.25">
      <c r="AH28" s="203">
        <v>128.00110000000001</v>
      </c>
      <c r="AI28" s="203" t="s">
        <v>702</v>
      </c>
      <c r="AJ28" s="203">
        <v>0</v>
      </c>
      <c r="AK28" s="203">
        <v>-4</v>
      </c>
      <c r="AL28" s="203">
        <v>8</v>
      </c>
      <c r="AM28" s="203">
        <v>1</v>
      </c>
    </row>
    <row r="29" spans="34:39" s="203" customFormat="1" x14ac:dyDescent="0.25">
      <c r="AH29" s="203">
        <v>128.00111000000001</v>
      </c>
      <c r="AI29" s="203" t="s">
        <v>11</v>
      </c>
      <c r="AJ29" s="203">
        <v>0</v>
      </c>
      <c r="AK29" s="203">
        <v>-8</v>
      </c>
      <c r="AL29" s="203">
        <v>10</v>
      </c>
      <c r="AM29" s="203">
        <v>2</v>
      </c>
    </row>
    <row r="30" spans="34:39" s="203" customFormat="1" x14ac:dyDescent="0.25">
      <c r="AH30" s="203">
        <v>128.00111999999999</v>
      </c>
      <c r="AI30" s="203" t="s">
        <v>458</v>
      </c>
      <c r="AJ30" s="203">
        <v>0</v>
      </c>
      <c r="AK30" s="203">
        <v>-7</v>
      </c>
      <c r="AL30" s="203">
        <v>8</v>
      </c>
      <c r="AM30" s="203">
        <v>2</v>
      </c>
    </row>
    <row r="31" spans="34:39" s="203" customFormat="1" x14ac:dyDescent="0.25">
      <c r="AH31" s="203">
        <v>128.00112999999999</v>
      </c>
      <c r="AI31" s="203" t="s">
        <v>334</v>
      </c>
      <c r="AJ31" s="203">
        <v>0</v>
      </c>
      <c r="AK31" s="203">
        <v>-7</v>
      </c>
      <c r="AL31" s="203">
        <v>9</v>
      </c>
      <c r="AM31" s="203">
        <v>2</v>
      </c>
    </row>
    <row r="32" spans="34:39" s="203" customFormat="1" x14ac:dyDescent="0.25">
      <c r="AH32" s="203">
        <v>129.00113999999999</v>
      </c>
      <c r="AI32" s="203" t="s">
        <v>703</v>
      </c>
      <c r="AJ32" s="203">
        <v>0</v>
      </c>
      <c r="AK32" s="203">
        <v>-3</v>
      </c>
      <c r="AL32" s="203">
        <v>4</v>
      </c>
      <c r="AM32" s="203">
        <v>3</v>
      </c>
    </row>
    <row r="33" spans="34:39" s="203" customFormat="1" x14ac:dyDescent="0.25">
      <c r="AH33" s="203">
        <v>129.00115</v>
      </c>
      <c r="AI33" s="203" t="s">
        <v>410</v>
      </c>
      <c r="AJ33" s="203">
        <v>0</v>
      </c>
      <c r="AK33" s="203">
        <v>-6</v>
      </c>
      <c r="AL33" s="203">
        <v>10</v>
      </c>
      <c r="AM33" s="203">
        <v>1</v>
      </c>
    </row>
    <row r="34" spans="34:39" s="203" customFormat="1" x14ac:dyDescent="0.25">
      <c r="AH34" s="203">
        <v>130.00116</v>
      </c>
      <c r="AI34" s="203" t="s">
        <v>455</v>
      </c>
      <c r="AJ34" s="203">
        <v>0</v>
      </c>
      <c r="AK34" s="203">
        <v>-4</v>
      </c>
      <c r="AL34" s="203">
        <v>8</v>
      </c>
      <c r="AM34" s="203">
        <v>2</v>
      </c>
    </row>
    <row r="35" spans="34:39" s="203" customFormat="1" x14ac:dyDescent="0.25">
      <c r="AH35" s="203">
        <v>130.00117</v>
      </c>
      <c r="AI35" s="203" t="s">
        <v>704</v>
      </c>
      <c r="AJ35" s="203">
        <v>0</v>
      </c>
      <c r="AK35" s="203">
        <v>-4</v>
      </c>
      <c r="AL35" s="203">
        <v>10</v>
      </c>
      <c r="AM35" s="203">
        <v>1</v>
      </c>
    </row>
    <row r="36" spans="34:39" s="203" customFormat="1" x14ac:dyDescent="0.25">
      <c r="AH36" s="203">
        <v>131.00118000000001</v>
      </c>
      <c r="AI36" s="203" t="s">
        <v>19</v>
      </c>
      <c r="AJ36" s="203">
        <v>0</v>
      </c>
      <c r="AK36" s="203">
        <v>-4</v>
      </c>
      <c r="AL36" s="203">
        <v>9</v>
      </c>
      <c r="AM36" s="203">
        <v>2</v>
      </c>
    </row>
    <row r="37" spans="34:39" s="203" customFormat="1" x14ac:dyDescent="0.25">
      <c r="AH37" s="203">
        <v>131.00119000000001</v>
      </c>
      <c r="AI37" s="203" t="s">
        <v>705</v>
      </c>
      <c r="AJ37" s="203">
        <v>0</v>
      </c>
      <c r="AK37" s="203">
        <v>-2</v>
      </c>
      <c r="AL37" s="203">
        <v>9</v>
      </c>
      <c r="AM37" s="203">
        <v>1</v>
      </c>
    </row>
    <row r="38" spans="34:39" s="203" customFormat="1" x14ac:dyDescent="0.25">
      <c r="AH38" s="203">
        <v>132.00120000000001</v>
      </c>
      <c r="AI38" s="203" t="s">
        <v>348</v>
      </c>
      <c r="AJ38" s="203">
        <v>0</v>
      </c>
      <c r="AK38" s="203">
        <v>-5</v>
      </c>
      <c r="AL38" s="203">
        <v>7</v>
      </c>
      <c r="AM38" s="203">
        <v>4</v>
      </c>
    </row>
    <row r="39" spans="34:39" s="203" customFormat="1" x14ac:dyDescent="0.25">
      <c r="AH39" s="203">
        <v>132.00120999999999</v>
      </c>
      <c r="AI39" s="203" t="s">
        <v>539</v>
      </c>
      <c r="AJ39" s="203">
        <v>0</v>
      </c>
      <c r="AK39" s="203">
        <v>-5</v>
      </c>
      <c r="AL39" s="203">
        <v>9</v>
      </c>
      <c r="AM39" s="203">
        <v>3</v>
      </c>
    </row>
    <row r="40" spans="34:39" s="203" customFormat="1" x14ac:dyDescent="0.25">
      <c r="AH40" s="203">
        <v>132.00121999999999</v>
      </c>
      <c r="AI40" s="203" t="s">
        <v>464</v>
      </c>
      <c r="AJ40" s="203">
        <v>0</v>
      </c>
      <c r="AK40" s="203">
        <v>-5</v>
      </c>
      <c r="AL40" s="203">
        <v>10</v>
      </c>
      <c r="AM40" s="203">
        <v>2</v>
      </c>
    </row>
    <row r="41" spans="34:39" s="203" customFormat="1" x14ac:dyDescent="0.25">
      <c r="AH41" s="203">
        <v>132.00122999999999</v>
      </c>
      <c r="AI41" s="203" t="s">
        <v>706</v>
      </c>
      <c r="AJ41" s="203">
        <v>0</v>
      </c>
      <c r="AK41" s="203">
        <v>-4</v>
      </c>
      <c r="AL41" s="203">
        <v>8</v>
      </c>
      <c r="AM41" s="203">
        <v>3</v>
      </c>
    </row>
    <row r="42" spans="34:39" s="203" customFormat="1" x14ac:dyDescent="0.25">
      <c r="AH42" s="203">
        <v>132.00124</v>
      </c>
      <c r="AI42" s="203" t="s">
        <v>707</v>
      </c>
      <c r="AJ42" s="203">
        <v>0</v>
      </c>
      <c r="AK42" s="203">
        <v>-4</v>
      </c>
      <c r="AL42" s="203">
        <v>12</v>
      </c>
      <c r="AM42" s="203">
        <v>1</v>
      </c>
    </row>
    <row r="43" spans="34:39" s="203" customFormat="1" x14ac:dyDescent="0.25">
      <c r="AH43" s="203">
        <v>134.00125</v>
      </c>
      <c r="AI43" s="203" t="s">
        <v>708</v>
      </c>
      <c r="AJ43" s="203">
        <v>0</v>
      </c>
      <c r="AK43" s="203">
        <v>-6</v>
      </c>
      <c r="AL43" s="203">
        <v>12</v>
      </c>
      <c r="AM43" s="203">
        <v>3</v>
      </c>
    </row>
    <row r="44" spans="34:39" s="203" customFormat="1" x14ac:dyDescent="0.25">
      <c r="AH44" s="203">
        <v>134.00126</v>
      </c>
      <c r="AI44" s="203" t="s">
        <v>709</v>
      </c>
      <c r="AJ44" s="203">
        <v>0</v>
      </c>
      <c r="AK44" s="203">
        <v>-3</v>
      </c>
      <c r="AL44" s="203">
        <v>9</v>
      </c>
      <c r="AM44" s="203">
        <v>3</v>
      </c>
    </row>
    <row r="45" spans="34:39" s="203" customFormat="1" x14ac:dyDescent="0.25">
      <c r="AH45" s="203">
        <v>135.00127000000001</v>
      </c>
      <c r="AI45" s="203" t="s">
        <v>710</v>
      </c>
      <c r="AJ45" s="203">
        <v>0</v>
      </c>
      <c r="AK45" s="203">
        <v>-3</v>
      </c>
      <c r="AL45" s="203">
        <v>9</v>
      </c>
      <c r="AM45" s="203">
        <v>3</v>
      </c>
    </row>
    <row r="46" spans="34:39" s="203" customFormat="1" x14ac:dyDescent="0.25">
      <c r="AH46" s="203">
        <v>136.00128000000001</v>
      </c>
      <c r="AI46" s="203" t="s">
        <v>207</v>
      </c>
      <c r="AJ46" s="203">
        <v>0</v>
      </c>
      <c r="AK46" s="203">
        <v>-4</v>
      </c>
      <c r="AL46" s="203">
        <v>8</v>
      </c>
      <c r="AM46" s="203">
        <v>5</v>
      </c>
    </row>
    <row r="47" spans="34:39" s="203" customFormat="1" x14ac:dyDescent="0.25">
      <c r="AH47" s="203">
        <v>138.00129000000001</v>
      </c>
      <c r="AI47" s="203" t="s">
        <v>711</v>
      </c>
      <c r="AJ47" s="203">
        <v>0</v>
      </c>
      <c r="AK47" s="203">
        <v>-3</v>
      </c>
      <c r="AL47" s="203">
        <v>13</v>
      </c>
      <c r="AM47" s="203">
        <v>3</v>
      </c>
    </row>
    <row r="48" spans="34:39" s="203" customFormat="1" x14ac:dyDescent="0.25">
      <c r="AH48" s="203">
        <v>139.00129999999999</v>
      </c>
      <c r="AI48" s="203" t="s">
        <v>690</v>
      </c>
      <c r="AJ48" s="203">
        <v>0</v>
      </c>
      <c r="AK48" s="203">
        <v>-1</v>
      </c>
      <c r="AL48" s="203">
        <v>8</v>
      </c>
      <c r="AM48" s="203">
        <v>5</v>
      </c>
    </row>
    <row r="49" spans="34:39" s="203" customFormat="1" x14ac:dyDescent="0.25">
      <c r="AH49" s="203">
        <v>140.00130999999999</v>
      </c>
      <c r="AI49" s="203" t="s">
        <v>712</v>
      </c>
      <c r="AJ49" s="203">
        <v>0</v>
      </c>
      <c r="AK49" s="203">
        <v>-4</v>
      </c>
      <c r="AL49" s="203">
        <v>15</v>
      </c>
      <c r="AM49" s="203">
        <v>3</v>
      </c>
    </row>
    <row r="50" spans="34:39" s="203" customFormat="1" x14ac:dyDescent="0.25">
      <c r="AH50" s="203">
        <v>141.00131999999999</v>
      </c>
      <c r="AI50" s="203" t="s">
        <v>713</v>
      </c>
      <c r="AJ50" s="203">
        <v>0</v>
      </c>
      <c r="AK50" s="203">
        <v>-1</v>
      </c>
      <c r="AL50" s="203">
        <v>17</v>
      </c>
      <c r="AM50" s="203">
        <v>1</v>
      </c>
    </row>
    <row r="51" spans="34:39" s="203" customFormat="1" x14ac:dyDescent="0.25">
      <c r="AH51" s="203">
        <v>143.00133</v>
      </c>
      <c r="AI51" s="203" t="s">
        <v>691</v>
      </c>
      <c r="AJ51" s="203">
        <v>0</v>
      </c>
      <c r="AK51" s="203">
        <v>-1</v>
      </c>
      <c r="AL51" s="203">
        <v>12</v>
      </c>
      <c r="AM51" s="203">
        <v>5</v>
      </c>
    </row>
    <row r="52" spans="34:39" s="203" customFormat="1" x14ac:dyDescent="0.25">
      <c r="AH52" s="203">
        <v>143.00134</v>
      </c>
      <c r="AI52" s="203" t="s">
        <v>420</v>
      </c>
      <c r="AJ52" s="203">
        <v>0</v>
      </c>
      <c r="AK52" s="203">
        <v>-2</v>
      </c>
      <c r="AL52" s="203">
        <v>14</v>
      </c>
      <c r="AM52" s="203">
        <v>4</v>
      </c>
    </row>
    <row r="53" spans="34:39" s="203" customFormat="1" x14ac:dyDescent="0.25">
      <c r="AH53" s="203">
        <v>144.00135</v>
      </c>
      <c r="AI53" s="203" t="s">
        <v>571</v>
      </c>
      <c r="AJ53" s="203">
        <v>0</v>
      </c>
      <c r="AK53" s="203">
        <v>-1</v>
      </c>
      <c r="AL53" s="203">
        <v>11</v>
      </c>
      <c r="AM53" s="203">
        <v>5</v>
      </c>
    </row>
    <row r="54" spans="34:39" s="203" customFormat="1" x14ac:dyDescent="0.25">
      <c r="AH54" s="203">
        <v>145.00136000000001</v>
      </c>
      <c r="AI54" s="203" t="s">
        <v>486</v>
      </c>
      <c r="AJ54" s="203">
        <v>0</v>
      </c>
      <c r="AK54" s="203">
        <v>-1</v>
      </c>
      <c r="AL54" s="203">
        <v>14</v>
      </c>
      <c r="AM54" s="203">
        <v>5</v>
      </c>
    </row>
    <row r="55" spans="34:39" s="203" customFormat="1" x14ac:dyDescent="0.25">
      <c r="AH55" s="203">
        <v>146.00137000000001</v>
      </c>
      <c r="AI55" s="203" t="s">
        <v>13</v>
      </c>
      <c r="AJ55" s="203">
        <v>0</v>
      </c>
      <c r="AK55" s="203">
        <v>-3</v>
      </c>
      <c r="AL55" s="203">
        <v>14</v>
      </c>
      <c r="AM55" s="203">
        <v>6</v>
      </c>
    </row>
    <row r="56" spans="34:39" s="203" customFormat="1" x14ac:dyDescent="0.25">
      <c r="AH56" s="203">
        <v>146.00138000000001</v>
      </c>
      <c r="AI56" s="203" t="s">
        <v>456</v>
      </c>
      <c r="AJ56" s="203">
        <v>0</v>
      </c>
      <c r="AK56" s="203">
        <v>-2</v>
      </c>
      <c r="AL56" s="203">
        <v>14</v>
      </c>
      <c r="AM56" s="203">
        <v>6</v>
      </c>
    </row>
    <row r="57" spans="34:39" s="203" customFormat="1" x14ac:dyDescent="0.25">
      <c r="AH57" s="203">
        <v>146.00138999999999</v>
      </c>
      <c r="AI57" s="203" t="s">
        <v>577</v>
      </c>
      <c r="AJ57" s="203">
        <v>0</v>
      </c>
      <c r="AK57" s="203">
        <v>-1</v>
      </c>
      <c r="AL57" s="203">
        <v>14</v>
      </c>
      <c r="AM57" s="203">
        <v>5</v>
      </c>
    </row>
    <row r="58" spans="34:39" s="203" customFormat="1" x14ac:dyDescent="0.25">
      <c r="AH58" s="203">
        <v>146.00139999999999</v>
      </c>
      <c r="AI58" s="203" t="s">
        <v>714</v>
      </c>
      <c r="AJ58" s="203">
        <v>0</v>
      </c>
      <c r="AK58" s="203">
        <v>-2</v>
      </c>
      <c r="AL58" s="203">
        <v>15</v>
      </c>
      <c r="AM58" s="203">
        <v>5</v>
      </c>
    </row>
    <row r="59" spans="34:39" s="203" customFormat="1" x14ac:dyDescent="0.25">
      <c r="AH59" s="203">
        <v>147.00140999999999</v>
      </c>
      <c r="AI59" s="203" t="s">
        <v>411</v>
      </c>
      <c r="AJ59" s="203">
        <v>0</v>
      </c>
      <c r="AK59" s="203">
        <v>-3</v>
      </c>
      <c r="AL59" s="203">
        <v>11</v>
      </c>
      <c r="AM59" s="203">
        <v>8</v>
      </c>
    </row>
    <row r="60" spans="34:39" s="203" customFormat="1" x14ac:dyDescent="0.25">
      <c r="AH60" s="203">
        <v>147.00142</v>
      </c>
      <c r="AI60" s="203" t="s">
        <v>447</v>
      </c>
      <c r="AJ60" s="203">
        <v>0</v>
      </c>
      <c r="AL60" s="203">
        <v>16</v>
      </c>
      <c r="AM60" s="203">
        <v>4</v>
      </c>
    </row>
    <row r="61" spans="34:39" s="203" customFormat="1" x14ac:dyDescent="0.25">
      <c r="AH61" s="203">
        <v>147.00143</v>
      </c>
      <c r="AI61" s="203" t="s">
        <v>408</v>
      </c>
      <c r="AJ61" s="203">
        <v>0</v>
      </c>
      <c r="AK61" s="203">
        <v>-5</v>
      </c>
      <c r="AL61" s="203">
        <v>12</v>
      </c>
      <c r="AM61" s="203">
        <v>6</v>
      </c>
    </row>
    <row r="62" spans="34:39" s="203" customFormat="1" x14ac:dyDescent="0.25">
      <c r="AH62" s="203">
        <v>149.00144</v>
      </c>
      <c r="AI62" s="203" t="s">
        <v>445</v>
      </c>
      <c r="AJ62" s="203">
        <v>0</v>
      </c>
      <c r="AL62" s="203">
        <v>16</v>
      </c>
      <c r="AM62" s="203">
        <v>5</v>
      </c>
    </row>
    <row r="63" spans="34:39" s="203" customFormat="1" x14ac:dyDescent="0.25">
      <c r="AH63" s="203">
        <v>149.00145000000001</v>
      </c>
      <c r="AI63" s="203" t="s">
        <v>212</v>
      </c>
      <c r="AJ63" s="203">
        <v>0</v>
      </c>
      <c r="AK63" s="203">
        <v>-2</v>
      </c>
      <c r="AL63" s="203">
        <v>15</v>
      </c>
      <c r="AM63" s="203">
        <v>6</v>
      </c>
    </row>
    <row r="64" spans="34:39" s="203" customFormat="1" x14ac:dyDescent="0.25">
      <c r="AH64" s="203">
        <v>150.00146000000001</v>
      </c>
      <c r="AI64" s="203" t="s">
        <v>591</v>
      </c>
      <c r="AJ64" s="203">
        <v>0</v>
      </c>
      <c r="AK64" s="203">
        <v>-1</v>
      </c>
      <c r="AL64" s="203">
        <v>19</v>
      </c>
      <c r="AM64" s="203">
        <v>4</v>
      </c>
    </row>
    <row r="65" spans="34:39" s="203" customFormat="1" x14ac:dyDescent="0.25">
      <c r="AH65" s="203">
        <v>151.00147000000001</v>
      </c>
      <c r="AI65" s="203" t="s">
        <v>210</v>
      </c>
      <c r="AJ65" s="203">
        <v>0</v>
      </c>
      <c r="AK65" s="203">
        <v>-2</v>
      </c>
      <c r="AL65" s="203">
        <v>20</v>
      </c>
      <c r="AM65" s="203">
        <v>5</v>
      </c>
    </row>
    <row r="66" spans="34:39" s="203" customFormat="1" x14ac:dyDescent="0.25">
      <c r="AH66" s="203">
        <v>151.00147999999999</v>
      </c>
      <c r="AI66" s="203" t="s">
        <v>715</v>
      </c>
      <c r="AJ66" s="203">
        <v>0</v>
      </c>
      <c r="AK66" s="203">
        <v>-3</v>
      </c>
      <c r="AL66" s="203">
        <v>12</v>
      </c>
      <c r="AM66" s="203">
        <v>8</v>
      </c>
    </row>
    <row r="67" spans="34:39" s="203" customFormat="1" x14ac:dyDescent="0.25">
      <c r="AH67" s="203">
        <v>152.00148999999999</v>
      </c>
      <c r="AI67" s="203" t="s">
        <v>716</v>
      </c>
      <c r="AJ67" s="203">
        <v>0</v>
      </c>
      <c r="AK67" s="203">
        <v>-4</v>
      </c>
      <c r="AL67" s="203">
        <v>16</v>
      </c>
      <c r="AM67" s="203">
        <v>8</v>
      </c>
    </row>
    <row r="68" spans="34:39" s="203" customFormat="1" x14ac:dyDescent="0.25">
      <c r="AH68" s="203">
        <v>154.00149999999999</v>
      </c>
      <c r="AI68" s="203" t="s">
        <v>688</v>
      </c>
      <c r="AJ68" s="203">
        <v>0</v>
      </c>
      <c r="AL68" s="203">
        <v>11</v>
      </c>
      <c r="AM68" s="203">
        <v>10</v>
      </c>
    </row>
    <row r="69" spans="34:39" s="203" customFormat="1" x14ac:dyDescent="0.25">
      <c r="AH69" s="203">
        <v>155.00151</v>
      </c>
      <c r="AI69" s="203" t="s">
        <v>717</v>
      </c>
      <c r="AJ69" s="203">
        <v>0</v>
      </c>
      <c r="AK69" s="203">
        <v>-1</v>
      </c>
      <c r="AL69" s="203">
        <v>13</v>
      </c>
      <c r="AM69" s="203">
        <v>10</v>
      </c>
    </row>
    <row r="70" spans="34:39" s="203" customFormat="1" x14ac:dyDescent="0.25">
      <c r="AH70" s="203">
        <v>155.00152</v>
      </c>
      <c r="AI70" s="203" t="s">
        <v>416</v>
      </c>
      <c r="AJ70" s="203">
        <v>0</v>
      </c>
      <c r="AK70" s="203">
        <v>-2</v>
      </c>
      <c r="AL70" s="203">
        <v>13</v>
      </c>
      <c r="AM70" s="203">
        <v>9</v>
      </c>
    </row>
    <row r="71" spans="34:39" s="203" customFormat="1" x14ac:dyDescent="0.25">
      <c r="AH71" s="203">
        <v>159.00153</v>
      </c>
      <c r="AI71" s="203" t="s">
        <v>718</v>
      </c>
      <c r="AJ71" s="203">
        <v>0</v>
      </c>
      <c r="AK71" s="203">
        <v>-1</v>
      </c>
      <c r="AL71" s="203">
        <v>13</v>
      </c>
      <c r="AM71" s="203">
        <v>10</v>
      </c>
    </row>
    <row r="72" spans="34:39" s="203" customFormat="1" x14ac:dyDescent="0.25">
      <c r="AH72" s="203">
        <v>162.00154000000001</v>
      </c>
      <c r="AI72" s="203" t="s">
        <v>418</v>
      </c>
      <c r="AJ72" s="203">
        <v>0</v>
      </c>
      <c r="AK72" s="203">
        <v>-1</v>
      </c>
      <c r="AL72" s="203">
        <v>17</v>
      </c>
      <c r="AM72" s="203">
        <v>11</v>
      </c>
    </row>
    <row r="73" spans="34:39" s="203" customFormat="1" x14ac:dyDescent="0.25">
      <c r="AH73" s="203">
        <v>162.00155000000001</v>
      </c>
      <c r="AI73" s="203" t="s">
        <v>692</v>
      </c>
      <c r="AJ73" s="203">
        <v>0</v>
      </c>
      <c r="AK73" s="203">
        <v>-1</v>
      </c>
      <c r="AL73" s="203">
        <v>14</v>
      </c>
      <c r="AM73" s="203">
        <v>12</v>
      </c>
    </row>
    <row r="74" spans="34:39" s="203" customFormat="1" x14ac:dyDescent="0.25">
      <c r="AH74" s="203">
        <v>164.00156000000001</v>
      </c>
      <c r="AI74" s="203" t="s">
        <v>719</v>
      </c>
      <c r="AJ74" s="203">
        <v>0</v>
      </c>
      <c r="AK74" s="203">
        <v>-1</v>
      </c>
      <c r="AL74" s="203">
        <v>15</v>
      </c>
      <c r="AM74" s="203">
        <v>11</v>
      </c>
    </row>
    <row r="75" spans="34:39" s="203" customFormat="1" x14ac:dyDescent="0.25">
      <c r="AH75" s="203">
        <v>164.00156999999999</v>
      </c>
      <c r="AI75" s="203" t="s">
        <v>621</v>
      </c>
      <c r="AJ75" s="203">
        <v>0</v>
      </c>
      <c r="AK75" s="203">
        <v>-1</v>
      </c>
      <c r="AL75" s="203">
        <v>19</v>
      </c>
      <c r="AM75" s="203">
        <v>9</v>
      </c>
    </row>
    <row r="76" spans="34:39" s="203" customFormat="1" x14ac:dyDescent="0.25">
      <c r="AH76" s="203">
        <v>177.00157999999999</v>
      </c>
      <c r="AI76" s="203" t="s">
        <v>370</v>
      </c>
      <c r="AJ76" s="203">
        <v>0</v>
      </c>
      <c r="AK76" s="203">
        <v>-2</v>
      </c>
      <c r="AL76" s="203">
        <v>15</v>
      </c>
      <c r="AM76" s="203">
        <v>18</v>
      </c>
    </row>
    <row r="77" spans="34:39" s="203" customFormat="1" x14ac:dyDescent="0.25">
      <c r="AH77" s="203">
        <v>201.00158999999999</v>
      </c>
      <c r="AI77" s="203" t="s">
        <v>720</v>
      </c>
      <c r="AJ77" s="203">
        <v>0</v>
      </c>
      <c r="AK77" s="203">
        <v>-1</v>
      </c>
      <c r="AL77" s="203">
        <v>9</v>
      </c>
      <c r="AM77" s="203">
        <v>27</v>
      </c>
    </row>
    <row r="78" spans="34:39" s="203" customFormat="1" x14ac:dyDescent="0.25">
      <c r="AH78" s="203">
        <v>1065.00161</v>
      </c>
      <c r="AI78" s="203" t="s">
        <v>722</v>
      </c>
      <c r="AJ78" s="203">
        <v>0</v>
      </c>
      <c r="AK78" s="203">
        <v>-3</v>
      </c>
      <c r="AL78" s="203">
        <v>5</v>
      </c>
      <c r="AM78" s="203">
        <v>1</v>
      </c>
    </row>
    <row r="79" spans="34:39" s="203" customFormat="1" x14ac:dyDescent="0.25">
      <c r="AH79" s="203">
        <v>1077.0016000000001</v>
      </c>
      <c r="AI79" s="203" t="s">
        <v>721</v>
      </c>
      <c r="AJ79" s="203">
        <v>0</v>
      </c>
      <c r="AL79" s="203">
        <v>14</v>
      </c>
      <c r="AM79" s="203">
        <v>6</v>
      </c>
    </row>
    <row r="80" spans="34:39" s="203" customFormat="1" x14ac:dyDescent="0.25">
      <c r="AH80" s="203">
        <v>1998.00162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1998.00163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1998.00164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1998.0016499999999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1998.0016599999999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1998.0016700000001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1998.0016800000001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1998.0016900000001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1998.0017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1998.00171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1998.00172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1998.00173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1998.0017399999999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1998.0017499999999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1998.0017600000001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1998.0017700000001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1998.0017800000001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1998.00179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1998.0018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1998.00181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1998.00182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1998.0018299999999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1998.0018399999999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1998.0018500000001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1998.0018600000001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1998.0018700000001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1998.00188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1998.00189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1998.0019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4" customWidth="1"/>
    <col min="51" max="89" width="11.42578125" style="203"/>
  </cols>
  <sheetData>
    <row r="1" spans="1:89" ht="15.75" thickBot="1" x14ac:dyDescent="0.3">
      <c r="A1" s="149" t="s">
        <v>36</v>
      </c>
      <c r="B1" s="421" t="s">
        <v>99</v>
      </c>
      <c r="C1" s="421"/>
      <c r="D1" s="421"/>
      <c r="E1" s="421"/>
      <c r="F1" s="421"/>
      <c r="G1" s="421"/>
      <c r="H1" s="422"/>
      <c r="I1" s="423" t="s">
        <v>100</v>
      </c>
      <c r="J1" s="424"/>
      <c r="K1" s="424"/>
      <c r="L1" s="424"/>
      <c r="M1" s="424"/>
      <c r="N1" s="424"/>
      <c r="O1" s="425"/>
      <c r="V1" s="260"/>
      <c r="W1" s="271"/>
      <c r="X1" s="400" t="s">
        <v>29</v>
      </c>
      <c r="Y1" s="400" t="s">
        <v>30</v>
      </c>
      <c r="Z1" s="400" t="s">
        <v>31</v>
      </c>
      <c r="AA1" s="400" t="s">
        <v>32</v>
      </c>
      <c r="AB1" s="400" t="s">
        <v>33</v>
      </c>
      <c r="AC1" s="208" t="s">
        <v>47</v>
      </c>
      <c r="AD1" s="208" t="s">
        <v>45</v>
      </c>
      <c r="AE1" s="208" t="s">
        <v>23</v>
      </c>
      <c r="AF1" s="213" t="s">
        <v>27</v>
      </c>
      <c r="AG1" s="203" t="s">
        <v>101</v>
      </c>
      <c r="AH1" s="203" t="s">
        <v>111</v>
      </c>
      <c r="AI1" s="203" t="s">
        <v>156</v>
      </c>
      <c r="AJ1" s="400" t="s">
        <v>47</v>
      </c>
      <c r="AK1" s="400" t="s">
        <v>45</v>
      </c>
      <c r="AL1" s="400" t="s">
        <v>23</v>
      </c>
      <c r="AM1" s="400" t="s">
        <v>27</v>
      </c>
      <c r="AN1" s="400" t="s">
        <v>101</v>
      </c>
      <c r="AO1" s="400" t="s">
        <v>111</v>
      </c>
      <c r="AP1" s="400" t="s">
        <v>156</v>
      </c>
      <c r="AQ1" s="345"/>
    </row>
    <row r="2" spans="1:89" s="80" customFormat="1" ht="59.25" customHeight="1" thickBot="1" x14ac:dyDescent="0.3">
      <c r="A2" s="151">
        <v>1</v>
      </c>
      <c r="B2" s="410" t="s">
        <v>47</v>
      </c>
      <c r="C2" s="412" t="s">
        <v>45</v>
      </c>
      <c r="D2" s="412" t="s">
        <v>23</v>
      </c>
      <c r="E2" s="412" t="s">
        <v>27</v>
      </c>
      <c r="F2" s="415" t="s">
        <v>101</v>
      </c>
      <c r="G2" s="415" t="s">
        <v>111</v>
      </c>
      <c r="H2" s="413" t="s">
        <v>112</v>
      </c>
      <c r="I2" s="417" t="s">
        <v>47</v>
      </c>
      <c r="J2" s="406" t="s">
        <v>45</v>
      </c>
      <c r="K2" s="406" t="s">
        <v>23</v>
      </c>
      <c r="L2" s="406" t="s">
        <v>27</v>
      </c>
      <c r="M2" s="408" t="s">
        <v>101</v>
      </c>
      <c r="N2" s="408" t="s">
        <v>111</v>
      </c>
      <c r="O2" s="419" t="s">
        <v>112</v>
      </c>
      <c r="P2" s="214"/>
      <c r="Q2" s="214"/>
      <c r="R2" s="214"/>
      <c r="S2" s="214"/>
      <c r="T2" s="214"/>
      <c r="U2" s="215"/>
      <c r="V2" s="259"/>
      <c r="W2" s="272" t="s">
        <v>127</v>
      </c>
      <c r="X2" s="400"/>
      <c r="Y2" s="400"/>
      <c r="Z2" s="400"/>
      <c r="AA2" s="400"/>
      <c r="AB2" s="400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400"/>
      <c r="AK2" s="400"/>
      <c r="AL2" s="400"/>
      <c r="AM2" s="400"/>
      <c r="AN2" s="400"/>
      <c r="AO2" s="400"/>
      <c r="AP2" s="400"/>
      <c r="AQ2" s="345" t="s">
        <v>186</v>
      </c>
      <c r="AR2" s="204" t="s">
        <v>63</v>
      </c>
      <c r="AS2" s="273" t="s">
        <v>56</v>
      </c>
      <c r="AT2" s="273" t="s">
        <v>196</v>
      </c>
      <c r="AU2" s="273" t="s">
        <v>55</v>
      </c>
      <c r="AV2" s="204" t="s">
        <v>188</v>
      </c>
      <c r="AW2" s="204" t="s">
        <v>187</v>
      </c>
      <c r="AX2" s="34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11"/>
      <c r="C3" s="411"/>
      <c r="D3" s="411"/>
      <c r="E3" s="411"/>
      <c r="F3" s="416"/>
      <c r="G3" s="416"/>
      <c r="H3" s="414"/>
      <c r="I3" s="418"/>
      <c r="J3" s="407"/>
      <c r="K3" s="407"/>
      <c r="L3" s="407"/>
      <c r="M3" s="409"/>
      <c r="N3" s="409"/>
      <c r="O3" s="420"/>
      <c r="P3" s="214"/>
      <c r="Q3" s="214"/>
      <c r="R3" s="214"/>
      <c r="S3" s="214"/>
      <c r="T3" s="214"/>
      <c r="U3" s="215"/>
      <c r="V3" s="259"/>
      <c r="W3" s="213" t="str">
        <f>Data!DT91</f>
        <v>Otfried Derschmidt</v>
      </c>
      <c r="X3" s="215">
        <f>IF(ISERROR(INDEX(Data!$DY:$IB,MATCH($W3,Data!$DT:$DT,0),MATCH(X$1&amp;"/"&amp;$A$2,Data!$DY$1:$IB$1,0)))=TRUE,0,INDEX(Data!$DY:$IB,MATCH($W3,Data!$DT:$DT,0),MATCH(X$1&amp;"/"&amp;$A$2,Data!$DY$1:$IB$1,0)))</f>
        <v>3</v>
      </c>
      <c r="Y3" s="215">
        <f>IF(ISERROR(INDEX(Data!$DY:$IB,MATCH($W3,Data!$DT:$DT,0),MATCH(Y$1&amp;"/"&amp;$A$2,Data!$DY$1:$IB$1,0)))=TRUE,0,INDEX(Data!$DY:$IB,MATCH($W3,Data!$DT:$DT,0),MATCH(Y$1&amp;"/"&amp;$A$2,Data!$DY$1:$IB$1,0)))</f>
        <v>2</v>
      </c>
      <c r="Z3" s="215">
        <f>IF(ISERROR(INDEX(Data!$DY:$IB,MATCH($W3,Data!$DT:$DT,0),MATCH(Z$1&amp;"/"&amp;$A$2,Data!$DY$1:$IB$1,0)))=TRUE,0,INDEX(Data!$DY:$IB,MATCH($W3,Data!$DT:$DT,0),MATCH(Z$1&amp;"/"&amp;$A$2,Data!$DY$1:$IB$1,0)))</f>
        <v>0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1</v>
      </c>
      <c r="AE3" s="213">
        <f t="shared" ca="1" si="0"/>
        <v>1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/R2</v>
      </c>
      <c r="AL3" s="213" t="str">
        <f ca="1">IF(AE3=0,"",IF($X3=AE$2,"/R1","")&amp;IF($Y3=AE$2,"/R2","")&amp;IF($Z3=AE$2,"/R3","")&amp;IF($AA3=AE$2,"/F","")&amp;IF($AB3=AE$2,"/PO",""))</f>
        <v>/R1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1499M</v>
      </c>
      <c r="AR3" s="204" t="str">
        <f ca="1">IF(OFFSET($AB3,0,MATCH(A$17,AC$1:AI$1,0))=0,"",OFFSET($AB3,0,MATCH(A$17,AC$1:AI$1,0))&amp;" / "&amp;W3 &amp;" ("&amp;INDEX(Data!DX:DX,MATCH(W3,Data!DT:DT,0))&amp;")")</f>
        <v>1 / Otfried Derschmidt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R2</v>
      </c>
      <c r="AW3" s="204" t="str">
        <f t="array" aca="1" ref="AW3" ca="1">INDEX($AR$3:$AR$102,MATCH(LARGE(COUNTIF($AQ$3:$AQ$102,"&lt;"&amp;$AQ$3:$AQ$102),ROWS(AQ$3:AQ3)),COUNTIF($AQ$3:$AQ$102,"&lt;"&amp;$AQ$3:$AQ$102),0))</f>
        <v>2 / Karl Seper (15)</v>
      </c>
      <c r="AX3" s="34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114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16</v>
      </c>
      <c r="D4" s="82">
        <f ca="1">OFFSET(Data!$A$1,MATCH("# "&amp;D$2&amp;" Men",Data!$DT:$DT,0)-1,MATCH(MID($A4,3,20)&amp;"/"&amp;$A$2,Data!$1:$1,0)-1)</f>
        <v>37</v>
      </c>
      <c r="E4" s="82">
        <f ca="1">OFFSET(Data!$A$1,MATCH("# "&amp;E$2&amp;" Men",Data!$DT:$DT,0)-1,MATCH(MID($A4,3,20)&amp;"/"&amp;$A$2,Data!$1:$1,0)-1)</f>
        <v>6</v>
      </c>
      <c r="F4" s="82">
        <f ca="1">OFFSET(Data!$A$1,MATCH("# "&amp;F$2&amp;" Men",Data!$DT:$DT,0)-1,MATCH(MID($A4,3,20)&amp;"/"&amp;$A$2,Data!$1:$1,0)-1)</f>
        <v>2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1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2</v>
      </c>
      <c r="K4" s="85">
        <f ca="1">OFFSET(Data!$A$1,MATCH("# "&amp;K$2&amp;" Women",Data!$DT:$DT,0)-1,MATCH(MID($A4,3,20)&amp;"/"&amp;$A$2,Data!$1:$1,0)-1)</f>
        <v>3</v>
      </c>
      <c r="L4" s="85">
        <f ca="1">OFFSET(Data!$A$1,MATCH("# "&amp;L$2&amp;" Women",Data!$DT:$DT,0)-1,MATCH(MID($A4,3,20)&amp;"/"&amp;$A$2,Data!$1:$1,0)-1)</f>
        <v>3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1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9"/>
      <c r="W4" s="213" t="str">
        <f>Data!DT92</f>
        <v>Dani Hatvani</v>
      </c>
      <c r="X4" s="215">
        <f>IF(ISERROR(INDEX(Data!$DY:$IB,MATCH($W4,Data!$DT:$DT,0),MATCH(X$1&amp;"/"&amp;$A$2,Data!$DY$1:$IB$1,0)))=TRUE,0,INDEX(Data!$DY:$IB,MATCH($W4,Data!$DT:$DT,0),MATCH(X$1&amp;"/"&amp;$A$2,Data!$DY$1:$IB$1,0)))</f>
        <v>2</v>
      </c>
      <c r="Y4" s="215">
        <f>IF(ISERROR(INDEX(Data!$DY:$IB,MATCH($W4,Data!$DT:$DT,0),MATCH(Y$1&amp;"/"&amp;$A$2,Data!$DY$1:$IB$1,0)))=TRUE,0,INDEX(Data!$DY:$IB,MATCH($W4,Data!$DT:$DT,0),MATCH(Y$1&amp;"/"&amp;$A$2,Data!$DY$1:$IB$1,0)))</f>
        <v>4</v>
      </c>
      <c r="Z4" s="215">
        <f>IF(ISERROR(INDEX(Data!$DY:$IB,MATCH($W4,Data!$DT:$DT,0),MATCH(Z$1&amp;"/"&amp;$A$2,Data!$DY$1:$IB$1,0)))=TRUE,0,INDEX(Data!$DY:$IB,MATCH($W4,Data!$DT:$DT,0),MATCH(Z$1&amp;"/"&amp;$A$2,Data!$DY$1:$IB$1,0)))</f>
        <v>0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1</v>
      </c>
      <c r="AE4" s="213">
        <f t="shared" ca="1" si="0"/>
        <v>0</v>
      </c>
      <c r="AF4" s="213">
        <f t="shared" ca="1" si="0"/>
        <v>1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</v>
      </c>
      <c r="AL4" s="213" t="str">
        <f t="shared" ref="AL4:AL67" ca="1" si="6">IF(AE4=0,"",IF($X4=AE$2,"/R1","")&amp;IF($Y4=AE$2,"/R2","")&amp;IF($Z4=AE$2,"/R3","")&amp;IF($AA4=AE$2,"/F","")&amp;IF($AB4=AE$2,"/PO",""))</f>
        <v/>
      </c>
      <c r="AM4" s="213" t="str">
        <f t="shared" ref="AM4:AM35" ca="1" si="7">IF(AF4=0,"",IF($X4=AF$2,"/R1","")&amp;IF($Y4=AF$2,"/R2","")&amp;IF($Z4=AF$2,"/R3","")&amp;IF($AA4=AF$2,"/F","")&amp;IF($AB4=AF$2,"/PO",""))</f>
        <v>/R2</v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1498M</v>
      </c>
      <c r="AR4" s="204" t="str">
        <f ca="1">IF(OFFSET($AB4,0,MATCH(A$17,AC$1:AI$1,0))=0,"",OFFSET($AB4,0,MATCH(A$17,AC$1:AI$1,0))&amp;" / "&amp;W4 &amp;" ("&amp;INDEX(Data!DX:DX,MATCH(W4,Data!DT:DT,0))&amp;")")</f>
        <v>1 / Dani Hatvani (2)</v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>R1</v>
      </c>
      <c r="AW4" s="204" t="str">
        <f t="array" aca="1" ref="AW4" ca="1">INDEX($AR$3:$AR$102,MATCH(LARGE(COUNTIF($AQ$3:$AQ$102,"&lt;"&amp;$AQ$3:$AQ$102),ROWS(AQ$3:AQ4)),COUNTIF($AQ$3:$AQ$102,"&lt;"&amp;$AQ$3:$AQ$102),0))</f>
        <v>2 / Tamás Kovács (34)</v>
      </c>
      <c r="AX4" s="344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115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10</v>
      </c>
      <c r="D5" s="88">
        <f ca="1">OFFSET(Data!$A$1,MATCH("# "&amp;D$2&amp;" Men",Data!$DT:$DT,0)-1,MATCH(MID($A5,3,20)&amp;"/"&amp;$A$2,Data!$1:$1,0)-1)</f>
        <v>22</v>
      </c>
      <c r="E5" s="88">
        <f ca="1">OFFSET(Data!$A$1,MATCH("# "&amp;E$2&amp;" Men",Data!$DT:$DT,0)-1,MATCH(MID($A5,3,20)&amp;"/"&amp;$A$2,Data!$1:$1,0)-1)</f>
        <v>20</v>
      </c>
      <c r="F5" s="88">
        <f ca="1">OFFSET(Data!$A$1,MATCH("# "&amp;F$2&amp;" Men",Data!$DT:$DT,0)-1,MATCH(MID($A5,3,20)&amp;"/"&amp;$A$2,Data!$1:$1,0)-1)</f>
        <v>5</v>
      </c>
      <c r="G5" s="88">
        <f ca="1">OFFSET(Data!$A$1,MATCH("# "&amp;G$2&amp;" Men",Data!$DT:$DT,0)-1,MATCH(MID($A5,3,20)&amp;"/"&amp;$A$2,Data!$1:$1,0)-1)</f>
        <v>4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1</v>
      </c>
      <c r="K5" s="91">
        <f ca="1">OFFSET(Data!$A$1,MATCH("# "&amp;K$2&amp;" Women",Data!$DT:$DT,0)-1,MATCH(MID($A5,3,20)&amp;"/"&amp;$A$2,Data!$1:$1,0)-1)</f>
        <v>4</v>
      </c>
      <c r="L5" s="91">
        <f ca="1">OFFSET(Data!$A$1,MATCH("# "&amp;L$2&amp;" Women",Data!$DT:$DT,0)-1,MATCH(MID($A5,3,20)&amp;"/"&amp;$A$2,Data!$1:$1,0)-1)</f>
        <v>1</v>
      </c>
      <c r="M5" s="91">
        <f ca="1">OFFSET(Data!$A$1,MATCH("# "&amp;M$2&amp;" Women",Data!$DT:$DT,0)-1,MATCH(MID($A5,3,20)&amp;"/"&amp;$A$2,Data!$1:$1,0)-1)</f>
        <v>2</v>
      </c>
      <c r="N5" s="91">
        <f ca="1">OFFSET(Data!$A$1,MATCH("# "&amp;N$2&amp;" Women",Data!$DT:$DT,0)-1,MATCH(MID($A5,3,20)&amp;"/"&amp;$A$2,Data!$1:$1,0)-1)</f>
        <v>1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9"/>
      <c r="W5" s="213" t="str">
        <f>Data!DT93</f>
        <v>Peter Pichler</v>
      </c>
      <c r="X5" s="215">
        <f>IF(ISERROR(INDEX(Data!$DY:$IB,MATCH($W5,Data!$DT:$DT,0),MATCH(X$1&amp;"/"&amp;$A$2,Data!$DY$1:$IB$1,0)))=TRUE,0,INDEX(Data!$DY:$IB,MATCH($W5,Data!$DT:$DT,0),MATCH(X$1&amp;"/"&amp;$A$2,Data!$DY$1:$IB$1,0)))</f>
        <v>2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0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1</v>
      </c>
      <c r="AE5" s="213">
        <f t="shared" ca="1" si="0"/>
        <v>1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/R1</v>
      </c>
      <c r="AL5" s="213" t="str">
        <f t="shared" ca="1" si="6"/>
        <v>/R2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1497M</v>
      </c>
      <c r="AR5" s="204" t="str">
        <f ca="1">IF(OFFSET($AB5,0,MATCH(A$17,AC$1:AI$1,0))=0,"",OFFSET($AB5,0,MATCH(A$17,AC$1:AI$1,0))&amp;" / "&amp;W5 &amp;" ("&amp;INDEX(Data!DX:DX,MATCH(W5,Data!DT:DT,0))&amp;")")</f>
        <v>1 / Peter Pichler (3)</v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>R1</v>
      </c>
      <c r="AW5" s="204" t="str">
        <f t="array" aca="1" ref="AW5" ca="1">INDEX($AR$3:$AR$102,MATCH(LARGE(COUNTIF($AQ$3:$AQ$102,"&lt;"&amp;$AQ$3:$AQ$102),ROWS(AQ$3:AQ5)),COUNTIF($AQ$3:$AQ$102,"&lt;"&amp;$AQ$3:$AQ$102),0))</f>
        <v>1 / Otfried Derschmidt (1)</v>
      </c>
      <c r="AX5" s="344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116</v>
      </c>
      <c r="B6" s="87" t="e">
        <f ca="1">OFFSET(Data!$A$1,MATCH("# "&amp;B$2&amp;" Men",Data!$DT:$DT,0)-1,MATCH(MID($A6,3,20)&amp;"/"&amp;$A$2,Data!$1:$1,0)-1)</f>
        <v>#N/A</v>
      </c>
      <c r="C6" s="88" t="e">
        <f ca="1">OFFSET(Data!$A$1,MATCH("# "&amp;C$2&amp;" Men",Data!$DT:$DT,0)-1,MATCH(MID($A6,3,20)&amp;"/"&amp;$A$2,Data!$1:$1,0)-1)</f>
        <v>#N/A</v>
      </c>
      <c r="D6" s="88" t="e">
        <f ca="1">OFFSET(Data!$A$1,MATCH("# "&amp;D$2&amp;" Men",Data!$DT:$DT,0)-1,MATCH(MID($A6,3,20)&amp;"/"&amp;$A$2,Data!$1:$1,0)-1)</f>
        <v>#N/A</v>
      </c>
      <c r="E6" s="88" t="e">
        <f ca="1">OFFSET(Data!$A$1,MATCH("# "&amp;E$2&amp;" Men",Data!$DT:$DT,0)-1,MATCH(MID($A6,3,20)&amp;"/"&amp;$A$2,Data!$1:$1,0)-1)</f>
        <v>#N/A</v>
      </c>
      <c r="F6" s="88" t="e">
        <f ca="1">OFFSET(Data!$A$1,MATCH("# "&amp;F$2&amp;" Men",Data!$DT:$DT,0)-1,MATCH(MID($A6,3,20)&amp;"/"&amp;$A$2,Data!$1:$1,0)-1)</f>
        <v>#N/A</v>
      </c>
      <c r="G6" s="88" t="e">
        <f ca="1">OFFSET(Data!$A$1,MATCH("# "&amp;G$2&amp;" Men",Data!$DT:$DT,0)-1,MATCH(MID($A6,3,20)&amp;"/"&amp;$A$2,Data!$1:$1,0)-1)</f>
        <v>#N/A</v>
      </c>
      <c r="H6" s="89" t="e">
        <f ca="1">OFFSET(Data!$A$1,MATCH("# "&amp;H$2&amp;" Men",Data!$DT:$DT,0)-1,MATCH(MID($A6,3,20)&amp;"/"&amp;$A$2,Data!$1:$1,0)-1)</f>
        <v>#N/A</v>
      </c>
      <c r="I6" s="90" t="e">
        <f ca="1">OFFSET(Data!$A$1,MATCH("# "&amp;I$2&amp;" Women",Data!$DT:$DT,0)-1,MATCH(MID($A6,3,20)&amp;"/"&amp;$A$2,Data!$1:$1,0)-1)</f>
        <v>#N/A</v>
      </c>
      <c r="J6" s="91" t="e">
        <f ca="1">OFFSET(Data!$A$1,MATCH("# "&amp;J$2&amp;" Women",Data!$DT:$DT,0)-1,MATCH(MID($A6,3,20)&amp;"/"&amp;$A$2,Data!$1:$1,0)-1)</f>
        <v>#N/A</v>
      </c>
      <c r="K6" s="91" t="e">
        <f ca="1">OFFSET(Data!$A$1,MATCH("# "&amp;K$2&amp;" Women",Data!$DT:$DT,0)-1,MATCH(MID($A6,3,20)&amp;"/"&amp;$A$2,Data!$1:$1,0)-1)</f>
        <v>#N/A</v>
      </c>
      <c r="L6" s="91" t="e">
        <f ca="1">OFFSET(Data!$A$1,MATCH("# "&amp;L$2&amp;" Women",Data!$DT:$DT,0)-1,MATCH(MID($A6,3,20)&amp;"/"&amp;$A$2,Data!$1:$1,0)-1)</f>
        <v>#N/A</v>
      </c>
      <c r="M6" s="91" t="e">
        <f ca="1">OFFSET(Data!$A$1,MATCH("# "&amp;M$2&amp;" Women",Data!$DT:$DT,0)-1,MATCH(MID($A6,3,20)&amp;"/"&amp;$A$2,Data!$1:$1,0)-1)</f>
        <v>#N/A</v>
      </c>
      <c r="N6" s="91" t="e">
        <f ca="1">OFFSET(Data!$A$1,MATCH("# "&amp;N$2&amp;" Women",Data!$DT:$DT,0)-1,MATCH(MID($A6,3,20)&amp;"/"&amp;$A$2,Data!$1:$1,0)-1)</f>
        <v>#N/A</v>
      </c>
      <c r="O6" s="92" t="e">
        <f ca="1">OFFSET(Data!$A$1,MATCH("# "&amp;O$2&amp;" Women",Data!$DT:$DT,0)-1,MATCH(MID($A6,3,20)&amp;"/"&amp;$A$2,Data!$1:$1,0)-1)</f>
        <v>#N/A</v>
      </c>
      <c r="P6" s="203"/>
      <c r="Q6" s="203"/>
      <c r="R6" s="203"/>
      <c r="S6" s="203"/>
      <c r="T6" s="203"/>
      <c r="U6" s="215"/>
      <c r="V6" s="259"/>
      <c r="W6" s="213" t="str">
        <f>Data!DT94</f>
        <v>Bernd Wender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3</v>
      </c>
      <c r="Z6" s="215">
        <f>IF(ISERROR(INDEX(Data!$DY:$IB,MATCH($W6,Data!$DT:$DT,0),MATCH(Z$1&amp;"/"&amp;$A$2,Data!$DY$1:$IB$1,0)))=TRUE,0,INDEX(Data!$DY:$IB,MATCH($W6,Data!$DT:$DT,0),MATCH(Z$1&amp;"/"&amp;$A$2,Data!$DY$1:$IB$1,0)))</f>
        <v>0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0</v>
      </c>
      <c r="AE6" s="213">
        <f t="shared" ca="1" si="0"/>
        <v>2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/>
      </c>
      <c r="AL6" s="213" t="str">
        <f t="shared" ca="1" si="6"/>
        <v>/R1/R2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/>
      </c>
      <c r="AR6" s="204" t="str">
        <f ca="1">IF(OFFSET($AB6,0,MATCH(A$17,AC$1:AI$1,0))=0,"",OFFSET($AB6,0,MATCH(A$17,AC$1:AI$1,0))&amp;" / "&amp;W6 &amp;" ("&amp;INDEX(Data!DX:DX,MATCH(W6,Data!DT:DT,0))&amp;")")</f>
        <v/>
      </c>
      <c r="AS6" s="204">
        <f>INDEX(Data!DX:DX,MATCH(W6,Data!DT:DT,0))</f>
        <v>3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/>
      </c>
      <c r="AW6" s="204" t="str">
        <f t="array" aca="1" ref="AW6" ca="1">INDEX($AR$3:$AR$102,MATCH(LARGE(COUNTIF($AQ$3:$AQ$102,"&lt;"&amp;$AQ$3:$AQ$102),ROWS(AQ$3:AQ6)),COUNTIF($AQ$3:$AQ$102,"&lt;"&amp;$AQ$3:$AQ$102),0))</f>
        <v>1 / Dani Hatvani (2)</v>
      </c>
      <c r="AX6" s="344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117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9"/>
      <c r="W7" s="213" t="str">
        <f>Data!DT95</f>
        <v>Róbert Furka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2</v>
      </c>
      <c r="Z7" s="215">
        <f>IF(ISERROR(INDEX(Data!$DY:$IB,MATCH($W7,Data!$DT:$DT,0),MATCH(Z$1&amp;"/"&amp;$A$2,Data!$DY$1:$IB$1,0)))=TRUE,0,INDEX(Data!$DY:$IB,MATCH($W7,Data!$DT:$DT,0),MATCH(Z$1&amp;"/"&amp;$A$2,Data!$DY$1:$IB$1,0)))</f>
        <v>0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1</v>
      </c>
      <c r="AE7" s="213">
        <f t="shared" ca="1" si="0"/>
        <v>1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/R2</v>
      </c>
      <c r="AL7" s="213" t="str">
        <f t="shared" ca="1" si="6"/>
        <v>/R1</v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1495M</v>
      </c>
      <c r="AR7" s="204" t="str">
        <f ca="1">IF(OFFSET($AB7,0,MATCH(A$17,AC$1:AI$1,0))=0,"",OFFSET($AB7,0,MATCH(A$17,AC$1:AI$1,0))&amp;" / "&amp;W7 &amp;" ("&amp;INDEX(Data!DX:DX,MATCH(W7,Data!DT:DT,0))&amp;")")</f>
        <v>1 / Róbert Furka (5)</v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R2</v>
      </c>
      <c r="AW7" s="204" t="str">
        <f t="array" aca="1" ref="AW7" ca="1">INDEX($AR$3:$AR$102,MATCH(LARGE(COUNTIF($AQ$3:$AQ$102,"&lt;"&amp;$AQ$3:$AQ$102),ROWS(AQ$3:AQ7)),COUNTIF($AQ$3:$AQ$102,"&lt;"&amp;$AQ$3:$AQ$102),0))</f>
        <v>1 / Sonja Palmetshofer (3)</v>
      </c>
      <c r="AX7" s="344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118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9"/>
      <c r="W8" s="213" t="str">
        <f>Data!DT96</f>
        <v>Jakob Gusenbauer</v>
      </c>
      <c r="X8" s="215">
        <f>IF(ISERROR(INDEX(Data!$DY:$IB,MATCH($W8,Data!$DT:$DT,0),MATCH(X$1&amp;"/"&amp;$A$2,Data!$DY$1:$IB$1,0)))=TRUE,0,INDEX(Data!$DY:$IB,MATCH($W8,Data!$DT:$DT,0),MATCH(X$1&amp;"/"&amp;$A$2,Data!$DY$1:$IB$1,0)))</f>
        <v>3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0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2</v>
      </c>
      <c r="AF8" s="213">
        <f t="shared" ca="1" si="0"/>
        <v>0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/R1/R2</v>
      </c>
      <c r="AM8" s="213" t="str">
        <f t="shared" ca="1" si="7"/>
        <v/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5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/>
      </c>
      <c r="AW8" s="204" t="str">
        <f t="array" aca="1" ref="AW8" ca="1">INDEX($AR$3:$AR$102,MATCH(LARGE(COUNTIF($AQ$3:$AQ$102,"&lt;"&amp;$AQ$3:$AQ$102),ROWS(AQ$3:AQ8)),COUNTIF($AQ$3:$AQ$102,"&lt;"&amp;$AQ$3:$AQ$102),0))</f>
        <v>1 / Peter Pichler (3)</v>
      </c>
      <c r="AX8" s="344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119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26</v>
      </c>
      <c r="D9" s="106">
        <f ca="1">OFFSET(Data!$A$1,MATCH("# "&amp;D$2&amp;" Men",Data!$DT:$DT,0)-1,MATCH(MID($A9,3,20)&amp;"/"&amp;$A$2,Data!$1:$1,0)-1)</f>
        <v>59</v>
      </c>
      <c r="E9" s="106">
        <f ca="1">OFFSET(Data!$A$1,MATCH("# "&amp;E$2&amp;" Men",Data!$DT:$DT,0)-1,MATCH(MID($A9,3,20)&amp;"/"&amp;$A$2,Data!$1:$1,0)-1)</f>
        <v>26</v>
      </c>
      <c r="F9" s="106">
        <f ca="1">OFFSET(Data!$A$1,MATCH("# "&amp;F$2&amp;" Men",Data!$DT:$DT,0)-1,MATCH(MID($A9,3,20)&amp;"/"&amp;$A$2,Data!$1:$1,0)-1)</f>
        <v>7</v>
      </c>
      <c r="G9" s="106">
        <f ca="1">OFFSET(Data!$A$1,MATCH("# "&amp;G$2&amp;" Men",Data!$DT:$DT,0)-1,MATCH(MID($A9,3,20)&amp;"/"&amp;$A$2,Data!$1:$1,0)-1)</f>
        <v>4</v>
      </c>
      <c r="H9" s="107">
        <f ca="1">OFFSET(Data!$A$1,MATCH("# "&amp;H$2&amp;" Men",Data!$DT:$DT,0)-1,MATCH(MID($A9,3,20)&amp;"/"&amp;$A$2,Data!$1:$1,0)-1)</f>
        <v>1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3</v>
      </c>
      <c r="K9" s="109">
        <f ca="1">OFFSET(Data!$A$1,MATCH("# "&amp;K$2&amp;" Women",Data!$DT:$DT,0)-1,MATCH(MID($A9,3,20)&amp;"/"&amp;$A$2,Data!$1:$1,0)-1)</f>
        <v>7</v>
      </c>
      <c r="L9" s="109">
        <f ca="1">OFFSET(Data!$A$1,MATCH("# "&amp;L$2&amp;" Women",Data!$DT:$DT,0)-1,MATCH(MID($A9,3,20)&amp;"/"&amp;$A$2,Data!$1:$1,0)-1)</f>
        <v>4</v>
      </c>
      <c r="M9" s="109">
        <f ca="1">OFFSET(Data!$A$1,MATCH("# "&amp;M$2&amp;" Women",Data!$DT:$DT,0)-1,MATCH(MID($A9,3,20)&amp;"/"&amp;$A$2,Data!$1:$1,0)-1)</f>
        <v>2</v>
      </c>
      <c r="N9" s="109">
        <f ca="1">OFFSET(Data!$A$1,MATCH("# "&amp;N$2&amp;" Women",Data!$DT:$DT,0)-1,MATCH(MID($A9,3,20)&amp;"/"&amp;$A$2,Data!$1:$1,0)-1)</f>
        <v>2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59"/>
      <c r="W9" s="213" t="str">
        <f>Data!DT97</f>
        <v>Richard Kollar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0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0</v>
      </c>
      <c r="AE9" s="213">
        <f t="shared" ca="1" si="0"/>
        <v>2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/>
      </c>
      <c r="AL9" s="213" t="str">
        <f t="shared" ca="1" si="6"/>
        <v>/R1/R2</v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/>
      </c>
      <c r="AR9" s="204" t="str">
        <f ca="1">IF(OFFSET($AB9,0,MATCH(A$17,AC$1:AI$1,0))=0,"",OFFSET($AB9,0,MATCH(A$17,AC$1:AI$1,0))&amp;" / "&amp;W9 &amp;" ("&amp;INDEX(Data!DX:DX,MATCH(W9,Data!DT:DT,0))&amp;")")</f>
        <v/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/>
      </c>
      <c r="AW9" s="204" t="str">
        <f t="array" aca="1" ref="AW9" ca="1">INDEX($AR$3:$AR$102,MATCH(LARGE(COUNTIF($AQ$3:$AQ$102,"&lt;"&amp;$AQ$3:$AQ$102),ROWS(AQ$3:AQ9)),COUNTIF($AQ$3:$AQ$102,"&lt;"&amp;$AQ$3:$AQ$102),0))</f>
        <v>1 / Irmgard Derschmidt (4)</v>
      </c>
      <c r="AX9" s="344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120</v>
      </c>
      <c r="B10" s="111">
        <f ca="1">B4/SUM($B4:$H4)</f>
        <v>0</v>
      </c>
      <c r="C10" s="112">
        <f t="shared" ref="C10:H10" ca="1" si="13">C4/SUM($B4:$H4)</f>
        <v>0.25806451612903225</v>
      </c>
      <c r="D10" s="112">
        <f t="shared" ca="1" si="13"/>
        <v>0.59677419354838712</v>
      </c>
      <c r="E10" s="112">
        <f t="shared" ca="1" si="13"/>
        <v>9.6774193548387094E-2</v>
      </c>
      <c r="F10" s="112">
        <f t="shared" ca="1" si="13"/>
        <v>3.2258064516129031E-2</v>
      </c>
      <c r="G10" s="112">
        <f t="shared" ca="1" si="13"/>
        <v>0</v>
      </c>
      <c r="H10" s="113">
        <f t="shared" ca="1" si="13"/>
        <v>1.6129032258064516E-2</v>
      </c>
      <c r="I10" s="114">
        <f t="shared" ref="I10:I15" ca="1" si="14">I4/SUM($I4:$O4)</f>
        <v>0</v>
      </c>
      <c r="J10" s="115">
        <f t="shared" ref="J10:O10" ca="1" si="15">J4/SUM($I4:$O4)</f>
        <v>0.22222222222222221</v>
      </c>
      <c r="K10" s="115">
        <f t="shared" ca="1" si="15"/>
        <v>0.33333333333333331</v>
      </c>
      <c r="L10" s="115">
        <f t="shared" ca="1" si="15"/>
        <v>0.33333333333333331</v>
      </c>
      <c r="M10" s="115">
        <f t="shared" ca="1" si="15"/>
        <v>0</v>
      </c>
      <c r="N10" s="115">
        <f t="shared" ca="1" si="15"/>
        <v>0.1111111111111111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9"/>
      <c r="W10" s="213" t="str">
        <f>Data!DT98</f>
        <v>Daniel Maier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3</v>
      </c>
      <c r="Z10" s="215">
        <f>IF(ISERROR(INDEX(Data!$DY:$IB,MATCH($W10,Data!$DT:$DT,0),MATCH(Z$1&amp;"/"&amp;$A$2,Data!$DY$1:$IB$1,0)))=TRUE,0,INDEX(Data!$DY:$IB,MATCH($W10,Data!$DT:$DT,0),MATCH(Z$1&amp;"/"&amp;$A$2,Data!$DY$1:$IB$1,0)))</f>
        <v>0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2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>/R1/R2</v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>
        <f>INDEX(Data!DX:DX,MATCH(W10,Data!DT:DT,0))</f>
        <v>8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/>
      </c>
      <c r="AW10" s="204" t="str">
        <f t="array" aca="1" ref="AW10" ca="1">INDEX($AR$3:$AR$102,MATCH(LARGE(COUNTIF($AQ$3:$AQ$102,"&lt;"&amp;$AQ$3:$AQ$102),ROWS(AQ$3:AQ10)),COUNTIF($AQ$3:$AQ$102,"&lt;"&amp;$AQ$3:$AQ$102),0))</f>
        <v>1 / Róbert Furka (5)</v>
      </c>
      <c r="AX10" s="344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121</v>
      </c>
      <c r="B11" s="93">
        <f t="shared" ref="B11:H11" ca="1" si="17">B5/SUM($B5:$H5)</f>
        <v>0</v>
      </c>
      <c r="C11" s="94">
        <f t="shared" ca="1" si="17"/>
        <v>0.16393442622950818</v>
      </c>
      <c r="D11" s="94">
        <f t="shared" ca="1" si="17"/>
        <v>0.36065573770491804</v>
      </c>
      <c r="E11" s="94">
        <f t="shared" ca="1" si="17"/>
        <v>0.32786885245901637</v>
      </c>
      <c r="F11" s="94">
        <f t="shared" ca="1" si="17"/>
        <v>8.1967213114754092E-2</v>
      </c>
      <c r="G11" s="94">
        <f t="shared" ca="1" si="17"/>
        <v>6.5573770491803282E-2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0.1111111111111111</v>
      </c>
      <c r="K11" s="97">
        <f t="shared" ca="1" si="18"/>
        <v>0.44444444444444442</v>
      </c>
      <c r="L11" s="97">
        <f t="shared" ca="1" si="18"/>
        <v>0.1111111111111111</v>
      </c>
      <c r="M11" s="97">
        <f t="shared" ca="1" si="18"/>
        <v>0.22222222222222221</v>
      </c>
      <c r="N11" s="97">
        <f t="shared" ca="1" si="18"/>
        <v>0.1111111111111111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9"/>
      <c r="W11" s="213" t="str">
        <f>Data!DT99</f>
        <v>Dinko Šimenc</v>
      </c>
      <c r="X11" s="215">
        <f>IF(ISERROR(INDEX(Data!$DY:$IB,MATCH($W11,Data!$DT:$DT,0),MATCH(X$1&amp;"/"&amp;$A$2,Data!$DY$1:$IB$1,0)))=TRUE,0,INDEX(Data!$DY:$IB,MATCH($W11,Data!$DT:$DT,0),MATCH(X$1&amp;"/"&amp;$A$2,Data!$DY$1:$IB$1,0)))</f>
        <v>3</v>
      </c>
      <c r="Y11" s="215">
        <f>IF(ISERROR(INDEX(Data!$DY:$IB,MATCH($W11,Data!$DT:$DT,0),MATCH(Y$1&amp;"/"&amp;$A$2,Data!$DY$1:$IB$1,0)))=TRUE,0,INDEX(Data!$DY:$IB,MATCH($W11,Data!$DT:$DT,0),MATCH(Y$1&amp;"/"&amp;$A$2,Data!$DY$1:$IB$1,0)))</f>
        <v>3</v>
      </c>
      <c r="Z11" s="215">
        <f>IF(ISERROR(INDEX(Data!$DY:$IB,MATCH($W11,Data!$DT:$DT,0),MATCH(Z$1&amp;"/"&amp;$A$2,Data!$DY$1:$IB$1,0)))=TRUE,0,INDEX(Data!$DY:$IB,MATCH($W11,Data!$DT:$DT,0),MATCH(Z$1&amp;"/"&amp;$A$2,Data!$DY$1:$IB$1,0)))</f>
        <v>0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0</v>
      </c>
      <c r="AE11" s="213">
        <f t="shared" ca="1" si="0"/>
        <v>2</v>
      </c>
      <c r="AF11" s="213">
        <f t="shared" ca="1" si="11"/>
        <v>0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/>
      </c>
      <c r="AL11" s="213" t="str">
        <f t="shared" ca="1" si="6"/>
        <v>/R1/R2</v>
      </c>
      <c r="AM11" s="213" t="str">
        <f t="shared" ca="1" si="7"/>
        <v/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/>
      </c>
      <c r="AR11" s="204" t="str">
        <f ca="1">IF(OFFSET($AB11,0,MATCH(A$17,AC$1:AI$1,0))=0,"",OFFSET($AB11,0,MATCH(A$17,AC$1:AI$1,0))&amp;" / "&amp;W11 &amp;" ("&amp;INDEX(Data!DX:DX,MATCH(W11,Data!DT:DT,0))&amp;")")</f>
        <v/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/>
      </c>
      <c r="AW11" s="204" t="str">
        <f t="array" aca="1" ref="AW11" ca="1">INDEX($AR$3:$AR$102,MATCH(LARGE(COUNTIF($AQ$3:$AQ$102,"&lt;"&amp;$AQ$3:$AQ$102),ROWS(AQ$3:AQ11)),COUNTIF($AQ$3:$AQ$102,"&lt;"&amp;$AQ$3:$AQ$102),0))</f>
        <v>1 / Michaela Trimmel (7)</v>
      </c>
      <c r="AX11" s="344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122</v>
      </c>
      <c r="B12" s="93" t="e">
        <f t="shared" ref="B12:H12" ca="1" si="19">B6/SUM($B6:$H6)</f>
        <v>#N/A</v>
      </c>
      <c r="C12" s="94" t="e">
        <f t="shared" ca="1" si="19"/>
        <v>#N/A</v>
      </c>
      <c r="D12" s="94" t="e">
        <f t="shared" ca="1" si="19"/>
        <v>#N/A</v>
      </c>
      <c r="E12" s="94" t="e">
        <f t="shared" ca="1" si="19"/>
        <v>#N/A</v>
      </c>
      <c r="F12" s="94" t="e">
        <f t="shared" ca="1" si="19"/>
        <v>#N/A</v>
      </c>
      <c r="G12" s="94" t="e">
        <f t="shared" ca="1" si="19"/>
        <v>#N/A</v>
      </c>
      <c r="H12" s="95" t="e">
        <f t="shared" ca="1" si="19"/>
        <v>#N/A</v>
      </c>
      <c r="I12" s="96" t="e">
        <f t="shared" ca="1" si="14"/>
        <v>#N/A</v>
      </c>
      <c r="J12" s="97" t="e">
        <f t="shared" ref="J12:O12" ca="1" si="20">J6/SUM($I6:$O6)</f>
        <v>#N/A</v>
      </c>
      <c r="K12" s="97" t="e">
        <f t="shared" ca="1" si="20"/>
        <v>#N/A</v>
      </c>
      <c r="L12" s="97" t="e">
        <f t="shared" ca="1" si="20"/>
        <v>#N/A</v>
      </c>
      <c r="M12" s="97" t="e">
        <f t="shared" ca="1" si="20"/>
        <v>#N/A</v>
      </c>
      <c r="N12" s="97" t="e">
        <f t="shared" ca="1" si="20"/>
        <v>#N/A</v>
      </c>
      <c r="O12" s="98" t="e">
        <f t="shared" ca="1" si="20"/>
        <v>#N/A</v>
      </c>
      <c r="P12" s="216"/>
      <c r="Q12" s="216"/>
      <c r="R12" s="216"/>
      <c r="S12" s="216"/>
      <c r="T12" s="216"/>
      <c r="U12" s="215"/>
      <c r="V12" s="259"/>
      <c r="W12" s="213" t="str">
        <f>Data!DT100</f>
        <v>Bernd Kolmanz</v>
      </c>
      <c r="X12" s="215">
        <f>IF(ISERROR(INDEX(Data!$DY:$IB,MATCH($W12,Data!$DT:$DT,0),MATCH(X$1&amp;"/"&amp;$A$2,Data!$DY$1:$IB$1,0)))=TRUE,0,INDEX(Data!$DY:$IB,MATCH($W12,Data!$DT:$DT,0),MATCH(X$1&amp;"/"&amp;$A$2,Data!$DY$1:$IB$1,0)))</f>
        <v>2</v>
      </c>
      <c r="Y12" s="215">
        <f>IF(ISERROR(INDEX(Data!$DY:$IB,MATCH($W12,Data!$DT:$DT,0),MATCH(Y$1&amp;"/"&amp;$A$2,Data!$DY$1:$IB$1,0)))=TRUE,0,INDEX(Data!$DY:$IB,MATCH($W12,Data!$DT:$DT,0),MATCH(Y$1&amp;"/"&amp;$A$2,Data!$DY$1:$IB$1,0)))</f>
        <v>3</v>
      </c>
      <c r="Z12" s="215">
        <f>IF(ISERROR(INDEX(Data!$DY:$IB,MATCH($W12,Data!$DT:$DT,0),MATCH(Z$1&amp;"/"&amp;$A$2,Data!$DY$1:$IB$1,0)))=TRUE,0,INDEX(Data!$DY:$IB,MATCH($W12,Data!$DT:$DT,0),MATCH(Z$1&amp;"/"&amp;$A$2,Data!$DY$1:$IB$1,0)))</f>
        <v>0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1</v>
      </c>
      <c r="AE12" s="213">
        <f t="shared" ca="1" si="0"/>
        <v>1</v>
      </c>
      <c r="AF12" s="213">
        <f t="shared" ca="1" si="11"/>
        <v>0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/R1</v>
      </c>
      <c r="AL12" s="213" t="str">
        <f t="shared" ca="1" si="6"/>
        <v>/R2</v>
      </c>
      <c r="AM12" s="213" t="str">
        <f t="shared" ca="1" si="7"/>
        <v/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1490M</v>
      </c>
      <c r="AR12" s="204" t="str">
        <f ca="1">IF(OFFSET($AB12,0,MATCH(A$17,AC$1:AI$1,0))=0,"",OFFSET($AB12,0,MATCH(A$17,AC$1:AI$1,0))&amp;" / "&amp;W12 &amp;" ("&amp;INDEX(Data!DX:DX,MATCH(W12,Data!DT:DT,0))&amp;")")</f>
        <v>1 / Bernd Kolmanz (9)</v>
      </c>
      <c r="AS12" s="204">
        <f>INDEX(Data!DX:DX,MATCH(W12,Data!DT:DT,0))</f>
        <v>9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>R1</v>
      </c>
      <c r="AW12" s="204" t="str">
        <f t="array" aca="1" ref="AW12" ca="1">INDEX($AR$3:$AR$102,MATCH(LARGE(COUNTIF($AQ$3:$AQ$102,"&lt;"&amp;$AQ$3:$AQ$102),ROWS(AQ$3:AQ12)),COUNTIF($AQ$3:$AQ$102,"&lt;"&amp;$AQ$3:$AQ$102),0))</f>
        <v>1 / Bernd Kolmanz (9)</v>
      </c>
      <c r="AX12" s="344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123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9"/>
      <c r="W13" s="213" t="str">
        <f>Data!DT101</f>
        <v>Mike Bischof-Horak</v>
      </c>
      <c r="X13" s="215">
        <f>IF(ISERROR(INDEX(Data!$DY:$IB,MATCH($W13,Data!$DT:$DT,0),MATCH(X$1&amp;"/"&amp;$A$2,Data!$DY$1:$IB$1,0)))=TRUE,0,INDEX(Data!$DY:$IB,MATCH($W13,Data!$DT:$DT,0),MATCH(X$1&amp;"/"&amp;$A$2,Data!$DY$1:$IB$1,0)))</f>
        <v>3</v>
      </c>
      <c r="Y13" s="215">
        <f>IF(ISERROR(INDEX(Data!$DY:$IB,MATCH($W13,Data!$DT:$DT,0),MATCH(Y$1&amp;"/"&amp;$A$2,Data!$DY$1:$IB$1,0)))=TRUE,0,INDEX(Data!$DY:$IB,MATCH($W13,Data!$DT:$DT,0),MATCH(Y$1&amp;"/"&amp;$A$2,Data!$DY$1:$IB$1,0)))</f>
        <v>2</v>
      </c>
      <c r="Z13" s="215">
        <f>IF(ISERROR(INDEX(Data!$DY:$IB,MATCH($W13,Data!$DT:$DT,0),MATCH(Z$1&amp;"/"&amp;$A$2,Data!$DY$1:$IB$1,0)))=TRUE,0,INDEX(Data!$DY:$IB,MATCH($W13,Data!$DT:$DT,0),MATCH(Z$1&amp;"/"&amp;$A$2,Data!$DY$1:$IB$1,0)))</f>
        <v>0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1</v>
      </c>
      <c r="AE13" s="213">
        <f t="shared" ca="1" si="0"/>
        <v>1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/R2</v>
      </c>
      <c r="AL13" s="213" t="str">
        <f t="shared" ca="1" si="6"/>
        <v>/R1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1489M</v>
      </c>
      <c r="AR13" s="204" t="str">
        <f ca="1">IF(OFFSET($AB13,0,MATCH(A$17,AC$1:AI$1,0))=0,"",OFFSET($AB13,0,MATCH(A$17,AC$1:AI$1,0))&amp;" / "&amp;W13 &amp;" ("&amp;INDEX(Data!DX:DX,MATCH(W13,Data!DT:DT,0))&amp;")")</f>
        <v>1 / Mike Bischof-Horak (9)</v>
      </c>
      <c r="AS13" s="204">
        <f>INDEX(Data!DX:DX,MATCH(W13,Data!DT:DT,0))</f>
        <v>9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>R2</v>
      </c>
      <c r="AW13" s="204" t="str">
        <f t="array" aca="1" ref="AW13" ca="1">INDEX($AR$3:$AR$102,MATCH(LARGE(COUNTIF($AQ$3:$AQ$102,"&lt;"&amp;$AQ$3:$AQ$102),ROWS(AQ$3:AQ13)),COUNTIF($AQ$3:$AQ$102,"&lt;"&amp;$AQ$3:$AQ$102),0))</f>
        <v>1 / Mike Bischof-Horak (9)</v>
      </c>
      <c r="AX13" s="344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124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9"/>
      <c r="W14" s="213" t="str">
        <f>Data!DT102</f>
        <v>Eric Osterwinter</v>
      </c>
      <c r="X14" s="215">
        <f>IF(ISERROR(INDEX(Data!$DY:$IB,MATCH($W14,Data!$DT:$DT,0),MATCH(X$1&amp;"/"&amp;$A$2,Data!$DY$1:$IB$1,0)))=TRUE,0,INDEX(Data!$DY:$IB,MATCH($W14,Data!$DT:$DT,0),MATCH(X$1&amp;"/"&amp;$A$2,Data!$DY$1:$IB$1,0)))</f>
        <v>2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0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1</v>
      </c>
      <c r="AE14" s="213">
        <f t="shared" ca="1" si="0"/>
        <v>1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/R1</v>
      </c>
      <c r="AL14" s="213" t="str">
        <f t="shared" ca="1" si="6"/>
        <v>/R2</v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1488M</v>
      </c>
      <c r="AR14" s="204" t="str">
        <f ca="1">IF(OFFSET($AB14,0,MATCH(A$17,AC$1:AI$1,0))=0,"",OFFSET($AB14,0,MATCH(A$17,AC$1:AI$1,0))&amp;" / "&amp;W14 &amp;" ("&amp;INDEX(Data!DX:DX,MATCH(W14,Data!DT:DT,0))&amp;")")</f>
        <v>1 / Eric Osterwinter (9)</v>
      </c>
      <c r="AS14" s="204">
        <f>INDEX(Data!DX:DX,MATCH(W14,Data!DT:DT,0))</f>
        <v>9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>R1</v>
      </c>
      <c r="AW14" s="204" t="str">
        <f t="array" aca="1" ref="AW14" ca="1">INDEX($AR$3:$AR$102,MATCH(LARGE(COUNTIF($AQ$3:$AQ$102,"&lt;"&amp;$AQ$3:$AQ$102),ROWS(AQ$3:AQ14)),COUNTIF($AQ$3:$AQ$102,"&lt;"&amp;$AQ$3:$AQ$102),0))</f>
        <v>1 / Eric Osterwinter (9)</v>
      </c>
      <c r="AX14" s="344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125</v>
      </c>
      <c r="B15" s="99">
        <f t="shared" ref="B15:H15" ca="1" si="25">B9/SUM($B9:$H9)</f>
        <v>0</v>
      </c>
      <c r="C15" s="100">
        <f t="shared" ca="1" si="25"/>
        <v>0.21138211382113822</v>
      </c>
      <c r="D15" s="100">
        <f t="shared" ca="1" si="25"/>
        <v>0.47967479674796748</v>
      </c>
      <c r="E15" s="100">
        <f t="shared" ca="1" si="25"/>
        <v>0.21138211382113822</v>
      </c>
      <c r="F15" s="100">
        <f t="shared" ca="1" si="25"/>
        <v>5.6910569105691054E-2</v>
      </c>
      <c r="G15" s="100">
        <f t="shared" ca="1" si="25"/>
        <v>3.2520325203252036E-2</v>
      </c>
      <c r="H15" s="101">
        <f t="shared" ca="1" si="25"/>
        <v>8.130081300813009E-3</v>
      </c>
      <c r="I15" s="102">
        <f t="shared" ca="1" si="14"/>
        <v>0</v>
      </c>
      <c r="J15" s="103">
        <f t="shared" ref="J15:O15" ca="1" si="26">J9/SUM($I9:$O9)</f>
        <v>0.16666666666666666</v>
      </c>
      <c r="K15" s="103">
        <f t="shared" ca="1" si="26"/>
        <v>0.3888888888888889</v>
      </c>
      <c r="L15" s="103">
        <f t="shared" ca="1" si="26"/>
        <v>0.22222222222222221</v>
      </c>
      <c r="M15" s="103">
        <f t="shared" ca="1" si="26"/>
        <v>0.1111111111111111</v>
      </c>
      <c r="N15" s="103">
        <f t="shared" ca="1" si="26"/>
        <v>0.1111111111111111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59"/>
      <c r="W15" s="213" t="str">
        <f>Data!DT103</f>
        <v>Johannes Hielfer</v>
      </c>
      <c r="X15" s="215">
        <f>IF(ISERROR(INDEX(Data!$DY:$IB,MATCH($W15,Data!$DT:$DT,0),MATCH(X$1&amp;"/"&amp;$A$2,Data!$DY$1:$IB$1,0)))=TRUE,0,INDEX(Data!$DY:$IB,MATCH($W15,Data!$DT:$DT,0),MATCH(X$1&amp;"/"&amp;$A$2,Data!$DY$1:$IB$1,0)))</f>
        <v>2</v>
      </c>
      <c r="Y15" s="215">
        <f>IF(ISERROR(INDEX(Data!$DY:$IB,MATCH($W15,Data!$DT:$DT,0),MATCH(Y$1&amp;"/"&amp;$A$2,Data!$DY$1:$IB$1,0)))=TRUE,0,INDEX(Data!$DY:$IB,MATCH($W15,Data!$DT:$DT,0),MATCH(Y$1&amp;"/"&amp;$A$2,Data!$DY$1:$IB$1,0)))</f>
        <v>5</v>
      </c>
      <c r="Z15" s="215">
        <f>IF(ISERROR(INDEX(Data!$DY:$IB,MATCH($W15,Data!$DT:$DT,0),MATCH(Z$1&amp;"/"&amp;$A$2,Data!$DY$1:$IB$1,0)))=TRUE,0,INDEX(Data!$DY:$IB,MATCH($W15,Data!$DT:$DT,0),MATCH(Z$1&amp;"/"&amp;$A$2,Data!$DY$1:$IB$1,0)))</f>
        <v>0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1</v>
      </c>
      <c r="AE15" s="213">
        <f t="shared" ca="1" si="0"/>
        <v>0</v>
      </c>
      <c r="AF15" s="213">
        <f t="shared" ca="1" si="11"/>
        <v>0</v>
      </c>
      <c r="AG15" s="213">
        <f t="shared" ca="1" si="11"/>
        <v>1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/R1</v>
      </c>
      <c r="AL15" s="213" t="str">
        <f t="shared" ca="1" si="6"/>
        <v/>
      </c>
      <c r="AM15" s="213" t="str">
        <f t="shared" ca="1" si="7"/>
        <v/>
      </c>
      <c r="AN15" s="213" t="str">
        <f t="shared" ca="1" si="8"/>
        <v>/R2</v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1487M</v>
      </c>
      <c r="AR15" s="204" t="str">
        <f ca="1">IF(OFFSET($AB15,0,MATCH(A$17,AC$1:AI$1,0))=0,"",OFFSET($AB15,0,MATCH(A$17,AC$1:AI$1,0))&amp;" / "&amp;W15 &amp;" ("&amp;INDEX(Data!DX:DX,MATCH(W15,Data!DT:DT,0))&amp;")")</f>
        <v>1 / Johannes Hielfer (13)</v>
      </c>
      <c r="AS15" s="204">
        <f>INDEX(Data!DX:DX,MATCH(W15,Data!DT:DT,0))</f>
        <v>13</v>
      </c>
      <c r="AT15" s="204" t="str">
        <f>MID(INDEX(Data!A:A,MATCH(W15,Data!DT:DT,0)),2,5)</f>
        <v>13</v>
      </c>
      <c r="AU15" s="204" t="str">
        <f>INDEX(Data!DW:DW,MATCH(W15,Data!DT:DT,0))</f>
        <v>M</v>
      </c>
      <c r="AV15" s="204" t="str">
        <f t="shared" ca="1" si="4"/>
        <v>R1</v>
      </c>
      <c r="AW15" s="204" t="str">
        <f t="array" aca="1" ref="AW15" ca="1">INDEX($AR$3:$AR$102,MATCH(LARGE(COUNTIF($AQ$3:$AQ$102,"&lt;"&amp;$AQ$3:$AQ$102),ROWS(AQ$3:AQ15)),COUNTIF($AQ$3:$AQ$102,"&lt;"&amp;$AQ$3:$AQ$102),0))</f>
        <v>1 / Johannes Hielfer (13)</v>
      </c>
      <c r="AX15" s="344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Michal Kúdela</v>
      </c>
      <c r="X16" s="215">
        <f>IF(ISERROR(INDEX(Data!$DY:$IB,MATCH($W16,Data!$DT:$DT,0),MATCH(X$1&amp;"/"&amp;$A$2,Data!$DY$1:$IB$1,0)))=TRUE,0,INDEX(Data!$DY:$IB,MATCH($W16,Data!$DT:$DT,0),MATCH(X$1&amp;"/"&amp;$A$2,Data!$DY$1:$IB$1,0)))</f>
        <v>2</v>
      </c>
      <c r="Y16" s="215">
        <f>IF(ISERROR(INDEX(Data!$DY:$IB,MATCH($W16,Data!$DT:$DT,0),MATCH(Y$1&amp;"/"&amp;$A$2,Data!$DY$1:$IB$1,0)))=TRUE,0,INDEX(Data!$DY:$IB,MATCH($W16,Data!$DT:$DT,0),MATCH(Y$1&amp;"/"&amp;$A$2,Data!$DY$1:$IB$1,0)))</f>
        <v>4</v>
      </c>
      <c r="Z16" s="215">
        <f>IF(ISERROR(INDEX(Data!$DY:$IB,MATCH($W16,Data!$DT:$DT,0),MATCH(Z$1&amp;"/"&amp;$A$2,Data!$DY$1:$IB$1,0)))=TRUE,0,INDEX(Data!$DY:$IB,MATCH($W16,Data!$DT:$DT,0),MATCH(Z$1&amp;"/"&amp;$A$2,Data!$DY$1:$IB$1,0)))</f>
        <v>0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1</v>
      </c>
      <c r="AE16" s="213">
        <f t="shared" ca="1" si="0"/>
        <v>0</v>
      </c>
      <c r="AF16" s="213">
        <f t="shared" ca="1" si="11"/>
        <v>1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/R1</v>
      </c>
      <c r="AL16" s="213" t="str">
        <f t="shared" ca="1" si="6"/>
        <v/>
      </c>
      <c r="AM16" s="213" t="str">
        <f t="shared" ca="1" si="7"/>
        <v>/R2</v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1486M</v>
      </c>
      <c r="AR16" s="204" t="str">
        <f ca="1">IF(OFFSET($AB16,0,MATCH(A$17,AC$1:AI$1,0))=0,"",OFFSET($AB16,0,MATCH(A$17,AC$1:AI$1,0))&amp;" / "&amp;W16 &amp;" ("&amp;INDEX(Data!DX:DX,MATCH(W16,Data!DT:DT,0))&amp;")")</f>
        <v>1 / Michal Kúdela (13)</v>
      </c>
      <c r="AS16" s="204">
        <f>INDEX(Data!DX:DX,MATCH(W16,Data!DT:DT,0))</f>
        <v>13</v>
      </c>
      <c r="AT16" s="204" t="str">
        <f>MID(INDEX(Data!A:A,MATCH(W16,Data!DT:DT,0)),2,5)</f>
        <v>14</v>
      </c>
      <c r="AU16" s="204" t="str">
        <f>INDEX(Data!DW:DW,MATCH(W16,Data!DT:DT,0))</f>
        <v>M</v>
      </c>
      <c r="AV16" s="204" t="str">
        <f t="shared" ca="1" si="4"/>
        <v>R1</v>
      </c>
      <c r="AW16" s="204" t="str">
        <f t="array" aca="1" ref="AW16" ca="1">INDEX($AR$3:$AR$102,MATCH(LARGE(COUNTIF($AQ$3:$AQ$102,"&lt;"&amp;$AQ$3:$AQ$102),ROWS(AQ$3:AQ16)),COUNTIF($AQ$3:$AQ$102,"&lt;"&amp;$AQ$3:$AQ$102),0))</f>
        <v>1 / Michal Kúdela (13)</v>
      </c>
      <c r="AX16" s="344"/>
    </row>
    <row r="17" spans="1:49" ht="15" customHeight="1" thickBot="1" x14ac:dyDescent="0.3">
      <c r="A17" s="401" t="s">
        <v>45</v>
      </c>
      <c r="B17" s="402"/>
      <c r="C17" s="402"/>
      <c r="D17" s="402"/>
      <c r="E17" s="4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Harald Dehner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3</v>
      </c>
      <c r="Z17" s="215">
        <f>IF(ISERROR(INDEX(Data!$DY:$IB,MATCH($W17,Data!$DT:$DT,0),MATCH(Z$1&amp;"/"&amp;$A$2,Data!$DY$1:$IB$1,0)))=TRUE,0,INDEX(Data!$DY:$IB,MATCH($W17,Data!$DT:$DT,0),MATCH(Z$1&amp;"/"&amp;$A$2,Data!$DY$1:$IB$1,0)))</f>
        <v>0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2</v>
      </c>
      <c r="AF17" s="213">
        <f t="shared" ca="1" si="11"/>
        <v>0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>/R1/R2</v>
      </c>
      <c r="AM17" s="213" t="str">
        <f t="shared" ca="1" si="7"/>
        <v/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>
        <f>INDEX(Data!DX:DX,MATCH(W17,Data!DT:DT,0))</f>
        <v>15</v>
      </c>
      <c r="AT17" s="204" t="str">
        <f>MID(INDEX(Data!A:A,MATCH(W17,Data!DT:DT,0)),2,5)</f>
        <v>15</v>
      </c>
      <c r="AU17" s="204" t="str">
        <f>INDEX(Data!DW:DW,MATCH(W17,Data!DT:DT,0))</f>
        <v>M</v>
      </c>
      <c r="AV17" s="204" t="str">
        <f t="shared" ca="1" si="4"/>
        <v/>
      </c>
      <c r="AW17" s="204" t="str">
        <f t="array" aca="1" ref="AW17" ca="1">INDEX($AR$3:$AR$102,MATCH(LARGE(COUNTIF($AQ$3:$AQ$102,"&lt;"&amp;$AQ$3:$AQ$102),ROWS(AQ$3:AQ17)),COUNTIF($AQ$3:$AQ$102,"&lt;"&amp;$AQ$3:$AQ$102),0))</f>
        <v>1 / Stefan Sonnleitner (15)</v>
      </c>
    </row>
    <row r="18" spans="1:49" ht="15" customHeight="1" x14ac:dyDescent="0.25">
      <c r="A18" s="262" t="s">
        <v>189</v>
      </c>
      <c r="B18" s="263"/>
      <c r="C18" s="263"/>
      <c r="D18" s="404" t="s">
        <v>190</v>
      </c>
      <c r="E18" s="405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Stefan Sonnleitner</v>
      </c>
      <c r="X18" s="215">
        <f>IF(ISERROR(INDEX(Data!$DY:$IB,MATCH($W18,Data!$DT:$DT,0),MATCH(X$1&amp;"/"&amp;$A$2,Data!$DY$1:$IB$1,0)))=TRUE,0,INDEX(Data!$DY:$IB,MATCH($W18,Data!$DT:$DT,0),MATCH(X$1&amp;"/"&amp;$A$2,Data!$DY$1:$IB$1,0)))</f>
        <v>3</v>
      </c>
      <c r="Y18" s="215">
        <f>IF(ISERROR(INDEX(Data!$DY:$IB,MATCH($W18,Data!$DT:$DT,0),MATCH(Y$1&amp;"/"&amp;$A$2,Data!$DY$1:$IB$1,0)))=TRUE,0,INDEX(Data!$DY:$IB,MATCH($W18,Data!$DT:$DT,0),MATCH(Y$1&amp;"/"&amp;$A$2,Data!$DY$1:$IB$1,0)))</f>
        <v>2</v>
      </c>
      <c r="Z18" s="215">
        <f>IF(ISERROR(INDEX(Data!$DY:$IB,MATCH($W18,Data!$DT:$DT,0),MATCH(Z$1&amp;"/"&amp;$A$2,Data!$DY$1:$IB$1,0)))=TRUE,0,INDEX(Data!$DY:$IB,MATCH($W18,Data!$DT:$DT,0),MATCH(Z$1&amp;"/"&amp;$A$2,Data!$DY$1:$IB$1,0)))</f>
        <v>0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1</v>
      </c>
      <c r="AE18" s="213">
        <f t="shared" ca="1" si="0"/>
        <v>1</v>
      </c>
      <c r="AF18" s="213">
        <f t="shared" ca="1" si="11"/>
        <v>0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>/R2</v>
      </c>
      <c r="AL18" s="213" t="str">
        <f t="shared" ca="1" si="6"/>
        <v>/R1</v>
      </c>
      <c r="AM18" s="213" t="str">
        <f t="shared" ca="1" si="7"/>
        <v/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>1484M</v>
      </c>
      <c r="AR18" s="204" t="str">
        <f ca="1">IF(OFFSET($AB18,0,MATCH(A$17,AC$1:AI$1,0))=0,"",OFFSET($AB18,0,MATCH(A$17,AC$1:AI$1,0))&amp;" / "&amp;W18 &amp;" ("&amp;INDEX(Data!DX:DX,MATCH(W18,Data!DT:DT,0))&amp;")")</f>
        <v>1 / Stefan Sonnleitner (15)</v>
      </c>
      <c r="AS18" s="204">
        <f>INDEX(Data!DX:DX,MATCH(W18,Data!DT:DT,0))</f>
        <v>15</v>
      </c>
      <c r="AT18" s="204" t="str">
        <f>MID(INDEX(Data!A:A,MATCH(W18,Data!DT:DT,0)),2,5)</f>
        <v>16</v>
      </c>
      <c r="AU18" s="204" t="str">
        <f>INDEX(Data!DW:DW,MATCH(W18,Data!DT:DT,0))</f>
        <v>M</v>
      </c>
      <c r="AV18" s="204" t="str">
        <f t="shared" ca="1" si="4"/>
        <v>R2</v>
      </c>
      <c r="AW18" s="204" t="str">
        <f t="array" aca="1" ref="AW18" ca="1">INDEX($AR$3:$AR$102,MATCH(LARGE(COUNTIF($AQ$3:$AQ$102,"&lt;"&amp;$AQ$3:$AQ$102),ROWS(AQ$3:AQ18)),COUNTIF($AQ$3:$AQ$102,"&lt;"&amp;$AQ$3:$AQ$102),0))</f>
        <v>1 / Jakub Matejka (15)</v>
      </c>
    </row>
    <row r="19" spans="1:49" ht="15" customHeight="1" x14ac:dyDescent="0.25">
      <c r="A19" s="264" t="str">
        <f ca="1">AW3</f>
        <v>2 / Karl Seper (15)</v>
      </c>
      <c r="B19" s="265"/>
      <c r="C19" s="266"/>
      <c r="D19" s="398" t="str">
        <f t="shared" ref="D19:D50" ca="1" si="27">INDEX(AV:AV,MATCH(A19,AR:AR,0))</f>
        <v>R1/R2</v>
      </c>
      <c r="E19" s="399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Karl Seper</v>
      </c>
      <c r="X19" s="215">
        <f>IF(ISERROR(INDEX(Data!$DY:$IB,MATCH($W19,Data!$DT:$DT,0),MATCH(X$1&amp;"/"&amp;$A$2,Data!$DY$1:$IB$1,0)))=TRUE,0,INDEX(Data!$DY:$IB,MATCH($W19,Data!$DT:$DT,0),MATCH(X$1&amp;"/"&amp;$A$2,Data!$DY$1:$IB$1,0)))</f>
        <v>2</v>
      </c>
      <c r="Y19" s="215">
        <f>IF(ISERROR(INDEX(Data!$DY:$IB,MATCH($W19,Data!$DT:$DT,0),MATCH(Y$1&amp;"/"&amp;$A$2,Data!$DY$1:$IB$1,0)))=TRUE,0,INDEX(Data!$DY:$IB,MATCH($W19,Data!$DT:$DT,0),MATCH(Y$1&amp;"/"&amp;$A$2,Data!$DY$1:$IB$1,0)))</f>
        <v>2</v>
      </c>
      <c r="Z19" s="215">
        <f>IF(ISERROR(INDEX(Data!$DY:$IB,MATCH($W19,Data!$DT:$DT,0),MATCH(Z$1&amp;"/"&amp;$A$2,Data!$DY$1:$IB$1,0)))=TRUE,0,INDEX(Data!$DY:$IB,MATCH($W19,Data!$DT:$DT,0),MATCH(Z$1&amp;"/"&amp;$A$2,Data!$DY$1:$IB$1,0)))</f>
        <v>0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2</v>
      </c>
      <c r="AE19" s="213">
        <f t="shared" ca="1" si="11"/>
        <v>0</v>
      </c>
      <c r="AF19" s="213">
        <f t="shared" ca="1" si="11"/>
        <v>0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>/R1/R2</v>
      </c>
      <c r="AL19" s="213" t="str">
        <f t="shared" ca="1" si="6"/>
        <v/>
      </c>
      <c r="AM19" s="213" t="str">
        <f t="shared" ca="1" si="7"/>
        <v/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>2483M</v>
      </c>
      <c r="AR19" s="204" t="str">
        <f ca="1">IF(OFFSET($AB19,0,MATCH(A$17,AC$1:AI$1,0))=0,"",OFFSET($AB19,0,MATCH(A$17,AC$1:AI$1,0))&amp;" / "&amp;W19 &amp;" ("&amp;INDEX(Data!DX:DX,MATCH(W19,Data!DT:DT,0))&amp;")")</f>
        <v>2 / Karl Seper (15)</v>
      </c>
      <c r="AS19" s="204">
        <f>INDEX(Data!DX:DX,MATCH(W19,Data!DT:DT,0))</f>
        <v>15</v>
      </c>
      <c r="AT19" s="204" t="str">
        <f>MID(INDEX(Data!A:A,MATCH(W19,Data!DT:DT,0)),2,5)</f>
        <v>17</v>
      </c>
      <c r="AU19" s="204" t="str">
        <f>INDEX(Data!DW:DW,MATCH(W19,Data!DT:DT,0))</f>
        <v>M</v>
      </c>
      <c r="AV19" s="204" t="str">
        <f t="shared" ca="1" si="4"/>
        <v>R1/R2</v>
      </c>
      <c r="AW19" s="204" t="str">
        <f t="array" aca="1" ref="AW19" ca="1">INDEX($AR$3:$AR$102,MATCH(LARGE(COUNTIF($AQ$3:$AQ$102,"&lt;"&amp;$AQ$3:$AQ$102),ROWS(AQ$3:AQ19)),COUNTIF($AQ$3:$AQ$102,"&lt;"&amp;$AQ$3:$AQ$102),0))</f>
        <v>1 / Gerhard Petz (19)</v>
      </c>
    </row>
    <row r="20" spans="1:49" ht="15" customHeight="1" x14ac:dyDescent="0.25">
      <c r="A20" s="264" t="str">
        <f ca="1">AW4</f>
        <v>2 / Tamás Kovács (34)</v>
      </c>
      <c r="B20" s="265"/>
      <c r="C20" s="266"/>
      <c r="D20" s="398" t="str">
        <f t="shared" ca="1" si="27"/>
        <v>R1/R2</v>
      </c>
      <c r="E20" s="399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Jakub Matejka</v>
      </c>
      <c r="X20" s="215">
        <f>IF(ISERROR(INDEX(Data!$DY:$IB,MATCH($W20,Data!$DT:$DT,0),MATCH(X$1&amp;"/"&amp;$A$2,Data!$DY$1:$IB$1,0)))=TRUE,0,INDEX(Data!$DY:$IB,MATCH($W20,Data!$DT:$DT,0),MATCH(X$1&amp;"/"&amp;$A$2,Data!$DY$1:$IB$1,0)))</f>
        <v>2</v>
      </c>
      <c r="Y20" s="215">
        <f>IF(ISERROR(INDEX(Data!$DY:$IB,MATCH($W20,Data!$DT:$DT,0),MATCH(Y$1&amp;"/"&amp;$A$2,Data!$DY$1:$IB$1,0)))=TRUE,0,INDEX(Data!$DY:$IB,MATCH($W20,Data!$DT:$DT,0),MATCH(Y$1&amp;"/"&amp;$A$2,Data!$DY$1:$IB$1,0)))</f>
        <v>3</v>
      </c>
      <c r="Z20" s="215">
        <f>IF(ISERROR(INDEX(Data!$DY:$IB,MATCH($W20,Data!$DT:$DT,0),MATCH(Z$1&amp;"/"&amp;$A$2,Data!$DY$1:$IB$1,0)))=TRUE,0,INDEX(Data!$DY:$IB,MATCH($W20,Data!$DT:$DT,0),MATCH(Z$1&amp;"/"&amp;$A$2,Data!$DY$1:$IB$1,0)))</f>
        <v>0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1</v>
      </c>
      <c r="AE20" s="213">
        <f t="shared" ca="1" si="11"/>
        <v>1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/R1</v>
      </c>
      <c r="AL20" s="213" t="str">
        <f t="shared" ca="1" si="6"/>
        <v>/R2</v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>1482M</v>
      </c>
      <c r="AR20" s="204" t="str">
        <f ca="1">IF(OFFSET($AB20,0,MATCH(A$17,AC$1:AI$1,0))=0,"",OFFSET($AB20,0,MATCH(A$17,AC$1:AI$1,0))&amp;" / "&amp;W20 &amp;" ("&amp;INDEX(Data!DX:DX,MATCH(W20,Data!DT:DT,0))&amp;")")</f>
        <v>1 / Jakub Matejka (15)</v>
      </c>
      <c r="AS20" s="204">
        <f>INDEX(Data!DX:DX,MATCH(W20,Data!DT:DT,0))</f>
        <v>15</v>
      </c>
      <c r="AT20" s="204" t="str">
        <f>MID(INDEX(Data!A:A,MATCH(W20,Data!DT:DT,0)),2,5)</f>
        <v>18</v>
      </c>
      <c r="AU20" s="204" t="str">
        <f>INDEX(Data!DW:DW,MATCH(W20,Data!DT:DT,0))</f>
        <v>M</v>
      </c>
      <c r="AV20" s="204" t="str">
        <f t="shared" ca="1" si="4"/>
        <v>R1</v>
      </c>
      <c r="AW20" s="204" t="str">
        <f t="array" aca="1" ref="AW20" ca="1">INDEX($AR$3:$AR$102,MATCH(LARGE(COUNTIF($AQ$3:$AQ$102,"&lt;"&amp;$AQ$3:$AQ$102),ROWS(AQ$3:AQ20)),COUNTIF($AQ$3:$AQ$102,"&lt;"&amp;$AQ$3:$AQ$102),0))</f>
        <v>1 / Michael Seitlinger (28)</v>
      </c>
    </row>
    <row r="21" spans="1:49" x14ac:dyDescent="0.25">
      <c r="A21" s="264" t="str">
        <f ca="1">AW5</f>
        <v>1 / Otfried Derschmidt (1)</v>
      </c>
      <c r="B21" s="265"/>
      <c r="C21" s="266"/>
      <c r="D21" s="398" t="str">
        <f t="shared" ca="1" si="27"/>
        <v>R2</v>
      </c>
      <c r="E21" s="399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Gerhard Petz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2</v>
      </c>
      <c r="Z21" s="215">
        <f>IF(ISERROR(INDEX(Data!$DY:$IB,MATCH($W21,Data!$DT:$DT,0),MATCH(Z$1&amp;"/"&amp;$A$2,Data!$DY$1:$IB$1,0)))=TRUE,0,INDEX(Data!$DY:$IB,MATCH($W21,Data!$DT:$DT,0),MATCH(Z$1&amp;"/"&amp;$A$2,Data!$DY$1:$IB$1,0)))</f>
        <v>0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1</v>
      </c>
      <c r="AE21" s="213">
        <f t="shared" ca="1" si="11"/>
        <v>1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/R2</v>
      </c>
      <c r="AL21" s="213" t="str">
        <f t="shared" ca="1" si="6"/>
        <v>/R1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1481M</v>
      </c>
      <c r="AR21" s="204" t="str">
        <f ca="1">IF(OFFSET($AB21,0,MATCH(A$17,AC$1:AI$1,0))=0,"",OFFSET($AB21,0,MATCH(A$17,AC$1:AI$1,0))&amp;" / "&amp;W21 &amp;" ("&amp;INDEX(Data!DX:DX,MATCH(W21,Data!DT:DT,0))&amp;")")</f>
        <v>1 / Gerhard Petz (19)</v>
      </c>
      <c r="AS21" s="204">
        <f>INDEX(Data!DX:DX,MATCH(W21,Data!DT:DT,0))</f>
        <v>19</v>
      </c>
      <c r="AT21" s="204" t="str">
        <f>MID(INDEX(Data!A:A,MATCH(W21,Data!DT:DT,0)),2,5)</f>
        <v>19</v>
      </c>
      <c r="AU21" s="204" t="str">
        <f>INDEX(Data!DW:DW,MATCH(W21,Data!DT:DT,0))</f>
        <v>M</v>
      </c>
      <c r="AV21" s="204" t="str">
        <f t="shared" ca="1" si="4"/>
        <v>R2</v>
      </c>
      <c r="AW21" s="204" t="str">
        <f t="array" aca="1" ref="AW21" ca="1">INDEX($AR$3:$AR$102,MATCH(LARGE(COUNTIF($AQ$3:$AQ$102,"&lt;"&amp;$AQ$3:$AQ$102),ROWS(AQ$3:AQ21)),COUNTIF($AQ$3:$AQ$102,"&lt;"&amp;$AQ$3:$AQ$102),0))</f>
        <v>1 / Peter Naderer (29)</v>
      </c>
    </row>
    <row r="22" spans="1:49" x14ac:dyDescent="0.25">
      <c r="A22" s="264" t="str">
        <f t="shared" ref="A22:A85" ca="1" si="29">AW6</f>
        <v>1 / Dani Hatvani (2)</v>
      </c>
      <c r="B22" s="265"/>
      <c r="C22" s="266"/>
      <c r="D22" s="398" t="str">
        <f t="shared" ca="1" si="27"/>
        <v>R1</v>
      </c>
      <c r="E22" s="399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Aki Vuckovic</v>
      </c>
      <c r="X22" s="215">
        <f>IF(ISERROR(INDEX(Data!$DY:$IB,MATCH($W22,Data!$DT:$DT,0),MATCH(X$1&amp;"/"&amp;$A$2,Data!$DY$1:$IB$1,0)))=TRUE,0,INDEX(Data!$DY:$IB,MATCH($W22,Data!$DT:$DT,0),MATCH(X$1&amp;"/"&amp;$A$2,Data!$DY$1:$IB$1,0)))</f>
        <v>3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0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2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/R1/R2</v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20</v>
      </c>
      <c r="AT22" s="204" t="str">
        <f>MID(INDEX(Data!A:A,MATCH(W22,Data!DT:DT,0)),2,5)</f>
        <v>20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INDEX($AR$3:$AR$102,MATCH(LARGE(COUNTIF($AQ$3:$AQ$102,"&lt;"&amp;$AQ$3:$AQ$102),ROWS(AQ$3:AQ22)),COUNTIF($AQ$3:$AQ$102,"&lt;"&amp;$AQ$3:$AQ$102),0))</f>
        <v>1 / Pavol Kudela (34)</v>
      </c>
    </row>
    <row r="23" spans="1:49" x14ac:dyDescent="0.25">
      <c r="A23" s="264" t="str">
        <f t="shared" ca="1" si="29"/>
        <v>1 / Sonja Palmetshofer (3)</v>
      </c>
      <c r="B23" s="265"/>
      <c r="C23" s="266"/>
      <c r="D23" s="398" t="str">
        <f t="shared" ca="1" si="27"/>
        <v>R1</v>
      </c>
      <c r="E23" s="399"/>
      <c r="F23" s="203" t="str">
        <f t="shared" ca="1" si="28"/>
        <v>W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Reinhold Schachner</v>
      </c>
      <c r="X23" s="215">
        <f>IF(ISERROR(INDEX(Data!$DY:$IB,MATCH($W23,Data!$DT:$DT,0),MATCH(X$1&amp;"/"&amp;$A$2,Data!$DY$1:$IB$1,0)))=TRUE,0,INDEX(Data!$DY:$IB,MATCH($W23,Data!$DT:$DT,0),MATCH(X$1&amp;"/"&amp;$A$2,Data!$DY$1:$IB$1,0)))</f>
        <v>5</v>
      </c>
      <c r="Y23" s="215">
        <f>IF(ISERROR(INDEX(Data!$DY:$IB,MATCH($W23,Data!$DT:$DT,0),MATCH(Y$1&amp;"/"&amp;$A$2,Data!$DY$1:$IB$1,0)))=TRUE,0,INDEX(Data!$DY:$IB,MATCH($W23,Data!$DT:$DT,0),MATCH(Y$1&amp;"/"&amp;$A$2,Data!$DY$1:$IB$1,0)))</f>
        <v>4</v>
      </c>
      <c r="Z23" s="215">
        <f>IF(ISERROR(INDEX(Data!$DY:$IB,MATCH($W23,Data!$DT:$DT,0),MATCH(Z$1&amp;"/"&amp;$A$2,Data!$DY$1:$IB$1,0)))=TRUE,0,INDEX(Data!$DY:$IB,MATCH($W23,Data!$DT:$DT,0),MATCH(Z$1&amp;"/"&amp;$A$2,Data!$DY$1:$IB$1,0)))</f>
        <v>0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0</v>
      </c>
      <c r="AF23" s="213">
        <f t="shared" ca="1" si="11"/>
        <v>1</v>
      </c>
      <c r="AG23" s="213">
        <f t="shared" ca="1" si="11"/>
        <v>1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/>
      </c>
      <c r="AM23" s="213" t="str">
        <f t="shared" ca="1" si="7"/>
        <v>/R2</v>
      </c>
      <c r="AN23" s="213" t="str">
        <f t="shared" ca="1" si="8"/>
        <v>/R1</v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20</v>
      </c>
      <c r="AT23" s="204" t="str">
        <f>MID(INDEX(Data!A:A,MATCH(W23,Data!DT:DT,0)),2,5)</f>
        <v>21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INDEX($AR$3:$AR$102,MATCH(LARGE(COUNTIF($AQ$3:$AQ$102,"&lt;"&amp;$AQ$3:$AQ$102),ROWS(AQ$3:AQ23)),COUNTIF($AQ$3:$AQ$102,"&lt;"&amp;$AQ$3:$AQ$102),0))</f>
        <v>1 / Michael  Paulus (36)</v>
      </c>
    </row>
    <row r="24" spans="1:49" x14ac:dyDescent="0.25">
      <c r="A24" s="264" t="str">
        <f t="shared" ca="1" si="29"/>
        <v>1 / Peter Pichler (3)</v>
      </c>
      <c r="B24" s="265"/>
      <c r="C24" s="266"/>
      <c r="D24" s="398" t="str">
        <f t="shared" ca="1" si="27"/>
        <v>R1</v>
      </c>
      <c r="E24" s="399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Thomas Panhofer</v>
      </c>
      <c r="X24" s="215">
        <f>IF(ISERROR(INDEX(Data!$DY:$IB,MATCH($W24,Data!$DT:$DT,0),MATCH(X$1&amp;"/"&amp;$A$2,Data!$DY$1:$IB$1,0)))=TRUE,0,INDEX(Data!$DY:$IB,MATCH($W24,Data!$DT:$DT,0),MATCH(X$1&amp;"/"&amp;$A$2,Data!$DY$1:$IB$1,0)))</f>
        <v>3</v>
      </c>
      <c r="Y24" s="215">
        <f>IF(ISERROR(INDEX(Data!$DY:$IB,MATCH($W24,Data!$DT:$DT,0),MATCH(Y$1&amp;"/"&amp;$A$2,Data!$DY$1:$IB$1,0)))=TRUE,0,INDEX(Data!$DY:$IB,MATCH($W24,Data!$DT:$DT,0),MATCH(Y$1&amp;"/"&amp;$A$2,Data!$DY$1:$IB$1,0)))</f>
        <v>4</v>
      </c>
      <c r="Z24" s="215">
        <f>IF(ISERROR(INDEX(Data!$DY:$IB,MATCH($W24,Data!$DT:$DT,0),MATCH(Z$1&amp;"/"&amp;$A$2,Data!$DY$1:$IB$1,0)))=TRUE,0,INDEX(Data!$DY:$IB,MATCH($W24,Data!$DT:$DT,0),MATCH(Z$1&amp;"/"&amp;$A$2,Data!$DY$1:$IB$1,0)))</f>
        <v>0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1</v>
      </c>
      <c r="AF24" s="213">
        <f t="shared" ca="1" si="11"/>
        <v>1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/R1</v>
      </c>
      <c r="AM24" s="213" t="str">
        <f t="shared" ca="1" si="7"/>
        <v>/R2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20</v>
      </c>
      <c r="AT24" s="204" t="str">
        <f>MID(INDEX(Data!A:A,MATCH(W24,Data!DT:DT,0)),2,5)</f>
        <v>22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INDEX($AR$3:$AR$102,MATCH(LARGE(COUNTIF($AQ$3:$AQ$102,"&lt;"&amp;$AQ$3:$AQ$102),ROWS(AQ$3:AQ24)),COUNTIF($AQ$3:$AQ$102,"&lt;"&amp;$AQ$3:$AQ$102),0))</f>
        <v>1 / Mathias Gutdeutsch (37)</v>
      </c>
    </row>
    <row r="25" spans="1:49" x14ac:dyDescent="0.25">
      <c r="A25" s="264" t="str">
        <f t="shared" ca="1" si="29"/>
        <v>1 / Irmgard Derschmidt (4)</v>
      </c>
      <c r="B25" s="265"/>
      <c r="C25" s="266"/>
      <c r="D25" s="398" t="str">
        <f t="shared" ca="1" si="27"/>
        <v>R1</v>
      </c>
      <c r="E25" s="399"/>
      <c r="F25" s="203" t="str">
        <f t="shared" ca="1" si="28"/>
        <v>W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Markus Riepler</v>
      </c>
      <c r="X25" s="215">
        <f>IF(ISERROR(INDEX(Data!$DY:$IB,MATCH($W25,Data!$DT:$DT,0),MATCH(X$1&amp;"/"&amp;$A$2,Data!$DY$1:$IB$1,0)))=TRUE,0,INDEX(Data!$DY:$IB,MATCH($W25,Data!$DT:$DT,0),MATCH(X$1&amp;"/"&amp;$A$2,Data!$DY$1:$IB$1,0)))</f>
        <v>3</v>
      </c>
      <c r="Y25" s="215">
        <f>IF(ISERROR(INDEX(Data!$DY:$IB,MATCH($W25,Data!$DT:$DT,0),MATCH(Y$1&amp;"/"&amp;$A$2,Data!$DY$1:$IB$1,0)))=TRUE,0,INDEX(Data!$DY:$IB,MATCH($W25,Data!$DT:$DT,0),MATCH(Y$1&amp;"/"&amp;$A$2,Data!$DY$1:$IB$1,0)))</f>
        <v>3</v>
      </c>
      <c r="Z25" s="215">
        <f>IF(ISERROR(INDEX(Data!$DY:$IB,MATCH($W25,Data!$DT:$DT,0),MATCH(Z$1&amp;"/"&amp;$A$2,Data!$DY$1:$IB$1,0)))=TRUE,0,INDEX(Data!$DY:$IB,MATCH($W25,Data!$DT:$DT,0),MATCH(Z$1&amp;"/"&amp;$A$2,Data!$DY$1:$IB$1,0)))</f>
        <v>0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0</v>
      </c>
      <c r="AE25" s="213">
        <f t="shared" ca="1" si="11"/>
        <v>2</v>
      </c>
      <c r="AF25" s="213">
        <f t="shared" ca="1" si="11"/>
        <v>0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/>
      </c>
      <c r="AL25" s="213" t="str">
        <f t="shared" ca="1" si="6"/>
        <v>/R1/R2</v>
      </c>
      <c r="AM25" s="213" t="str">
        <f t="shared" ca="1" si="7"/>
        <v/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/>
      </c>
      <c r="AR25" s="204" t="str">
        <f ca="1">IF(OFFSET($AB25,0,MATCH(A$17,AC$1:AI$1,0))=0,"",OFFSET($AB25,0,MATCH(A$17,AC$1:AI$1,0))&amp;" / "&amp;W25 &amp;" ("&amp;INDEX(Data!DX:DX,MATCH(W25,Data!DT:DT,0))&amp;")")</f>
        <v/>
      </c>
      <c r="AS25" s="204">
        <f>INDEX(Data!DX:DX,MATCH(W25,Data!DT:DT,0))</f>
        <v>20</v>
      </c>
      <c r="AT25" s="204" t="str">
        <f>MID(INDEX(Data!A:A,MATCH(W25,Data!DT:DT,0)),2,5)</f>
        <v>23</v>
      </c>
      <c r="AU25" s="204" t="str">
        <f>INDEX(Data!DW:DW,MATCH(W25,Data!DT:DT,0))</f>
        <v>M</v>
      </c>
      <c r="AV25" s="204" t="str">
        <f t="shared" ca="1" si="4"/>
        <v/>
      </c>
      <c r="AW25" s="204" t="str">
        <f t="array" aca="1" ref="AW25" ca="1">INDEX($AR$3:$AR$102,MATCH(LARGE(COUNTIF($AQ$3:$AQ$102,"&lt;"&amp;$AQ$3:$AQ$102),ROWS(AQ$3:AQ25)),COUNTIF($AQ$3:$AQ$102,"&lt;"&amp;$AQ$3:$AQ$102),0))</f>
        <v>1 / Roman Miezga (40)</v>
      </c>
    </row>
    <row r="26" spans="1:49" ht="14.25" customHeight="1" x14ac:dyDescent="0.25">
      <c r="A26" s="264" t="str">
        <f t="shared" ca="1" si="29"/>
        <v>1 / Róbert Furka (5)</v>
      </c>
      <c r="B26" s="265"/>
      <c r="C26" s="266"/>
      <c r="D26" s="398" t="str">
        <f t="shared" ca="1" si="27"/>
        <v>R2</v>
      </c>
      <c r="E26" s="399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Neal Dambra</v>
      </c>
      <c r="X26" s="215">
        <f>IF(ISERROR(INDEX(Data!$DY:$IB,MATCH($W26,Data!$DT:$DT,0),MATCH(X$1&amp;"/"&amp;$A$2,Data!$DY$1:$IB$1,0)))=TRUE,0,INDEX(Data!$DY:$IB,MATCH($W26,Data!$DT:$DT,0),MATCH(X$1&amp;"/"&amp;$A$2,Data!$DY$1:$IB$1,0)))</f>
        <v>3</v>
      </c>
      <c r="Y26" s="215">
        <f>IF(ISERROR(INDEX(Data!$DY:$IB,MATCH($W26,Data!$DT:$DT,0),MATCH(Y$1&amp;"/"&amp;$A$2,Data!$DY$1:$IB$1,0)))=TRUE,0,INDEX(Data!$DY:$IB,MATCH($W26,Data!$DT:$DT,0),MATCH(Y$1&amp;"/"&amp;$A$2,Data!$DY$1:$IB$1,0)))</f>
        <v>5</v>
      </c>
      <c r="Z26" s="215">
        <f>IF(ISERROR(INDEX(Data!$DY:$IB,MATCH($W26,Data!$DT:$DT,0),MATCH(Z$1&amp;"/"&amp;$A$2,Data!$DY$1:$IB$1,0)))=TRUE,0,INDEX(Data!$DY:$IB,MATCH($W26,Data!$DT:$DT,0),MATCH(Z$1&amp;"/"&amp;$A$2,Data!$DY$1:$IB$1,0)))</f>
        <v>0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1</v>
      </c>
      <c r="AF26" s="213">
        <f t="shared" ca="1" si="11"/>
        <v>0</v>
      </c>
      <c r="AG26" s="213">
        <f t="shared" ca="1" si="11"/>
        <v>1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>/R1</v>
      </c>
      <c r="AM26" s="213" t="str">
        <f t="shared" ca="1" si="7"/>
        <v/>
      </c>
      <c r="AN26" s="213" t="str">
        <f t="shared" ca="1" si="8"/>
        <v>/R2</v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24</v>
      </c>
      <c r="AT26" s="204" t="str">
        <f>MID(INDEX(Data!A:A,MATCH(W26,Data!DT:DT,0)),2,5)</f>
        <v>24</v>
      </c>
      <c r="AU26" s="204" t="str">
        <f>INDEX(Data!DW:DW,MATCH(W26,Data!DT:DT,0))</f>
        <v>M</v>
      </c>
      <c r="AV26" s="204" t="str">
        <f t="shared" ca="1" si="4"/>
        <v/>
      </c>
      <c r="AW26" s="204" t="str">
        <f t="array" aca="1" ref="AW26" ca="1">INDEX($AR$3:$AR$102,MATCH(LARGE(COUNTIF($AQ$3:$AQ$102,"&lt;"&amp;$AQ$3:$AQ$102),ROWS(AQ$3:AQ26)),COUNTIF($AQ$3:$AQ$102,"&lt;"&amp;$AQ$3:$AQ$102),0))</f>
        <v>1 / Stefan Topolovec (44)</v>
      </c>
    </row>
    <row r="27" spans="1:49" x14ac:dyDescent="0.25">
      <c r="A27" s="264" t="str">
        <f t="shared" ca="1" si="29"/>
        <v>1 / Michaela Trimmel (7)</v>
      </c>
      <c r="B27" s="265"/>
      <c r="C27" s="266"/>
      <c r="D27" s="398" t="str">
        <f t="shared" ca="1" si="27"/>
        <v>R2</v>
      </c>
      <c r="E27" s="399"/>
      <c r="F27" s="203" t="str">
        <f t="shared" ca="1" si="28"/>
        <v>W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Lukas Froschauer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3</v>
      </c>
      <c r="Z27" s="215">
        <f>IF(ISERROR(INDEX(Data!$DY:$IB,MATCH($W27,Data!$DT:$DT,0),MATCH(Z$1&amp;"/"&amp;$A$2,Data!$DY$1:$IB$1,0)))=TRUE,0,INDEX(Data!$DY:$IB,MATCH($W27,Data!$DT:$DT,0),MATCH(Z$1&amp;"/"&amp;$A$2,Data!$DY$1:$IB$1,0)))</f>
        <v>0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2</v>
      </c>
      <c r="AF27" s="213">
        <f t="shared" ca="1" si="11"/>
        <v>0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>/R1/R2</v>
      </c>
      <c r="AM27" s="213" t="str">
        <f t="shared" ca="1" si="7"/>
        <v/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24</v>
      </c>
      <c r="AT27" s="204" t="str">
        <f>MID(INDEX(Data!A:A,MATCH(W27,Data!DT:DT,0)),2,5)</f>
        <v>25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INDEX($AR$3:$AR$102,MATCH(LARGE(COUNTIF($AQ$3:$AQ$102,"&lt;"&amp;$AQ$3:$AQ$102),ROWS(AQ$3:AQ27)),COUNTIF($AQ$3:$AQ$102,"&lt;"&amp;$AQ$3:$AQ$102),0))</f>
        <v>1 / Wolfgang Bitschnau (53)</v>
      </c>
    </row>
    <row r="28" spans="1:49" x14ac:dyDescent="0.25">
      <c r="A28" s="264" t="str">
        <f t="shared" ca="1" si="29"/>
        <v>1 / Bernd Kolmanz (9)</v>
      </c>
      <c r="B28" s="265"/>
      <c r="C28" s="266"/>
      <c r="D28" s="398" t="str">
        <f t="shared" ca="1" si="27"/>
        <v>R1</v>
      </c>
      <c r="E28" s="399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Manuel Oman</v>
      </c>
      <c r="X28" s="215">
        <f>IF(ISERROR(INDEX(Data!$DY:$IB,MATCH($W28,Data!$DT:$DT,0),MATCH(X$1&amp;"/"&amp;$A$2,Data!$DY$1:$IB$1,0)))=TRUE,0,INDEX(Data!$DY:$IB,MATCH($W28,Data!$DT:$DT,0),MATCH(X$1&amp;"/"&amp;$A$2,Data!$DY$1:$IB$1,0)))</f>
        <v>4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0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1</v>
      </c>
      <c r="AF28" s="213">
        <f t="shared" ca="1" si="11"/>
        <v>1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/R2</v>
      </c>
      <c r="AM28" s="213" t="str">
        <f t="shared" ca="1" si="7"/>
        <v>/R1</v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26</v>
      </c>
      <c r="AT28" s="204" t="str">
        <f>MID(INDEX(Data!A:A,MATCH(W28,Data!DT:DT,0)),2,5)</f>
        <v>26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INDEX($AR$3:$AR$102,MATCH(LARGE(COUNTIF($AQ$3:$AQ$102,"&lt;"&amp;$AQ$3:$AQ$102),ROWS(AQ$3:AQ28)),COUNTIF($AQ$3:$AQ$102,"&lt;"&amp;$AQ$3:$AQ$102),0))</f>
        <v>1 / Christian Stepanek (56)</v>
      </c>
    </row>
    <row r="29" spans="1:49" x14ac:dyDescent="0.25">
      <c r="A29" s="264" t="str">
        <f t="shared" ca="1" si="29"/>
        <v>1 / Mike Bischof-Horak (9)</v>
      </c>
      <c r="B29" s="265"/>
      <c r="C29" s="266"/>
      <c r="D29" s="398" t="str">
        <f t="shared" ca="1" si="27"/>
        <v>R2</v>
      </c>
      <c r="E29" s="399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Barnabas Jozsa</v>
      </c>
      <c r="X29" s="215">
        <f>IF(ISERROR(INDEX(Data!$DY:$IB,MATCH($W29,Data!$DT:$DT,0),MATCH(X$1&amp;"/"&amp;$A$2,Data!$DY$1:$IB$1,0)))=TRUE,0,INDEX(Data!$DY:$IB,MATCH($W29,Data!$DT:$DT,0),MATCH(X$1&amp;"/"&amp;$A$2,Data!$DY$1:$IB$1,0)))</f>
        <v>3</v>
      </c>
      <c r="Y29" s="215">
        <f>IF(ISERROR(INDEX(Data!$DY:$IB,MATCH($W29,Data!$DT:$DT,0),MATCH(Y$1&amp;"/"&amp;$A$2,Data!$DY$1:$IB$1,0)))=TRUE,0,INDEX(Data!$DY:$IB,MATCH($W29,Data!$DT:$DT,0),MATCH(Y$1&amp;"/"&amp;$A$2,Data!$DY$1:$IB$1,0)))</f>
        <v>4</v>
      </c>
      <c r="Z29" s="215">
        <f>IF(ISERROR(INDEX(Data!$DY:$IB,MATCH($W29,Data!$DT:$DT,0),MATCH(Z$1&amp;"/"&amp;$A$2,Data!$DY$1:$IB$1,0)))=TRUE,0,INDEX(Data!$DY:$IB,MATCH($W29,Data!$DT:$DT,0),MATCH(Z$1&amp;"/"&amp;$A$2,Data!$DY$1:$IB$1,0)))</f>
        <v>0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1</v>
      </c>
      <c r="AF29" s="213">
        <f t="shared" ca="1" si="11"/>
        <v>1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/R1</v>
      </c>
      <c r="AM29" s="213" t="str">
        <f t="shared" ca="1" si="7"/>
        <v>/R2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26</v>
      </c>
      <c r="AT29" s="204" t="str">
        <f>MID(INDEX(Data!A:A,MATCH(W29,Data!DT:DT,0)),2,5)</f>
        <v>27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>1 / Gerald Froschauer (59)</v>
      </c>
    </row>
    <row r="30" spans="1:49" x14ac:dyDescent="0.25">
      <c r="A30" s="264" t="str">
        <f t="shared" ca="1" si="29"/>
        <v>1 / Eric Osterwinter (9)</v>
      </c>
      <c r="B30" s="265"/>
      <c r="C30" s="266"/>
      <c r="D30" s="398" t="str">
        <f t="shared" ca="1" si="27"/>
        <v>R1</v>
      </c>
      <c r="E30" s="399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Michael Seitlinger</v>
      </c>
      <c r="X30" s="215">
        <f>IF(ISERROR(INDEX(Data!$DY:$IB,MATCH($W30,Data!$DT:$DT,0),MATCH(X$1&amp;"/"&amp;$A$2,Data!$DY$1:$IB$1,0)))=TRUE,0,INDEX(Data!$DY:$IB,MATCH($W30,Data!$DT:$DT,0),MATCH(X$1&amp;"/"&amp;$A$2,Data!$DY$1:$IB$1,0)))</f>
        <v>3</v>
      </c>
      <c r="Y30" s="215">
        <f>IF(ISERROR(INDEX(Data!$DY:$IB,MATCH($W30,Data!$DT:$DT,0),MATCH(Y$1&amp;"/"&amp;$A$2,Data!$DY$1:$IB$1,0)))=TRUE,0,INDEX(Data!$DY:$IB,MATCH($W30,Data!$DT:$DT,0),MATCH(Y$1&amp;"/"&amp;$A$2,Data!$DY$1:$IB$1,0)))</f>
        <v>2</v>
      </c>
      <c r="Z30" s="215">
        <f>IF(ISERROR(INDEX(Data!$DY:$IB,MATCH($W30,Data!$DT:$DT,0),MATCH(Z$1&amp;"/"&amp;$A$2,Data!$DY$1:$IB$1,0)))=TRUE,0,INDEX(Data!$DY:$IB,MATCH($W30,Data!$DT:$DT,0),MATCH(Z$1&amp;"/"&amp;$A$2,Data!$DY$1:$IB$1,0)))</f>
        <v>0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1</v>
      </c>
      <c r="AE30" s="213">
        <f t="shared" ca="1" si="11"/>
        <v>1</v>
      </c>
      <c r="AF30" s="213">
        <f t="shared" ca="1" si="11"/>
        <v>0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>/R2</v>
      </c>
      <c r="AL30" s="213" t="str">
        <f t="shared" ca="1" si="6"/>
        <v>/R1</v>
      </c>
      <c r="AM30" s="213" t="str">
        <f t="shared" ca="1" si="7"/>
        <v/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>1472M</v>
      </c>
      <c r="AR30" s="204" t="str">
        <f ca="1">IF(OFFSET($AB30,0,MATCH(A$17,AC$1:AI$1,0))=0,"",OFFSET($AB30,0,MATCH(A$17,AC$1:AI$1,0))&amp;" / "&amp;W30 &amp;" ("&amp;INDEX(Data!DX:DX,MATCH(W30,Data!DT:DT,0))&amp;")")</f>
        <v>1 / Michael Seitlinger (28)</v>
      </c>
      <c r="AS30" s="204">
        <f>INDEX(Data!DX:DX,MATCH(W30,Data!DT:DT,0))</f>
        <v>28</v>
      </c>
      <c r="AT30" s="204" t="str">
        <f>MID(INDEX(Data!A:A,MATCH(W30,Data!DT:DT,0)),2,5)</f>
        <v>28</v>
      </c>
      <c r="AU30" s="204" t="str">
        <f>INDEX(Data!DW:DW,MATCH(W30,Data!DT:DT,0))</f>
        <v>M</v>
      </c>
      <c r="AV30" s="204" t="str">
        <f t="shared" ca="1" si="4"/>
        <v>R2</v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4" t="str">
        <f t="shared" ca="1" si="29"/>
        <v>1 / Johannes Hielfer (13)</v>
      </c>
      <c r="B31" s="265"/>
      <c r="C31" s="266"/>
      <c r="D31" s="398" t="str">
        <f t="shared" ca="1" si="27"/>
        <v>R1</v>
      </c>
      <c r="E31" s="399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Katka Bodova</v>
      </c>
      <c r="X31" s="215">
        <f>IF(ISERROR(INDEX(Data!$DY:$IB,MATCH($W31,Data!$DT:$DT,0),MATCH(X$1&amp;"/"&amp;$A$2,Data!$DY$1:$IB$1,0)))=TRUE,0,INDEX(Data!$DY:$IB,MATCH($W31,Data!$DT:$DT,0),MATCH(X$1&amp;"/"&amp;$A$2,Data!$DY$1:$IB$1,0)))</f>
        <v>4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0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1</v>
      </c>
      <c r="AF31" s="213">
        <f t="shared" ca="1" si="11"/>
        <v>1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/R2</v>
      </c>
      <c r="AM31" s="213" t="str">
        <f t="shared" ca="1" si="7"/>
        <v>/R1</v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1</v>
      </c>
      <c r="AT31" s="204" t="str">
        <f>MID(INDEX(Data!A:A,MATCH(W31,Data!DT:DT,0)),2,5)</f>
        <v>1</v>
      </c>
      <c r="AU31" s="204" t="str">
        <f>INDEX(Data!DW:DW,MATCH(W31,Data!DT:DT,0))</f>
        <v>W</v>
      </c>
      <c r="AV31" s="204" t="str">
        <f t="shared" ca="1" si="4"/>
        <v/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4" t="str">
        <f t="shared" ca="1" si="29"/>
        <v>1 / Michal Kúdela (13)</v>
      </c>
      <c r="B32" s="265"/>
      <c r="C32" s="266"/>
      <c r="D32" s="398" t="str">
        <f t="shared" ca="1" si="27"/>
        <v>R1</v>
      </c>
      <c r="E32" s="399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Gerold Lehner</v>
      </c>
      <c r="X32" s="215">
        <f>IF(ISERROR(INDEX(Data!$DY:$IB,MATCH($W32,Data!$DT:$DT,0),MATCH(X$1&amp;"/"&amp;$A$2,Data!$DY$1:$IB$1,0)))=TRUE,0,INDEX(Data!$DY:$IB,MATCH($W32,Data!$DT:$DT,0),MATCH(X$1&amp;"/"&amp;$A$2,Data!$DY$1:$IB$1,0)))</f>
        <v>3</v>
      </c>
      <c r="Y32" s="215">
        <f>IF(ISERROR(INDEX(Data!$DY:$IB,MATCH($W32,Data!$DT:$DT,0),MATCH(Y$1&amp;"/"&amp;$A$2,Data!$DY$1:$IB$1,0)))=TRUE,0,INDEX(Data!$DY:$IB,MATCH($W32,Data!$DT:$DT,0),MATCH(Y$1&amp;"/"&amp;$A$2,Data!$DY$1:$IB$1,0)))</f>
        <v>5</v>
      </c>
      <c r="Z32" s="215">
        <f>IF(ISERROR(INDEX(Data!$DY:$IB,MATCH($W32,Data!$DT:$DT,0),MATCH(Z$1&amp;"/"&amp;$A$2,Data!$DY$1:$IB$1,0)))=TRUE,0,INDEX(Data!$DY:$IB,MATCH($W32,Data!$DT:$DT,0),MATCH(Z$1&amp;"/"&amp;$A$2,Data!$DY$1:$IB$1,0)))</f>
        <v>0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1</v>
      </c>
      <c r="AF32" s="213">
        <f t="shared" ca="1" si="11"/>
        <v>0</v>
      </c>
      <c r="AG32" s="213">
        <f t="shared" ca="1" si="11"/>
        <v>1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>/R1</v>
      </c>
      <c r="AM32" s="213" t="str">
        <f t="shared" ca="1" si="7"/>
        <v/>
      </c>
      <c r="AN32" s="213" t="str">
        <f t="shared" ca="1" si="8"/>
        <v>/R2</v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>
        <f>INDEX(Data!DX:DX,MATCH(W32,Data!DT:DT,0))</f>
        <v>29</v>
      </c>
      <c r="AT32" s="204" t="str">
        <f>MID(INDEX(Data!A:A,MATCH(W32,Data!DT:DT,0)),2,5)</f>
        <v>29</v>
      </c>
      <c r="AU32" s="204" t="str">
        <f>INDEX(Data!DW:DW,MATCH(W32,Data!DT:DT,0))</f>
        <v>M</v>
      </c>
      <c r="AV32" s="204" t="str">
        <f t="shared" ca="1" si="4"/>
        <v/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4" t="str">
        <f t="shared" ca="1" si="29"/>
        <v>1 / Stefan Sonnleitner (15)</v>
      </c>
      <c r="B33" s="265"/>
      <c r="C33" s="266"/>
      <c r="D33" s="398" t="str">
        <f t="shared" ca="1" si="27"/>
        <v>R2</v>
      </c>
      <c r="E33" s="399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Peter Naderer</v>
      </c>
      <c r="X33" s="215">
        <f>IF(ISERROR(INDEX(Data!$DY:$IB,MATCH($W33,Data!$DT:$DT,0),MATCH(X$1&amp;"/"&amp;$A$2,Data!$DY$1:$IB$1,0)))=TRUE,0,INDEX(Data!$DY:$IB,MATCH($W33,Data!$DT:$DT,0),MATCH(X$1&amp;"/"&amp;$A$2,Data!$DY$1:$IB$1,0)))</f>
        <v>3</v>
      </c>
      <c r="Y33" s="215">
        <f>IF(ISERROR(INDEX(Data!$DY:$IB,MATCH($W33,Data!$DT:$DT,0),MATCH(Y$1&amp;"/"&amp;$A$2,Data!$DY$1:$IB$1,0)))=TRUE,0,INDEX(Data!$DY:$IB,MATCH($W33,Data!$DT:$DT,0),MATCH(Y$1&amp;"/"&amp;$A$2,Data!$DY$1:$IB$1,0)))</f>
        <v>2</v>
      </c>
      <c r="Z33" s="215">
        <f>IF(ISERROR(INDEX(Data!$DY:$IB,MATCH($W33,Data!$DT:$DT,0),MATCH(Z$1&amp;"/"&amp;$A$2,Data!$DY$1:$IB$1,0)))=TRUE,0,INDEX(Data!$DY:$IB,MATCH($W33,Data!$DT:$DT,0),MATCH(Z$1&amp;"/"&amp;$A$2,Data!$DY$1:$IB$1,0)))</f>
        <v>0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1</v>
      </c>
      <c r="AE33" s="213">
        <f t="shared" ca="1" si="11"/>
        <v>1</v>
      </c>
      <c r="AF33" s="213">
        <f t="shared" ca="1" si="11"/>
        <v>0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>/R2</v>
      </c>
      <c r="AL33" s="213" t="str">
        <f t="shared" ca="1" si="6"/>
        <v>/R1</v>
      </c>
      <c r="AM33" s="213" t="str">
        <f t="shared" ca="1" si="7"/>
        <v/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>1470M</v>
      </c>
      <c r="AR33" s="204" t="str">
        <f ca="1">IF(OFFSET($AB33,0,MATCH(A$17,AC$1:AI$1,0))=0,"",OFFSET($AB33,0,MATCH(A$17,AC$1:AI$1,0))&amp;" / "&amp;W33 &amp;" ("&amp;INDEX(Data!DX:DX,MATCH(W33,Data!DT:DT,0))&amp;")")</f>
        <v>1 / Peter Naderer (29)</v>
      </c>
      <c r="AS33" s="204">
        <f>INDEX(Data!DX:DX,MATCH(W33,Data!DT:DT,0))</f>
        <v>29</v>
      </c>
      <c r="AT33" s="204" t="str">
        <f>MID(INDEX(Data!A:A,MATCH(W33,Data!DT:DT,0)),2,5)</f>
        <v>30</v>
      </c>
      <c r="AU33" s="204" t="str">
        <f>INDEX(Data!DW:DW,MATCH(W33,Data!DT:DT,0))</f>
        <v>M</v>
      </c>
      <c r="AV33" s="204" t="str">
        <f t="shared" ca="1" si="4"/>
        <v>R2</v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4" t="str">
        <f t="shared" ca="1" si="29"/>
        <v>1 / Jakub Matejka (15)</v>
      </c>
      <c r="B34" s="265"/>
      <c r="C34" s="266"/>
      <c r="D34" s="398" t="str">
        <f t="shared" ca="1" si="27"/>
        <v>R1</v>
      </c>
      <c r="E34" s="399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Alexander Kukuvec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3</v>
      </c>
      <c r="Z34" s="215">
        <f>IF(ISERROR(INDEX(Data!$DY:$IB,MATCH($W34,Data!$DT:$DT,0),MATCH(Z$1&amp;"/"&amp;$A$2,Data!$DY$1:$IB$1,0)))=TRUE,0,INDEX(Data!$DY:$IB,MATCH($W34,Data!$DT:$DT,0),MATCH(Z$1&amp;"/"&amp;$A$2,Data!$DY$1:$IB$1,0)))</f>
        <v>0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2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/R1/R2</v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29</v>
      </c>
      <c r="AT34" s="204" t="str">
        <f>MID(INDEX(Data!A:A,MATCH(W34,Data!DT:DT,0)),2,5)</f>
        <v>31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4" t="str">
        <f t="shared" ca="1" si="29"/>
        <v>1 / Gerhard Petz (19)</v>
      </c>
      <c r="B35" s="265"/>
      <c r="C35" s="266"/>
      <c r="D35" s="398" t="str">
        <f t="shared" ca="1" si="27"/>
        <v>R2</v>
      </c>
      <c r="E35" s="399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Tomislav Goricki</v>
      </c>
      <c r="X35" s="215">
        <f>IF(ISERROR(INDEX(Data!$DY:$IB,MATCH($W35,Data!$DT:$DT,0),MATCH(X$1&amp;"/"&amp;$A$2,Data!$DY$1:$IB$1,0)))=TRUE,0,INDEX(Data!$DY:$IB,MATCH($W35,Data!$DT:$DT,0),MATCH(X$1&amp;"/"&amp;$A$2,Data!$DY$1:$IB$1,0)))</f>
        <v>3</v>
      </c>
      <c r="Y35" s="215">
        <f>IF(ISERROR(INDEX(Data!$DY:$IB,MATCH($W35,Data!$DT:$DT,0),MATCH(Y$1&amp;"/"&amp;$A$2,Data!$DY$1:$IB$1,0)))=TRUE,0,INDEX(Data!$DY:$IB,MATCH($W35,Data!$DT:$DT,0),MATCH(Y$1&amp;"/"&amp;$A$2,Data!$DY$1:$IB$1,0)))</f>
        <v>3</v>
      </c>
      <c r="Z35" s="215">
        <f>IF(ISERROR(INDEX(Data!$DY:$IB,MATCH($W35,Data!$DT:$DT,0),MATCH(Z$1&amp;"/"&amp;$A$2,Data!$DY$1:$IB$1,0)))=TRUE,0,INDEX(Data!$DY:$IB,MATCH($W35,Data!$DT:$DT,0),MATCH(Z$1&amp;"/"&amp;$A$2,Data!$DY$1:$IB$1,0)))</f>
        <v>0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2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>/R1/R2</v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29</v>
      </c>
      <c r="AT35" s="204" t="str">
        <f>MID(INDEX(Data!A:A,MATCH(W35,Data!DT:DT,0)),2,5)</f>
        <v>32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4" t="str">
        <f t="shared" ca="1" si="29"/>
        <v>1 / Michael Seitlinger (28)</v>
      </c>
      <c r="B36" s="265"/>
      <c r="C36" s="266"/>
      <c r="D36" s="398" t="str">
        <f t="shared" ca="1" si="27"/>
        <v>R2</v>
      </c>
      <c r="E36" s="399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Balazs Veres</v>
      </c>
      <c r="X36" s="215">
        <f>IF(ISERROR(INDEX(Data!$DY:$IB,MATCH($W36,Data!$DT:$DT,0),MATCH(X$1&amp;"/"&amp;$A$2,Data!$DY$1:$IB$1,0)))=TRUE,0,INDEX(Data!$DY:$IB,MATCH($W36,Data!$DT:$DT,0),MATCH(X$1&amp;"/"&amp;$A$2,Data!$DY$1:$IB$1,0)))</f>
        <v>3</v>
      </c>
      <c r="Y36" s="215">
        <f>IF(ISERROR(INDEX(Data!$DY:$IB,MATCH($W36,Data!$DT:$DT,0),MATCH(Y$1&amp;"/"&amp;$A$2,Data!$DY$1:$IB$1,0)))=TRUE,0,INDEX(Data!$DY:$IB,MATCH($W36,Data!$DT:$DT,0),MATCH(Y$1&amp;"/"&amp;$A$2,Data!$DY$1:$IB$1,0)))</f>
        <v>4</v>
      </c>
      <c r="Z36" s="215">
        <f>IF(ISERROR(INDEX(Data!$DY:$IB,MATCH($W36,Data!$DT:$DT,0),MATCH(Z$1&amp;"/"&amp;$A$2,Data!$DY$1:$IB$1,0)))=TRUE,0,INDEX(Data!$DY:$IB,MATCH($W36,Data!$DT:$DT,0),MATCH(Z$1&amp;"/"&amp;$A$2,Data!$DY$1:$IB$1,0)))</f>
        <v>0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1</v>
      </c>
      <c r="AF36" s="213">
        <f t="shared" ca="1" si="11"/>
        <v>1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/R1</v>
      </c>
      <c r="AM36" s="213" t="str">
        <f t="shared" ref="AM36:AM67" ca="1" si="33">IF(AF36=0,"",IF($X36=AF$2,"/R1","")&amp;IF($Y36=AF$2,"/R2","")&amp;IF($Z36=AF$2,"/R3","")&amp;IF($AA36=AF$2,"/F","")&amp;IF($AB36=AF$2,"/PO",""))</f>
        <v>/R2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29</v>
      </c>
      <c r="AT36" s="204" t="str">
        <f>MID(INDEX(Data!A:A,MATCH(W36,Data!DT:DT,0)),2,5)</f>
        <v>33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4" t="str">
        <f t="shared" ca="1" si="29"/>
        <v>1 / Peter Naderer (29)</v>
      </c>
      <c r="B37" s="265"/>
      <c r="C37" s="266"/>
      <c r="D37" s="398" t="str">
        <f t="shared" ca="1" si="27"/>
        <v>R2</v>
      </c>
      <c r="E37" s="399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Tamás Kovács</v>
      </c>
      <c r="X37" s="215">
        <f>IF(ISERROR(INDEX(Data!$DY:$IB,MATCH($W37,Data!$DT:$DT,0),MATCH(X$1&amp;"/"&amp;$A$2,Data!$DY$1:$IB$1,0)))=TRUE,0,INDEX(Data!$DY:$IB,MATCH($W37,Data!$DT:$DT,0),MATCH(X$1&amp;"/"&amp;$A$2,Data!$DY$1:$IB$1,0)))</f>
        <v>2</v>
      </c>
      <c r="Y37" s="215">
        <f>IF(ISERROR(INDEX(Data!$DY:$IB,MATCH($W37,Data!$DT:$DT,0),MATCH(Y$1&amp;"/"&amp;$A$2,Data!$DY$1:$IB$1,0)))=TRUE,0,INDEX(Data!$DY:$IB,MATCH($W37,Data!$DT:$DT,0),MATCH(Y$1&amp;"/"&amp;$A$2,Data!$DY$1:$IB$1,0)))</f>
        <v>2</v>
      </c>
      <c r="Z37" s="215">
        <f>IF(ISERROR(INDEX(Data!$DY:$IB,MATCH($W37,Data!$DT:$DT,0),MATCH(Z$1&amp;"/"&amp;$A$2,Data!$DY$1:$IB$1,0)))=TRUE,0,INDEX(Data!$DY:$IB,MATCH($W37,Data!$DT:$DT,0),MATCH(Z$1&amp;"/"&amp;$A$2,Data!$DY$1:$IB$1,0)))</f>
        <v>0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2</v>
      </c>
      <c r="AE37" s="213">
        <f t="shared" ca="1" si="11"/>
        <v>0</v>
      </c>
      <c r="AF37" s="213">
        <f t="shared" ca="1" si="11"/>
        <v>0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>/R1/R2</v>
      </c>
      <c r="AL37" s="213" t="str">
        <f t="shared" ca="1" si="6"/>
        <v/>
      </c>
      <c r="AM37" s="213" t="str">
        <f t="shared" ca="1" si="33"/>
        <v/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>2466M</v>
      </c>
      <c r="AR37" s="204" t="str">
        <f ca="1">IF(OFFSET($AB37,0,MATCH(A$17,AC$1:AI$1,0))=0,"",OFFSET($AB37,0,MATCH(A$17,AC$1:AI$1,0))&amp;" / "&amp;W37 &amp;" ("&amp;INDEX(Data!DX:DX,MATCH(W37,Data!DT:DT,0))&amp;")")</f>
        <v>2 / Tamás Kovács (34)</v>
      </c>
      <c r="AS37" s="204">
        <f>INDEX(Data!DX:DX,MATCH(W37,Data!DT:DT,0))</f>
        <v>34</v>
      </c>
      <c r="AT37" s="204" t="str">
        <f>MID(INDEX(Data!A:A,MATCH(W37,Data!DT:DT,0)),2,5)</f>
        <v>34</v>
      </c>
      <c r="AU37" s="204" t="str">
        <f>INDEX(Data!DW:DW,MATCH(W37,Data!DT:DT,0))</f>
        <v>M</v>
      </c>
      <c r="AV37" s="204" t="str">
        <f t="shared" ca="1" si="31"/>
        <v>R1/R2</v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4" t="str">
        <f t="shared" ca="1" si="29"/>
        <v>1 / Pavol Kudela (34)</v>
      </c>
      <c r="B38" s="265"/>
      <c r="C38" s="266"/>
      <c r="D38" s="398" t="str">
        <f t="shared" ca="1" si="27"/>
        <v>R1</v>
      </c>
      <c r="E38" s="399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Pavol Kudela</v>
      </c>
      <c r="X38" s="215">
        <f>IF(ISERROR(INDEX(Data!$DY:$IB,MATCH($W38,Data!$DT:$DT,0),MATCH(X$1&amp;"/"&amp;$A$2,Data!$DY$1:$IB$1,0)))=TRUE,0,INDEX(Data!$DY:$IB,MATCH($W38,Data!$DT:$DT,0),MATCH(X$1&amp;"/"&amp;$A$2,Data!$DY$1:$IB$1,0)))</f>
        <v>2</v>
      </c>
      <c r="Y38" s="215">
        <f>IF(ISERROR(INDEX(Data!$DY:$IB,MATCH($W38,Data!$DT:$DT,0),MATCH(Y$1&amp;"/"&amp;$A$2,Data!$DY$1:$IB$1,0)))=TRUE,0,INDEX(Data!$DY:$IB,MATCH($W38,Data!$DT:$DT,0),MATCH(Y$1&amp;"/"&amp;$A$2,Data!$DY$1:$IB$1,0)))</f>
        <v>3</v>
      </c>
      <c r="Z38" s="215">
        <f>IF(ISERROR(INDEX(Data!$DY:$IB,MATCH($W38,Data!$DT:$DT,0),MATCH(Z$1&amp;"/"&amp;$A$2,Data!$DY$1:$IB$1,0)))=TRUE,0,INDEX(Data!$DY:$IB,MATCH($W38,Data!$DT:$DT,0),MATCH(Z$1&amp;"/"&amp;$A$2,Data!$DY$1:$IB$1,0)))</f>
        <v>0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1</v>
      </c>
      <c r="AE38" s="213">
        <f t="shared" ca="1" si="11"/>
        <v>1</v>
      </c>
      <c r="AF38" s="213">
        <f t="shared" ca="1" si="11"/>
        <v>0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>/R1</v>
      </c>
      <c r="AL38" s="213" t="str">
        <f t="shared" ca="1" si="6"/>
        <v>/R2</v>
      </c>
      <c r="AM38" s="213" t="str">
        <f t="shared" ca="1" si="33"/>
        <v/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>1465M</v>
      </c>
      <c r="AR38" s="204" t="str">
        <f ca="1">IF(OFFSET($AB38,0,MATCH(A$17,AC$1:AI$1,0))=0,"",OFFSET($AB38,0,MATCH(A$17,AC$1:AI$1,0))&amp;" / "&amp;W38 &amp;" ("&amp;INDEX(Data!DX:DX,MATCH(W38,Data!DT:DT,0))&amp;")")</f>
        <v>1 / Pavol Kudela (34)</v>
      </c>
      <c r="AS38" s="204">
        <f>INDEX(Data!DX:DX,MATCH(W38,Data!DT:DT,0))</f>
        <v>34</v>
      </c>
      <c r="AT38" s="204" t="str">
        <f>MID(INDEX(Data!A:A,MATCH(W38,Data!DT:DT,0)),2,5)</f>
        <v>35</v>
      </c>
      <c r="AU38" s="204" t="str">
        <f>INDEX(Data!DW:DW,MATCH(W38,Data!DT:DT,0))</f>
        <v>M</v>
      </c>
      <c r="AV38" s="204" t="str">
        <f t="shared" ca="1" si="31"/>
        <v>R1</v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4" t="str">
        <f t="shared" ca="1" si="29"/>
        <v>1 / Michael  Paulus (36)</v>
      </c>
      <c r="B39" s="265"/>
      <c r="C39" s="266"/>
      <c r="D39" s="398" t="str">
        <f t="shared" ca="1" si="27"/>
        <v>R1</v>
      </c>
      <c r="E39" s="399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Michael  Paulus</v>
      </c>
      <c r="X39" s="215">
        <f>IF(ISERROR(INDEX(Data!$DY:$IB,MATCH($W39,Data!$DT:$DT,0),MATCH(X$1&amp;"/"&amp;$A$2,Data!$DY$1:$IB$1,0)))=TRUE,0,INDEX(Data!$DY:$IB,MATCH($W39,Data!$DT:$DT,0),MATCH(X$1&amp;"/"&amp;$A$2,Data!$DY$1:$IB$1,0)))</f>
        <v>2</v>
      </c>
      <c r="Y39" s="215">
        <f>IF(ISERROR(INDEX(Data!$DY:$IB,MATCH($W39,Data!$DT:$DT,0),MATCH(Y$1&amp;"/"&amp;$A$2,Data!$DY$1:$IB$1,0)))=TRUE,0,INDEX(Data!$DY:$IB,MATCH($W39,Data!$DT:$DT,0),MATCH(Y$1&amp;"/"&amp;$A$2,Data!$DY$1:$IB$1,0)))</f>
        <v>3</v>
      </c>
      <c r="Z39" s="215">
        <f>IF(ISERROR(INDEX(Data!$DY:$IB,MATCH($W39,Data!$DT:$DT,0),MATCH(Z$1&amp;"/"&amp;$A$2,Data!$DY$1:$IB$1,0)))=TRUE,0,INDEX(Data!$DY:$IB,MATCH($W39,Data!$DT:$DT,0),MATCH(Z$1&amp;"/"&amp;$A$2,Data!$DY$1:$IB$1,0)))</f>
        <v>0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1</v>
      </c>
      <c r="AE39" s="213">
        <f t="shared" ca="1" si="11"/>
        <v>1</v>
      </c>
      <c r="AF39" s="213">
        <f t="shared" ca="1" si="11"/>
        <v>0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>/R1</v>
      </c>
      <c r="AL39" s="213" t="str">
        <f t="shared" ca="1" si="6"/>
        <v>/R2</v>
      </c>
      <c r="AM39" s="213" t="str">
        <f t="shared" ca="1" si="33"/>
        <v/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>1464M</v>
      </c>
      <c r="AR39" s="204" t="str">
        <f ca="1">IF(OFFSET($AB39,0,MATCH(A$17,AC$1:AI$1,0))=0,"",OFFSET($AB39,0,MATCH(A$17,AC$1:AI$1,0))&amp;" / "&amp;W39 &amp;" ("&amp;INDEX(Data!DX:DX,MATCH(W39,Data!DT:DT,0))&amp;")")</f>
        <v>1 / Michael  Paulus (36)</v>
      </c>
      <c r="AS39" s="204">
        <f>INDEX(Data!DX:DX,MATCH(W39,Data!DT:DT,0))</f>
        <v>36</v>
      </c>
      <c r="AT39" s="204" t="str">
        <f>MID(INDEX(Data!A:A,MATCH(W39,Data!DT:DT,0)),2,5)</f>
        <v>36</v>
      </c>
      <c r="AU39" s="204" t="str">
        <f>INDEX(Data!DW:DW,MATCH(W39,Data!DT:DT,0))</f>
        <v>M</v>
      </c>
      <c r="AV39" s="204" t="str">
        <f t="shared" ca="1" si="31"/>
        <v>R1</v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4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4" t="str">
        <f t="shared" ca="1" si="29"/>
        <v>1 / Mathias Gutdeutsch (37)</v>
      </c>
      <c r="B40" s="265"/>
      <c r="C40" s="266"/>
      <c r="D40" s="398" t="str">
        <f t="shared" ca="1" si="27"/>
        <v>R1</v>
      </c>
      <c r="E40" s="399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Katharina Gusenbauer</v>
      </c>
      <c r="X40" s="215">
        <f>IF(ISERROR(INDEX(Data!$DY:$IB,MATCH($W40,Data!$DT:$DT,0),MATCH(X$1&amp;"/"&amp;$A$2,Data!$DY$1:$IB$1,0)))=TRUE,0,INDEX(Data!$DY:$IB,MATCH($W40,Data!$DT:$DT,0),MATCH(X$1&amp;"/"&amp;$A$2,Data!$DY$1:$IB$1,0)))</f>
        <v>3</v>
      </c>
      <c r="Y40" s="215">
        <f>IF(ISERROR(INDEX(Data!$DY:$IB,MATCH($W40,Data!$DT:$DT,0),MATCH(Y$1&amp;"/"&amp;$A$2,Data!$DY$1:$IB$1,0)))=TRUE,0,INDEX(Data!$DY:$IB,MATCH($W40,Data!$DT:$DT,0),MATCH(Y$1&amp;"/"&amp;$A$2,Data!$DY$1:$IB$1,0)))</f>
        <v>3</v>
      </c>
      <c r="Z40" s="215">
        <f>IF(ISERROR(INDEX(Data!$DY:$IB,MATCH($W40,Data!$DT:$DT,0),MATCH(Z$1&amp;"/"&amp;$A$2,Data!$DY$1:$IB$1,0)))=TRUE,0,INDEX(Data!$DY:$IB,MATCH($W40,Data!$DT:$DT,0),MATCH(Z$1&amp;"/"&amp;$A$2,Data!$DY$1:$IB$1,0)))</f>
        <v>0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2</v>
      </c>
      <c r="AF40" s="213">
        <f t="shared" ca="1" si="11"/>
        <v>0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/R1/R2</v>
      </c>
      <c r="AM40" s="213" t="str">
        <f t="shared" ca="1" si="33"/>
        <v/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2</v>
      </c>
      <c r="AT40" s="204" t="str">
        <f>MID(INDEX(Data!A:A,MATCH(W40,Data!DT:DT,0)),2,5)</f>
        <v>2</v>
      </c>
      <c r="AU40" s="204" t="str">
        <f>INDEX(Data!DW:DW,MATCH(W40,Data!DT:DT,0))</f>
        <v>W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4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4" t="str">
        <f t="shared" ca="1" si="29"/>
        <v>1 / Roman Miezga (40)</v>
      </c>
      <c r="B41" s="265"/>
      <c r="C41" s="266"/>
      <c r="D41" s="398" t="str">
        <f t="shared" ca="1" si="27"/>
        <v>R1</v>
      </c>
      <c r="E41" s="399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Mathias Gutdeutsch</v>
      </c>
      <c r="X41" s="215">
        <f>IF(ISERROR(INDEX(Data!$DY:$IB,MATCH($W41,Data!$DT:$DT,0),MATCH(X$1&amp;"/"&amp;$A$2,Data!$DY$1:$IB$1,0)))=TRUE,0,INDEX(Data!$DY:$IB,MATCH($W41,Data!$DT:$DT,0),MATCH(X$1&amp;"/"&amp;$A$2,Data!$DY$1:$IB$1,0)))</f>
        <v>2</v>
      </c>
      <c r="Y41" s="215">
        <f>IF(ISERROR(INDEX(Data!$DY:$IB,MATCH($W41,Data!$DT:$DT,0),MATCH(Y$1&amp;"/"&amp;$A$2,Data!$DY$1:$IB$1,0)))=TRUE,0,INDEX(Data!$DY:$IB,MATCH($W41,Data!$DT:$DT,0),MATCH(Y$1&amp;"/"&amp;$A$2,Data!$DY$1:$IB$1,0)))</f>
        <v>4</v>
      </c>
      <c r="Z41" s="215">
        <f>IF(ISERROR(INDEX(Data!$DY:$IB,MATCH($W41,Data!$DT:$DT,0),MATCH(Z$1&amp;"/"&amp;$A$2,Data!$DY$1:$IB$1,0)))=TRUE,0,INDEX(Data!$DY:$IB,MATCH($W41,Data!$DT:$DT,0),MATCH(Z$1&amp;"/"&amp;$A$2,Data!$DY$1:$IB$1,0)))</f>
        <v>0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1</v>
      </c>
      <c r="AE41" s="213">
        <f t="shared" ca="1" si="36"/>
        <v>0</v>
      </c>
      <c r="AF41" s="213">
        <f t="shared" ca="1" si="36"/>
        <v>1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>/R1</v>
      </c>
      <c r="AL41" s="213" t="str">
        <f t="shared" ca="1" si="6"/>
        <v/>
      </c>
      <c r="AM41" s="213" t="str">
        <f t="shared" ca="1" si="33"/>
        <v>/R2</v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>1463M</v>
      </c>
      <c r="AR41" s="204" t="str">
        <f ca="1">IF(OFFSET($AB41,0,MATCH(A$17,AC$1:AI$1,0))=0,"",OFFSET($AB41,0,MATCH(A$17,AC$1:AI$1,0))&amp;" / "&amp;W41 &amp;" ("&amp;INDEX(Data!DX:DX,MATCH(W41,Data!DT:DT,0))&amp;")")</f>
        <v>1 / Mathias Gutdeutsch (37)</v>
      </c>
      <c r="AS41" s="204">
        <f>INDEX(Data!DX:DX,MATCH(W41,Data!DT:DT,0))</f>
        <v>37</v>
      </c>
      <c r="AT41" s="204" t="str">
        <f>MID(INDEX(Data!A:A,MATCH(W41,Data!DT:DT,0)),2,5)</f>
        <v>37</v>
      </c>
      <c r="AU41" s="204" t="str">
        <f>INDEX(Data!DW:DW,MATCH(W41,Data!DT:DT,0))</f>
        <v>M</v>
      </c>
      <c r="AV41" s="204" t="str">
        <f t="shared" ca="1" si="31"/>
        <v>R1</v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4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4" t="str">
        <f t="shared" ca="1" si="29"/>
        <v>1 / Stefan Topolovec (44)</v>
      </c>
      <c r="B42" s="265"/>
      <c r="C42" s="266"/>
      <c r="D42" s="398" t="str">
        <f t="shared" ca="1" si="27"/>
        <v>R2</v>
      </c>
      <c r="E42" s="399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Ákos Szabó</v>
      </c>
      <c r="X42" s="215">
        <f>IF(ISERROR(INDEX(Data!$DY:$IB,MATCH($W42,Data!$DT:$DT,0),MATCH(X$1&amp;"/"&amp;$A$2,Data!$DY$1:$IB$1,0)))=TRUE,0,INDEX(Data!$DY:$IB,MATCH($W42,Data!$DT:$DT,0),MATCH(X$1&amp;"/"&amp;$A$2,Data!$DY$1:$IB$1,0)))</f>
        <v>3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0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2</v>
      </c>
      <c r="AF42" s="213">
        <f t="shared" ca="1" si="36"/>
        <v>0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/R1/R2</v>
      </c>
      <c r="AM42" s="213" t="str">
        <f t="shared" ca="1" si="33"/>
        <v/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38</v>
      </c>
      <c r="AT42" s="204" t="str">
        <f>MID(INDEX(Data!A:A,MATCH(W42,Data!DT:DT,0)),2,5)</f>
        <v>38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4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4" t="str">
        <f t="shared" ca="1" si="29"/>
        <v>1 / Wolfgang Bitschnau (53)</v>
      </c>
      <c r="B43" s="265"/>
      <c r="C43" s="266"/>
      <c r="D43" s="398" t="str">
        <f t="shared" ca="1" si="27"/>
        <v>R1</v>
      </c>
      <c r="E43" s="399"/>
      <c r="F43" s="203" t="str">
        <f t="shared" ca="1" si="28"/>
        <v>M</v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Michael Waidhofer</v>
      </c>
      <c r="X43" s="215">
        <f>IF(ISERROR(INDEX(Data!$DY:$IB,MATCH($W43,Data!$DT:$DT,0),MATCH(X$1&amp;"/"&amp;$A$2,Data!$DY$1:$IB$1,0)))=TRUE,0,INDEX(Data!$DY:$IB,MATCH($W43,Data!$DT:$DT,0),MATCH(X$1&amp;"/"&amp;$A$2,Data!$DY$1:$IB$1,0)))</f>
        <v>3</v>
      </c>
      <c r="Y43" s="215">
        <f>IF(ISERROR(INDEX(Data!$DY:$IB,MATCH($W43,Data!$DT:$DT,0),MATCH(Y$1&amp;"/"&amp;$A$2,Data!$DY$1:$IB$1,0)))=TRUE,0,INDEX(Data!$DY:$IB,MATCH($W43,Data!$DT:$DT,0),MATCH(Y$1&amp;"/"&amp;$A$2,Data!$DY$1:$IB$1,0)))</f>
        <v>4</v>
      </c>
      <c r="Z43" s="215">
        <f>IF(ISERROR(INDEX(Data!$DY:$IB,MATCH($W43,Data!$DT:$DT,0),MATCH(Z$1&amp;"/"&amp;$A$2,Data!$DY$1:$IB$1,0)))=TRUE,0,INDEX(Data!$DY:$IB,MATCH($W43,Data!$DT:$DT,0),MATCH(Z$1&amp;"/"&amp;$A$2,Data!$DY$1:$IB$1,0)))</f>
        <v>0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1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/R1</v>
      </c>
      <c r="AM43" s="213" t="str">
        <f t="shared" ca="1" si="33"/>
        <v>/R2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39</v>
      </c>
      <c r="AT43" s="204" t="str">
        <f>MID(INDEX(Data!A:A,MATCH(W43,Data!DT:DT,0)),2,5)</f>
        <v>39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4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4" t="str">
        <f t="shared" ca="1" si="29"/>
        <v>1 / Christian Stepanek (56)</v>
      </c>
      <c r="B44" s="265"/>
      <c r="C44" s="266"/>
      <c r="D44" s="398" t="str">
        <f t="shared" ca="1" si="27"/>
        <v>R1</v>
      </c>
      <c r="E44" s="399"/>
      <c r="F44" s="203" t="str">
        <f t="shared" ca="1" si="28"/>
        <v>M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Roman Miezga</v>
      </c>
      <c r="X44" s="215">
        <f>IF(ISERROR(INDEX(Data!$DY:$IB,MATCH($W44,Data!$DT:$DT,0),MATCH(X$1&amp;"/"&amp;$A$2,Data!$DY$1:$IB$1,0)))=TRUE,0,INDEX(Data!$DY:$IB,MATCH($W44,Data!$DT:$DT,0),MATCH(X$1&amp;"/"&amp;$A$2,Data!$DY$1:$IB$1,0)))</f>
        <v>2</v>
      </c>
      <c r="Y44" s="215">
        <f>IF(ISERROR(INDEX(Data!$DY:$IB,MATCH($W44,Data!$DT:$DT,0),MATCH(Y$1&amp;"/"&amp;$A$2,Data!$DY$1:$IB$1,0)))=TRUE,0,INDEX(Data!$DY:$IB,MATCH($W44,Data!$DT:$DT,0),MATCH(Y$1&amp;"/"&amp;$A$2,Data!$DY$1:$IB$1,0)))</f>
        <v>4</v>
      </c>
      <c r="Z44" s="215">
        <f>IF(ISERROR(INDEX(Data!$DY:$IB,MATCH($W44,Data!$DT:$DT,0),MATCH(Z$1&amp;"/"&amp;$A$2,Data!$DY$1:$IB$1,0)))=TRUE,0,INDEX(Data!$DY:$IB,MATCH($W44,Data!$DT:$DT,0),MATCH(Z$1&amp;"/"&amp;$A$2,Data!$DY$1:$IB$1,0)))</f>
        <v>0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1</v>
      </c>
      <c r="AE44" s="213">
        <f t="shared" ca="1" si="36"/>
        <v>0</v>
      </c>
      <c r="AF44" s="213">
        <f t="shared" ca="1" si="36"/>
        <v>1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>/R1</v>
      </c>
      <c r="AL44" s="213" t="str">
        <f t="shared" ca="1" si="6"/>
        <v/>
      </c>
      <c r="AM44" s="213" t="str">
        <f t="shared" ca="1" si="33"/>
        <v>/R2</v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>1460M</v>
      </c>
      <c r="AR44" s="204" t="str">
        <f ca="1">IF(OFFSET($AB44,0,MATCH(A$17,AC$1:AI$1,0))=0,"",OFFSET($AB44,0,MATCH(A$17,AC$1:AI$1,0))&amp;" / "&amp;W44 &amp;" ("&amp;INDEX(Data!DX:DX,MATCH(W44,Data!DT:DT,0))&amp;")")</f>
        <v>1 / Roman Miezga (40)</v>
      </c>
      <c r="AS44" s="204">
        <f>INDEX(Data!DX:DX,MATCH(W44,Data!DT:DT,0))</f>
        <v>40</v>
      </c>
      <c r="AT44" s="204" t="str">
        <f>MID(INDEX(Data!A:A,MATCH(W44,Data!DT:DT,0)),2,5)</f>
        <v>40</v>
      </c>
      <c r="AU44" s="204" t="str">
        <f>INDEX(Data!DW:DW,MATCH(W44,Data!DT:DT,0))</f>
        <v>M</v>
      </c>
      <c r="AV44" s="204" t="str">
        <f t="shared" ca="1" si="31"/>
        <v>R1</v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4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4" t="str">
        <f t="shared" ca="1" si="29"/>
        <v>1 / Gerald Froschauer (59)</v>
      </c>
      <c r="B45" s="265"/>
      <c r="C45" s="266"/>
      <c r="D45" s="398" t="str">
        <f t="shared" ca="1" si="27"/>
        <v>R1</v>
      </c>
      <c r="E45" s="399"/>
      <c r="F45" s="203" t="str">
        <f t="shared" ca="1" si="28"/>
        <v>M</v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Szilárd Pálinkás</v>
      </c>
      <c r="X45" s="215">
        <f>IF(ISERROR(INDEX(Data!$DY:$IB,MATCH($W45,Data!$DT:$DT,0),MATCH(X$1&amp;"/"&amp;$A$2,Data!$DY$1:$IB$1,0)))=TRUE,0,INDEX(Data!$DY:$IB,MATCH($W45,Data!$DT:$DT,0),MATCH(X$1&amp;"/"&amp;$A$2,Data!$DY$1:$IB$1,0)))</f>
        <v>3</v>
      </c>
      <c r="Y45" s="215">
        <f>IF(ISERROR(INDEX(Data!$DY:$IB,MATCH($W45,Data!$DT:$DT,0),MATCH(Y$1&amp;"/"&amp;$A$2,Data!$DY$1:$IB$1,0)))=TRUE,0,INDEX(Data!$DY:$IB,MATCH($W45,Data!$DT:$DT,0),MATCH(Y$1&amp;"/"&amp;$A$2,Data!$DY$1:$IB$1,0)))</f>
        <v>4</v>
      </c>
      <c r="Z45" s="215">
        <f>IF(ISERROR(INDEX(Data!$DY:$IB,MATCH($W45,Data!$DT:$DT,0),MATCH(Z$1&amp;"/"&amp;$A$2,Data!$DY$1:$IB$1,0)))=TRUE,0,INDEX(Data!$DY:$IB,MATCH($W45,Data!$DT:$DT,0),MATCH(Z$1&amp;"/"&amp;$A$2,Data!$DY$1:$IB$1,0)))</f>
        <v>0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1</v>
      </c>
      <c r="AF45" s="213">
        <f t="shared" ca="1" si="36"/>
        <v>1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/R1</v>
      </c>
      <c r="AM45" s="213" t="str">
        <f t="shared" ca="1" si="33"/>
        <v>/R2</v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41</v>
      </c>
      <c r="AT45" s="204" t="str">
        <f>MID(INDEX(Data!A:A,MATCH(W45,Data!DT:DT,0)),2,5)</f>
        <v>41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4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4" t="str">
        <f t="shared" ca="1" si="29"/>
        <v/>
      </c>
      <c r="B46" s="265"/>
      <c r="C46" s="266"/>
      <c r="D46" s="398" t="str">
        <f t="shared" ca="1" si="27"/>
        <v/>
      </c>
      <c r="E46" s="399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Sonja Palmetshofer</v>
      </c>
      <c r="X46" s="215">
        <f>IF(ISERROR(INDEX(Data!$DY:$IB,MATCH($W46,Data!$DT:$DT,0),MATCH(X$1&amp;"/"&amp;$A$2,Data!$DY$1:$IB$1,0)))=TRUE,0,INDEX(Data!$DY:$IB,MATCH($W46,Data!$DT:$DT,0),MATCH(X$1&amp;"/"&amp;$A$2,Data!$DY$1:$IB$1,0)))</f>
        <v>2</v>
      </c>
      <c r="Y46" s="215">
        <f>IF(ISERROR(INDEX(Data!$DY:$IB,MATCH($W46,Data!$DT:$DT,0),MATCH(Y$1&amp;"/"&amp;$A$2,Data!$DY$1:$IB$1,0)))=TRUE,0,INDEX(Data!$DY:$IB,MATCH($W46,Data!$DT:$DT,0),MATCH(Y$1&amp;"/"&amp;$A$2,Data!$DY$1:$IB$1,0)))</f>
        <v>4</v>
      </c>
      <c r="Z46" s="215">
        <f>IF(ISERROR(INDEX(Data!$DY:$IB,MATCH($W46,Data!$DT:$DT,0),MATCH(Z$1&amp;"/"&amp;$A$2,Data!$DY$1:$IB$1,0)))=TRUE,0,INDEX(Data!$DY:$IB,MATCH($W46,Data!$DT:$DT,0),MATCH(Z$1&amp;"/"&amp;$A$2,Data!$DY$1:$IB$1,0)))</f>
        <v>0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1</v>
      </c>
      <c r="AE46" s="213">
        <f t="shared" ca="1" si="36"/>
        <v>0</v>
      </c>
      <c r="AF46" s="213">
        <f t="shared" ca="1" si="36"/>
        <v>1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>/R1</v>
      </c>
      <c r="AL46" s="213" t="str">
        <f t="shared" ca="1" si="6"/>
        <v/>
      </c>
      <c r="AM46" s="213" t="str">
        <f t="shared" ca="1" si="33"/>
        <v>/R2</v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>1497W</v>
      </c>
      <c r="AR46" s="204" t="str">
        <f ca="1">IF(OFFSET($AB46,0,MATCH(A$17,AC$1:AI$1,0))=0,"",OFFSET($AB46,0,MATCH(A$17,AC$1:AI$1,0))&amp;" / "&amp;W46 &amp;" ("&amp;INDEX(Data!DX:DX,MATCH(W46,Data!DT:DT,0))&amp;")")</f>
        <v>1 / Sonja Palmetshofer (3)</v>
      </c>
      <c r="AS46" s="204">
        <f>INDEX(Data!DX:DX,MATCH(W46,Data!DT:DT,0))</f>
        <v>3</v>
      </c>
      <c r="AT46" s="204" t="str">
        <f>MID(INDEX(Data!A:A,MATCH(W46,Data!DT:DT,0)),2,5)</f>
        <v>3</v>
      </c>
      <c r="AU46" s="204" t="str">
        <f>INDEX(Data!DW:DW,MATCH(W46,Data!DT:DT,0))</f>
        <v>W</v>
      </c>
      <c r="AV46" s="204" t="str">
        <f t="shared" ca="1" si="31"/>
        <v>R1</v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4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4" t="str">
        <f t="shared" ca="1" si="29"/>
        <v/>
      </c>
      <c r="B47" s="265"/>
      <c r="C47" s="266"/>
      <c r="D47" s="398" t="str">
        <f t="shared" ca="1" si="27"/>
        <v/>
      </c>
      <c r="E47" s="399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Markus Hörzer</v>
      </c>
      <c r="X47" s="215">
        <f>IF(ISERROR(INDEX(Data!$DY:$IB,MATCH($W47,Data!$DT:$DT,0),MATCH(X$1&amp;"/"&amp;$A$2,Data!$DY$1:$IB$1,0)))=TRUE,0,INDEX(Data!$DY:$IB,MATCH($W47,Data!$DT:$DT,0),MATCH(X$1&amp;"/"&amp;$A$2,Data!$DY$1:$IB$1,0)))</f>
        <v>3</v>
      </c>
      <c r="Y47" s="215">
        <f>IF(ISERROR(INDEX(Data!$DY:$IB,MATCH($W47,Data!$DT:$DT,0),MATCH(Y$1&amp;"/"&amp;$A$2,Data!$DY$1:$IB$1,0)))=TRUE,0,INDEX(Data!$DY:$IB,MATCH($W47,Data!$DT:$DT,0),MATCH(Y$1&amp;"/"&amp;$A$2,Data!$DY$1:$IB$1,0)))</f>
        <v>4</v>
      </c>
      <c r="Z47" s="215">
        <f>IF(ISERROR(INDEX(Data!$DY:$IB,MATCH($W47,Data!$DT:$DT,0),MATCH(Z$1&amp;"/"&amp;$A$2,Data!$DY$1:$IB$1,0)))=TRUE,0,INDEX(Data!$DY:$IB,MATCH($W47,Data!$DT:$DT,0),MATCH(Z$1&amp;"/"&amp;$A$2,Data!$DY$1:$IB$1,0)))</f>
        <v>0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1</v>
      </c>
      <c r="AF47" s="213">
        <f t="shared" ca="1" si="36"/>
        <v>1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>/R1</v>
      </c>
      <c r="AM47" s="213" t="str">
        <f t="shared" ca="1" si="33"/>
        <v>/R2</v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42</v>
      </c>
      <c r="AT47" s="204" t="str">
        <f>MID(INDEX(Data!A:A,MATCH(W47,Data!DT:DT,0)),2,5)</f>
        <v>42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4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4" t="str">
        <f t="shared" ca="1" si="29"/>
        <v/>
      </c>
      <c r="B48" s="265"/>
      <c r="C48" s="266"/>
      <c r="D48" s="398" t="str">
        <f t="shared" ca="1" si="27"/>
        <v/>
      </c>
      <c r="E48" s="399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Bernhard Freytag</v>
      </c>
      <c r="X48" s="215">
        <f>IF(ISERROR(INDEX(Data!$DY:$IB,MATCH($W48,Data!$DT:$DT,0),MATCH(X$1&amp;"/"&amp;$A$2,Data!$DY$1:$IB$1,0)))=TRUE,0,INDEX(Data!$DY:$IB,MATCH($W48,Data!$DT:$DT,0),MATCH(X$1&amp;"/"&amp;$A$2,Data!$DY$1:$IB$1,0)))</f>
        <v>3</v>
      </c>
      <c r="Y48" s="215">
        <f>IF(ISERROR(INDEX(Data!$DY:$IB,MATCH($W48,Data!$DT:$DT,0),MATCH(Y$1&amp;"/"&amp;$A$2,Data!$DY$1:$IB$1,0)))=TRUE,0,INDEX(Data!$DY:$IB,MATCH($W48,Data!$DT:$DT,0),MATCH(Y$1&amp;"/"&amp;$A$2,Data!$DY$1:$IB$1,0)))</f>
        <v>3</v>
      </c>
      <c r="Z48" s="215">
        <f>IF(ISERROR(INDEX(Data!$DY:$IB,MATCH($W48,Data!$DT:$DT,0),MATCH(Z$1&amp;"/"&amp;$A$2,Data!$DY$1:$IB$1,0)))=TRUE,0,INDEX(Data!$DY:$IB,MATCH($W48,Data!$DT:$DT,0),MATCH(Z$1&amp;"/"&amp;$A$2,Data!$DY$1:$IB$1,0)))</f>
        <v>0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2</v>
      </c>
      <c r="AF48" s="213">
        <f t="shared" ca="1" si="36"/>
        <v>0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>/R1/R2</v>
      </c>
      <c r="AM48" s="213" t="str">
        <f t="shared" ca="1" si="33"/>
        <v/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43</v>
      </c>
      <c r="AT48" s="204" t="str">
        <f>MID(INDEX(Data!A:A,MATCH(W48,Data!DT:DT,0)),2,5)</f>
        <v>43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4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4" t="str">
        <f t="shared" ca="1" si="29"/>
        <v/>
      </c>
      <c r="B49" s="265"/>
      <c r="C49" s="266"/>
      <c r="D49" s="398" t="str">
        <f t="shared" ca="1" si="27"/>
        <v/>
      </c>
      <c r="E49" s="399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Stefan Topolovec</v>
      </c>
      <c r="X49" s="215">
        <f>IF(ISERROR(INDEX(Data!$DY:$IB,MATCH($W49,Data!$DT:$DT,0),MATCH(X$1&amp;"/"&amp;$A$2,Data!$DY$1:$IB$1,0)))=TRUE,0,INDEX(Data!$DY:$IB,MATCH($W49,Data!$DT:$DT,0),MATCH(X$1&amp;"/"&amp;$A$2,Data!$DY$1:$IB$1,0)))</f>
        <v>4</v>
      </c>
      <c r="Y49" s="215">
        <f>IF(ISERROR(INDEX(Data!$DY:$IB,MATCH($W49,Data!$DT:$DT,0),MATCH(Y$1&amp;"/"&amp;$A$2,Data!$DY$1:$IB$1,0)))=TRUE,0,INDEX(Data!$DY:$IB,MATCH($W49,Data!$DT:$DT,0),MATCH(Y$1&amp;"/"&amp;$A$2,Data!$DY$1:$IB$1,0)))</f>
        <v>2</v>
      </c>
      <c r="Z49" s="215">
        <f>IF(ISERROR(INDEX(Data!$DY:$IB,MATCH($W49,Data!$DT:$DT,0),MATCH(Z$1&amp;"/"&amp;$A$2,Data!$DY$1:$IB$1,0)))=TRUE,0,INDEX(Data!$DY:$IB,MATCH($W49,Data!$DT:$DT,0),MATCH(Z$1&amp;"/"&amp;$A$2,Data!$DY$1:$IB$1,0)))</f>
        <v>0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1</v>
      </c>
      <c r="AE49" s="213">
        <f t="shared" ca="1" si="36"/>
        <v>0</v>
      </c>
      <c r="AF49" s="213">
        <f t="shared" ca="1" si="36"/>
        <v>1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>/R2</v>
      </c>
      <c r="AL49" s="213" t="str">
        <f t="shared" ca="1" si="6"/>
        <v/>
      </c>
      <c r="AM49" s="213" t="str">
        <f t="shared" ca="1" si="33"/>
        <v>/R1</v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>1456M</v>
      </c>
      <c r="AR49" s="204" t="str">
        <f ca="1">IF(OFFSET($AB49,0,MATCH(A$17,AC$1:AI$1,0))=0,"",OFFSET($AB49,0,MATCH(A$17,AC$1:AI$1,0))&amp;" / "&amp;W49 &amp;" ("&amp;INDEX(Data!DX:DX,MATCH(W49,Data!DT:DT,0))&amp;")")</f>
        <v>1 / Stefan Topolovec (44)</v>
      </c>
      <c r="AS49" s="204">
        <f>INDEX(Data!DX:DX,MATCH(W49,Data!DT:DT,0))</f>
        <v>44</v>
      </c>
      <c r="AT49" s="204" t="str">
        <f>MID(INDEX(Data!A:A,MATCH(W49,Data!DT:DT,0)),2,5)</f>
        <v>44</v>
      </c>
      <c r="AU49" s="204" t="str">
        <f>INDEX(Data!DW:DW,MATCH(W49,Data!DT:DT,0))</f>
        <v>M</v>
      </c>
      <c r="AV49" s="204" t="str">
        <f t="shared" ca="1" si="31"/>
        <v>R2</v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4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4" t="str">
        <f t="shared" ca="1" si="29"/>
        <v/>
      </c>
      <c r="B50" s="265"/>
      <c r="C50" s="266"/>
      <c r="D50" s="398" t="str">
        <f t="shared" ca="1" si="27"/>
        <v/>
      </c>
      <c r="E50" s="399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Stefan Peham</v>
      </c>
      <c r="X50" s="215">
        <f>IF(ISERROR(INDEX(Data!$DY:$IB,MATCH($W50,Data!$DT:$DT,0),MATCH(X$1&amp;"/"&amp;$A$2,Data!$DY$1:$IB$1,0)))=TRUE,0,INDEX(Data!$DY:$IB,MATCH($W50,Data!$DT:$DT,0),MATCH(X$1&amp;"/"&amp;$A$2,Data!$DY$1:$IB$1,0)))</f>
        <v>3</v>
      </c>
      <c r="Y50" s="215">
        <f>IF(ISERROR(INDEX(Data!$DY:$IB,MATCH($W50,Data!$DT:$DT,0),MATCH(Y$1&amp;"/"&amp;$A$2,Data!$DY$1:$IB$1,0)))=TRUE,0,INDEX(Data!$DY:$IB,MATCH($W50,Data!$DT:$DT,0),MATCH(Y$1&amp;"/"&amp;$A$2,Data!$DY$1:$IB$1,0)))</f>
        <v>4</v>
      </c>
      <c r="Z50" s="215">
        <f>IF(ISERROR(INDEX(Data!$DY:$IB,MATCH($W50,Data!$DT:$DT,0),MATCH(Z$1&amp;"/"&amp;$A$2,Data!$DY$1:$IB$1,0)))=TRUE,0,INDEX(Data!$DY:$IB,MATCH($W50,Data!$DT:$DT,0),MATCH(Z$1&amp;"/"&amp;$A$2,Data!$DY$1:$IB$1,0)))</f>
        <v>0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1</v>
      </c>
      <c r="AF50" s="213">
        <f t="shared" ca="1" si="36"/>
        <v>1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/R1</v>
      </c>
      <c r="AM50" s="213" t="str">
        <f t="shared" ca="1" si="33"/>
        <v>/R2</v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44</v>
      </c>
      <c r="AT50" s="204" t="str">
        <f>MID(INDEX(Data!A:A,MATCH(W50,Data!DT:DT,0)),2,5)</f>
        <v>45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4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4" t="str">
        <f t="shared" ca="1" si="29"/>
        <v/>
      </c>
      <c r="B51" s="265"/>
      <c r="C51" s="266"/>
      <c r="D51" s="398" t="str">
        <f t="shared" ref="D51:D82" ca="1" si="37">INDEX(AV:AV,MATCH(A51,AR:AR,0))</f>
        <v/>
      </c>
      <c r="E51" s="399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 t="str">
        <f>Data!DT139</f>
        <v>Georg Grossegger</v>
      </c>
      <c r="X51" s="215">
        <f>IF(ISERROR(INDEX(Data!$DY:$IB,MATCH($W51,Data!$DT:$DT,0),MATCH(X$1&amp;"/"&amp;$A$2,Data!$DY$1:$IB$1,0)))=TRUE,0,INDEX(Data!$DY:$IB,MATCH($W51,Data!$DT:$DT,0),MATCH(X$1&amp;"/"&amp;$A$2,Data!$DY$1:$IB$1,0)))</f>
        <v>3</v>
      </c>
      <c r="Y51" s="215">
        <f>IF(ISERROR(INDEX(Data!$DY:$IB,MATCH($W51,Data!$DT:$DT,0),MATCH(Y$1&amp;"/"&amp;$A$2,Data!$DY$1:$IB$1,0)))=TRUE,0,INDEX(Data!$DY:$IB,MATCH($W51,Data!$DT:$DT,0),MATCH(Y$1&amp;"/"&amp;$A$2,Data!$DY$1:$IB$1,0)))</f>
        <v>5</v>
      </c>
      <c r="Z51" s="215">
        <f>IF(ISERROR(INDEX(Data!$DY:$IB,MATCH($W51,Data!$DT:$DT,0),MATCH(Z$1&amp;"/"&amp;$A$2,Data!$DY$1:$IB$1,0)))=TRUE,0,INDEX(Data!$DY:$IB,MATCH($W51,Data!$DT:$DT,0),MATCH(Z$1&amp;"/"&amp;$A$2,Data!$DY$1:$IB$1,0)))</f>
        <v>0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1</v>
      </c>
      <c r="AF51" s="213">
        <f t="shared" ca="1" si="36"/>
        <v>0</v>
      </c>
      <c r="AG51" s="213">
        <f t="shared" ca="1" si="36"/>
        <v>1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/R1</v>
      </c>
      <c r="AM51" s="213" t="str">
        <f t="shared" ca="1" si="33"/>
        <v/>
      </c>
      <c r="AN51" s="213" t="str">
        <f t="shared" ca="1" si="34"/>
        <v>/R2</v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44</v>
      </c>
      <c r="AT51" s="204" t="str">
        <f>MID(INDEX(Data!A:A,MATCH(W51,Data!DT:DT,0)),2,5)</f>
        <v>46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4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4" t="str">
        <f t="shared" ca="1" si="29"/>
        <v/>
      </c>
      <c r="B52" s="265"/>
      <c r="C52" s="266"/>
      <c r="D52" s="398" t="str">
        <f t="shared" ca="1" si="37"/>
        <v/>
      </c>
      <c r="E52" s="399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 t="str">
        <f>Data!DT140</f>
        <v>Benny Zalán</v>
      </c>
      <c r="X52" s="215">
        <f>IF(ISERROR(INDEX(Data!$DY:$IB,MATCH($W52,Data!$DT:$DT,0),MATCH(X$1&amp;"/"&amp;$A$2,Data!$DY$1:$IB$1,0)))=TRUE,0,INDEX(Data!$DY:$IB,MATCH($W52,Data!$DT:$DT,0),MATCH(X$1&amp;"/"&amp;$A$2,Data!$DY$1:$IB$1,0)))</f>
        <v>3</v>
      </c>
      <c r="Y52" s="215">
        <f>IF(ISERROR(INDEX(Data!$DY:$IB,MATCH($W52,Data!$DT:$DT,0),MATCH(Y$1&amp;"/"&amp;$A$2,Data!$DY$1:$IB$1,0)))=TRUE,0,INDEX(Data!$DY:$IB,MATCH($W52,Data!$DT:$DT,0),MATCH(Y$1&amp;"/"&amp;$A$2,Data!$DY$1:$IB$1,0)))</f>
        <v>4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1</v>
      </c>
      <c r="AF52" s="213">
        <f t="shared" ca="1" si="36"/>
        <v>1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>/R1</v>
      </c>
      <c r="AM52" s="213" t="str">
        <f t="shared" ca="1" si="33"/>
        <v>/R2</v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44</v>
      </c>
      <c r="AT52" s="204" t="str">
        <f>MID(INDEX(Data!A:A,MATCH(W52,Data!DT:DT,0)),2,5)</f>
        <v>47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4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4" t="str">
        <f t="shared" ca="1" si="29"/>
        <v/>
      </c>
      <c r="B53" s="265"/>
      <c r="C53" s="266"/>
      <c r="D53" s="398" t="str">
        <f t="shared" ca="1" si="37"/>
        <v/>
      </c>
      <c r="E53" s="399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 t="str">
        <f>Data!DT141</f>
        <v>Matthias Palmetshofer</v>
      </c>
      <c r="X53" s="215">
        <f>IF(ISERROR(INDEX(Data!$DY:$IB,MATCH($W53,Data!$DT:$DT,0),MATCH(X$1&amp;"/"&amp;$A$2,Data!$DY$1:$IB$1,0)))=TRUE,0,INDEX(Data!$DY:$IB,MATCH($W53,Data!$DT:$DT,0),MATCH(X$1&amp;"/"&amp;$A$2,Data!$DY$1:$IB$1,0)))</f>
        <v>5</v>
      </c>
      <c r="Y53" s="215">
        <f>IF(ISERROR(INDEX(Data!$DY:$IB,MATCH($W53,Data!$DT:$DT,0),MATCH(Y$1&amp;"/"&amp;$A$2,Data!$DY$1:$IB$1,0)))=TRUE,0,INDEX(Data!$DY:$IB,MATCH($W53,Data!$DT:$DT,0),MATCH(Y$1&amp;"/"&amp;$A$2,Data!$DY$1:$IB$1,0)))</f>
        <v>4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0</v>
      </c>
      <c r="AF53" s="213">
        <f t="shared" ca="1" si="36"/>
        <v>1</v>
      </c>
      <c r="AG53" s="213">
        <f t="shared" ca="1" si="36"/>
        <v>1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/>
      </c>
      <c r="AM53" s="213" t="str">
        <f t="shared" ca="1" si="33"/>
        <v>/R2</v>
      </c>
      <c r="AN53" s="213" t="str">
        <f t="shared" ca="1" si="34"/>
        <v>/R1</v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48</v>
      </c>
      <c r="AT53" s="204" t="str">
        <f>MID(INDEX(Data!A:A,MATCH(W53,Data!DT:DT,0)),2,5)</f>
        <v>48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4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4" t="str">
        <f t="shared" ca="1" si="29"/>
        <v/>
      </c>
      <c r="B54" s="265"/>
      <c r="C54" s="266"/>
      <c r="D54" s="398" t="str">
        <f t="shared" ca="1" si="37"/>
        <v/>
      </c>
      <c r="E54" s="399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 t="str">
        <f>Data!DT142</f>
        <v>Alois Obernberger</v>
      </c>
      <c r="X54" s="215">
        <f>IF(ISERROR(INDEX(Data!$DY:$IB,MATCH($W54,Data!$DT:$DT,0),MATCH(X$1&amp;"/"&amp;$A$2,Data!$DY$1:$IB$1,0)))=TRUE,0,INDEX(Data!$DY:$IB,MATCH($W54,Data!$DT:$DT,0),MATCH(X$1&amp;"/"&amp;$A$2,Data!$DY$1:$IB$1,0)))</f>
        <v>3</v>
      </c>
      <c r="Y54" s="215">
        <f>IF(ISERROR(INDEX(Data!$DY:$IB,MATCH($W54,Data!$DT:$DT,0),MATCH(Y$1&amp;"/"&amp;$A$2,Data!$DY$1:$IB$1,0)))=TRUE,0,INDEX(Data!$DY:$IB,MATCH($W54,Data!$DT:$DT,0),MATCH(Y$1&amp;"/"&amp;$A$2,Data!$DY$1:$IB$1,0)))</f>
        <v>4</v>
      </c>
      <c r="Z54" s="215">
        <f>IF(ISERROR(INDEX(Data!$DY:$IB,MATCH($W54,Data!$DT:$DT,0),MATCH(Z$1&amp;"/"&amp;$A$2,Data!$DY$1:$IB$1,0)))=TRUE,0,INDEX(Data!$DY:$IB,MATCH($W54,Data!$DT:$DT,0),MATCH(Z$1&amp;"/"&amp;$A$2,Data!$DY$1:$IB$1,0)))</f>
        <v>0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1</v>
      </c>
      <c r="AF54" s="213">
        <f t="shared" ca="1" si="36"/>
        <v>1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>/R1</v>
      </c>
      <c r="AM54" s="213" t="str">
        <f t="shared" ca="1" si="33"/>
        <v>/R2</v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48</v>
      </c>
      <c r="AT54" s="204" t="str">
        <f>MID(INDEX(Data!A:A,MATCH(W54,Data!DT:DT,0)),2,5)</f>
        <v>49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4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4" t="str">
        <f t="shared" ca="1" si="29"/>
        <v/>
      </c>
      <c r="B55" s="265"/>
      <c r="C55" s="266"/>
      <c r="D55" s="398" t="str">
        <f t="shared" ca="1" si="37"/>
        <v/>
      </c>
      <c r="E55" s="399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 t="str">
        <f>Data!DT143</f>
        <v>Wolfgang Pratl</v>
      </c>
      <c r="X55" s="215">
        <f>IF(ISERROR(INDEX(Data!$DY:$IB,MATCH($W55,Data!$DT:$DT,0),MATCH(X$1&amp;"/"&amp;$A$2,Data!$DY$1:$IB$1,0)))=TRUE,0,INDEX(Data!$DY:$IB,MATCH($W55,Data!$DT:$DT,0),MATCH(X$1&amp;"/"&amp;$A$2,Data!$DY$1:$IB$1,0)))</f>
        <v>3</v>
      </c>
      <c r="Y55" s="215">
        <f>IF(ISERROR(INDEX(Data!$DY:$IB,MATCH($W55,Data!$DT:$DT,0),MATCH(Y$1&amp;"/"&amp;$A$2,Data!$DY$1:$IB$1,0)))=TRUE,0,INDEX(Data!$DY:$IB,MATCH($W55,Data!$DT:$DT,0),MATCH(Y$1&amp;"/"&amp;$A$2,Data!$DY$1:$IB$1,0)))</f>
        <v>4</v>
      </c>
      <c r="Z55" s="215">
        <f>IF(ISERROR(INDEX(Data!$DY:$IB,MATCH($W55,Data!$DT:$DT,0),MATCH(Z$1&amp;"/"&amp;$A$2,Data!$DY$1:$IB$1,0)))=TRUE,0,INDEX(Data!$DY:$IB,MATCH($W55,Data!$DT:$DT,0),MATCH(Z$1&amp;"/"&amp;$A$2,Data!$DY$1:$IB$1,0)))</f>
        <v>0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1</v>
      </c>
      <c r="AF55" s="213">
        <f t="shared" ca="1" si="36"/>
        <v>1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>/R1</v>
      </c>
      <c r="AM55" s="213" t="str">
        <f t="shared" ca="1" si="33"/>
        <v>/R2</v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>
        <f>INDEX(Data!DX:DX,MATCH(W55,Data!DT:DT,0))</f>
        <v>48</v>
      </c>
      <c r="AT55" s="204" t="str">
        <f>MID(INDEX(Data!A:A,MATCH(W55,Data!DT:DT,0)),2,5)</f>
        <v>50</v>
      </c>
      <c r="AU55" s="204" t="str">
        <f>INDEX(Data!DW:DW,MATCH(W55,Data!DT:DT,0))</f>
        <v>M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4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4" t="str">
        <f t="shared" ca="1" si="29"/>
        <v/>
      </c>
      <c r="B56" s="265"/>
      <c r="C56" s="266"/>
      <c r="D56" s="398" t="str">
        <f t="shared" ca="1" si="37"/>
        <v/>
      </c>
      <c r="E56" s="399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 t="str">
        <f>Data!DT144</f>
        <v>Andreas Blesberger</v>
      </c>
      <c r="X56" s="215">
        <f>IF(ISERROR(INDEX(Data!$DY:$IB,MATCH($W56,Data!$DT:$DT,0),MATCH(X$1&amp;"/"&amp;$A$2,Data!$DY$1:$IB$1,0)))=TRUE,0,INDEX(Data!$DY:$IB,MATCH($W56,Data!$DT:$DT,0),MATCH(X$1&amp;"/"&amp;$A$2,Data!$DY$1:$IB$1,0)))</f>
        <v>4</v>
      </c>
      <c r="Y56" s="215">
        <f>IF(ISERROR(INDEX(Data!$DY:$IB,MATCH($W56,Data!$DT:$DT,0),MATCH(Y$1&amp;"/"&amp;$A$2,Data!$DY$1:$IB$1,0)))=TRUE,0,INDEX(Data!$DY:$IB,MATCH($W56,Data!$DT:$DT,0),MATCH(Y$1&amp;"/"&amp;$A$2,Data!$DY$1:$IB$1,0)))</f>
        <v>4</v>
      </c>
      <c r="Z56" s="215">
        <f>IF(ISERROR(INDEX(Data!$DY:$IB,MATCH($W56,Data!$DT:$DT,0),MATCH(Z$1&amp;"/"&amp;$A$2,Data!$DY$1:$IB$1,0)))=TRUE,0,INDEX(Data!$DY:$IB,MATCH($W56,Data!$DT:$DT,0),MATCH(Z$1&amp;"/"&amp;$A$2,Data!$DY$1:$IB$1,0)))</f>
        <v>0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2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>/R1/R2</v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51</v>
      </c>
      <c r="AT56" s="204" t="str">
        <f>MID(INDEX(Data!A:A,MATCH(W56,Data!DT:DT,0)),2,5)</f>
        <v>51</v>
      </c>
      <c r="AU56" s="204" t="str">
        <f>INDEX(Data!DW:DW,MATCH(W56,Data!DT:DT,0))</f>
        <v>M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4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4" t="str">
        <f t="shared" ca="1" si="29"/>
        <v/>
      </c>
      <c r="B57" s="265"/>
      <c r="C57" s="266"/>
      <c r="D57" s="398" t="str">
        <f t="shared" ca="1" si="37"/>
        <v/>
      </c>
      <c r="E57" s="399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 t="str">
        <f>Data!DT145</f>
        <v>Irmgard Derschmidt</v>
      </c>
      <c r="X57" s="215">
        <f>IF(ISERROR(INDEX(Data!$DY:$IB,MATCH($W57,Data!$DT:$DT,0),MATCH(X$1&amp;"/"&amp;$A$2,Data!$DY$1:$IB$1,0)))=TRUE,0,INDEX(Data!$DY:$IB,MATCH($W57,Data!$DT:$DT,0),MATCH(X$1&amp;"/"&amp;$A$2,Data!$DY$1:$IB$1,0)))</f>
        <v>2</v>
      </c>
      <c r="Y57" s="215">
        <f>IF(ISERROR(INDEX(Data!$DY:$IB,MATCH($W57,Data!$DT:$DT,0),MATCH(Y$1&amp;"/"&amp;$A$2,Data!$DY$1:$IB$1,0)))=TRUE,0,INDEX(Data!$DY:$IB,MATCH($W57,Data!$DT:$DT,0),MATCH(Y$1&amp;"/"&amp;$A$2,Data!$DY$1:$IB$1,0)))</f>
        <v>5</v>
      </c>
      <c r="Z57" s="215">
        <f>IF(ISERROR(INDEX(Data!$DY:$IB,MATCH($W57,Data!$DT:$DT,0),MATCH(Z$1&amp;"/"&amp;$A$2,Data!$DY$1:$IB$1,0)))=TRUE,0,INDEX(Data!$DY:$IB,MATCH($W57,Data!$DT:$DT,0),MATCH(Z$1&amp;"/"&amp;$A$2,Data!$DY$1:$IB$1,0)))</f>
        <v>0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1</v>
      </c>
      <c r="AE57" s="213">
        <f t="shared" ca="1" si="36"/>
        <v>0</v>
      </c>
      <c r="AF57" s="213">
        <f t="shared" ca="1" si="36"/>
        <v>0</v>
      </c>
      <c r="AG57" s="213">
        <f t="shared" ca="1" si="36"/>
        <v>1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>/R1</v>
      </c>
      <c r="AL57" s="213" t="str">
        <f t="shared" ca="1" si="6"/>
        <v/>
      </c>
      <c r="AM57" s="213" t="str">
        <f t="shared" ca="1" si="33"/>
        <v/>
      </c>
      <c r="AN57" s="213" t="str">
        <f t="shared" ca="1" si="34"/>
        <v>/R2</v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>1496W</v>
      </c>
      <c r="AR57" s="204" t="str">
        <f ca="1">IF(OFFSET($AB57,0,MATCH(A$17,AC$1:AI$1,0))=0,"",OFFSET($AB57,0,MATCH(A$17,AC$1:AI$1,0))&amp;" / "&amp;W57 &amp;" ("&amp;INDEX(Data!DX:DX,MATCH(W57,Data!DT:DT,0))&amp;")")</f>
        <v>1 / Irmgard Derschmidt (4)</v>
      </c>
      <c r="AS57" s="204">
        <f>INDEX(Data!DX:DX,MATCH(W57,Data!DT:DT,0))</f>
        <v>4</v>
      </c>
      <c r="AT57" s="204" t="str">
        <f>MID(INDEX(Data!A:A,MATCH(W57,Data!DT:DT,0)),2,5)</f>
        <v>4</v>
      </c>
      <c r="AU57" s="204" t="str">
        <f>INDEX(Data!DW:DW,MATCH(W57,Data!DT:DT,0))</f>
        <v>W</v>
      </c>
      <c r="AV57" s="204" t="str">
        <f t="shared" ca="1" si="31"/>
        <v>R1</v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4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4" t="str">
        <f t="shared" ca="1" si="29"/>
        <v/>
      </c>
      <c r="B58" s="265"/>
      <c r="C58" s="266"/>
      <c r="D58" s="398" t="str">
        <f t="shared" ca="1" si="37"/>
        <v/>
      </c>
      <c r="E58" s="399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 t="str">
        <f>Data!DT146</f>
        <v>Giovanni De Rossi</v>
      </c>
      <c r="X58" s="215">
        <f>IF(ISERROR(INDEX(Data!$DY:$IB,MATCH($W58,Data!$DT:$DT,0),MATCH(X$1&amp;"/"&amp;$A$2,Data!$DY$1:$IB$1,0)))=TRUE,0,INDEX(Data!$DY:$IB,MATCH($W58,Data!$DT:$DT,0),MATCH(X$1&amp;"/"&amp;$A$2,Data!$DY$1:$IB$1,0)))</f>
        <v>4</v>
      </c>
      <c r="Y58" s="215">
        <f>IF(ISERROR(INDEX(Data!$DY:$IB,MATCH($W58,Data!$DT:$DT,0),MATCH(Y$1&amp;"/"&amp;$A$2,Data!$DY$1:$IB$1,0)))=TRUE,0,INDEX(Data!$DY:$IB,MATCH($W58,Data!$DT:$DT,0),MATCH(Y$1&amp;"/"&amp;$A$2,Data!$DY$1:$IB$1,0)))</f>
        <v>4</v>
      </c>
      <c r="Z58" s="215">
        <f>IF(ISERROR(INDEX(Data!$DY:$IB,MATCH($W58,Data!$DT:$DT,0),MATCH(Z$1&amp;"/"&amp;$A$2,Data!$DY$1:$IB$1,0)))=TRUE,0,INDEX(Data!$DY:$IB,MATCH($W58,Data!$DT:$DT,0),MATCH(Z$1&amp;"/"&amp;$A$2,Data!$DY$1:$IB$1,0)))</f>
        <v>0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2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>/R1/R2</v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52</v>
      </c>
      <c r="AT58" s="204" t="str">
        <f>MID(INDEX(Data!A:A,MATCH(W58,Data!DT:DT,0)),2,5)</f>
        <v>52</v>
      </c>
      <c r="AU58" s="204" t="str">
        <f>INDEX(Data!DW:DW,MATCH(W58,Data!DT:DT,0))</f>
        <v>M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4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4" t="str">
        <f t="shared" ca="1" si="29"/>
        <v/>
      </c>
      <c r="B59" s="265"/>
      <c r="C59" s="266"/>
      <c r="D59" s="398" t="str">
        <f t="shared" ca="1" si="37"/>
        <v/>
      </c>
      <c r="E59" s="399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 t="str">
        <f>Data!DT147</f>
        <v>Helmut Heizeneder</v>
      </c>
      <c r="X59" s="215">
        <f>IF(ISERROR(INDEX(Data!$DY:$IB,MATCH($W59,Data!$DT:$DT,0),MATCH(X$1&amp;"/"&amp;$A$2,Data!$DY$1:$IB$1,0)))=TRUE,0,INDEX(Data!$DY:$IB,MATCH($W59,Data!$DT:$DT,0),MATCH(X$1&amp;"/"&amp;$A$2,Data!$DY$1:$IB$1,0)))</f>
        <v>3</v>
      </c>
      <c r="Y59" s="215">
        <f>IF(ISERROR(INDEX(Data!$DY:$IB,MATCH($W59,Data!$DT:$DT,0),MATCH(Y$1&amp;"/"&amp;$A$2,Data!$DY$1:$IB$1,0)))=TRUE,0,INDEX(Data!$DY:$IB,MATCH($W59,Data!$DT:$DT,0),MATCH(Y$1&amp;"/"&amp;$A$2,Data!$DY$1:$IB$1,0)))</f>
        <v>4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1</v>
      </c>
      <c r="AF59" s="213">
        <f t="shared" ca="1" si="36"/>
        <v>1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/R1</v>
      </c>
      <c r="AM59" s="213" t="str">
        <f t="shared" ca="1" si="33"/>
        <v>/R2</v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53</v>
      </c>
      <c r="AT59" s="204" t="str">
        <f>MID(INDEX(Data!A:A,MATCH(W59,Data!DT:DT,0)),2,5)</f>
        <v>53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4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4" t="str">
        <f t="shared" ca="1" si="29"/>
        <v/>
      </c>
      <c r="B60" s="265"/>
      <c r="C60" s="266"/>
      <c r="D60" s="398" t="str">
        <f t="shared" ca="1" si="37"/>
        <v/>
      </c>
      <c r="E60" s="399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 t="str">
        <f>Data!DT148</f>
        <v>Wolfgang Bitschnau</v>
      </c>
      <c r="X60" s="215">
        <f>IF(ISERROR(INDEX(Data!$DY:$IB,MATCH($W60,Data!$DT:$DT,0),MATCH(X$1&amp;"/"&amp;$A$2,Data!$DY$1:$IB$1,0)))=TRUE,0,INDEX(Data!$DY:$IB,MATCH($W60,Data!$DT:$DT,0),MATCH(X$1&amp;"/"&amp;$A$2,Data!$DY$1:$IB$1,0)))</f>
        <v>2</v>
      </c>
      <c r="Y60" s="215">
        <f>IF(ISERROR(INDEX(Data!$DY:$IB,MATCH($W60,Data!$DT:$DT,0),MATCH(Y$1&amp;"/"&amp;$A$2,Data!$DY$1:$IB$1,0)))=TRUE,0,INDEX(Data!$DY:$IB,MATCH($W60,Data!$DT:$DT,0),MATCH(Y$1&amp;"/"&amp;$A$2,Data!$DY$1:$IB$1,0)))</f>
        <v>5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1</v>
      </c>
      <c r="AE60" s="213">
        <f t="shared" ca="1" si="36"/>
        <v>0</v>
      </c>
      <c r="AF60" s="213">
        <f t="shared" ca="1" si="36"/>
        <v>0</v>
      </c>
      <c r="AG60" s="213">
        <f t="shared" ca="1" si="36"/>
        <v>1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>/R1</v>
      </c>
      <c r="AL60" s="213" t="str">
        <f t="shared" ca="1" si="6"/>
        <v/>
      </c>
      <c r="AM60" s="213" t="str">
        <f t="shared" ca="1" si="33"/>
        <v/>
      </c>
      <c r="AN60" s="213" t="str">
        <f t="shared" ca="1" si="34"/>
        <v>/R2</v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>1446M</v>
      </c>
      <c r="AR60" s="204" t="str">
        <f ca="1">IF(OFFSET($AB60,0,MATCH(A$17,AC$1:AI$1,0))=0,"",OFFSET($AB60,0,MATCH(A$17,AC$1:AI$1,0))&amp;" / "&amp;W60 &amp;" ("&amp;INDEX(Data!DX:DX,MATCH(W60,Data!DT:DT,0))&amp;")")</f>
        <v>1 / Wolfgang Bitschnau (53)</v>
      </c>
      <c r="AS60" s="204">
        <f>INDEX(Data!DX:DX,MATCH(W60,Data!DT:DT,0))</f>
        <v>53</v>
      </c>
      <c r="AT60" s="204" t="str">
        <f>MID(INDEX(Data!A:A,MATCH(W60,Data!DT:DT,0)),2,5)</f>
        <v>54</v>
      </c>
      <c r="AU60" s="204" t="str">
        <f>INDEX(Data!DW:DW,MATCH(W60,Data!DT:DT,0))</f>
        <v>M</v>
      </c>
      <c r="AV60" s="204" t="str">
        <f t="shared" ca="1" si="31"/>
        <v>R1</v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4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4" t="str">
        <f t="shared" ca="1" si="29"/>
        <v/>
      </c>
      <c r="B61" s="265"/>
      <c r="C61" s="266"/>
      <c r="D61" s="398" t="str">
        <f t="shared" ca="1" si="37"/>
        <v/>
      </c>
      <c r="E61" s="399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 t="str">
        <f>Data!DT149</f>
        <v>Wiltrud Derschmidt</v>
      </c>
      <c r="X61" s="215">
        <f>IF(ISERROR(INDEX(Data!$DY:$IB,MATCH($W61,Data!$DT:$DT,0),MATCH(X$1&amp;"/"&amp;$A$2,Data!$DY$1:$IB$1,0)))=TRUE,0,INDEX(Data!$DY:$IB,MATCH($W61,Data!$DT:$DT,0),MATCH(X$1&amp;"/"&amp;$A$2,Data!$DY$1:$IB$1,0)))</f>
        <v>4</v>
      </c>
      <c r="Y61" s="215">
        <f>IF(ISERROR(INDEX(Data!$DY:$IB,MATCH($W61,Data!$DT:$DT,0),MATCH(Y$1&amp;"/"&amp;$A$2,Data!$DY$1:$IB$1,0)))=TRUE,0,INDEX(Data!$DY:$IB,MATCH($W61,Data!$DT:$DT,0),MATCH(Y$1&amp;"/"&amp;$A$2,Data!$DY$1:$IB$1,0)))</f>
        <v>3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1</v>
      </c>
      <c r="AF61" s="213">
        <f t="shared" ca="1" si="36"/>
        <v>1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>/R2</v>
      </c>
      <c r="AM61" s="213" t="str">
        <f t="shared" ca="1" si="33"/>
        <v>/R1</v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>
        <f>INDEX(Data!DX:DX,MATCH(W61,Data!DT:DT,0))</f>
        <v>5</v>
      </c>
      <c r="AT61" s="204" t="str">
        <f>MID(INDEX(Data!A:A,MATCH(W61,Data!DT:DT,0)),2,5)</f>
        <v>5</v>
      </c>
      <c r="AU61" s="204" t="str">
        <f>INDEX(Data!DW:DW,MATCH(W61,Data!DT:DT,0))</f>
        <v>W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4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4" t="str">
        <f t="shared" ca="1" si="29"/>
        <v/>
      </c>
      <c r="B62" s="265"/>
      <c r="C62" s="266"/>
      <c r="D62" s="398" t="str">
        <f t="shared" ca="1" si="37"/>
        <v/>
      </c>
      <c r="E62" s="399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 t="str">
        <f>Data!DT150</f>
        <v>György Csepeli</v>
      </c>
      <c r="X62" s="215">
        <f>IF(ISERROR(INDEX(Data!$DY:$IB,MATCH($W62,Data!$DT:$DT,0),MATCH(X$1&amp;"/"&amp;$A$2,Data!$DY$1:$IB$1,0)))=TRUE,0,INDEX(Data!$DY:$IB,MATCH($W62,Data!$DT:$DT,0),MATCH(X$1&amp;"/"&amp;$A$2,Data!$DY$1:$IB$1,0)))</f>
        <v>4</v>
      </c>
      <c r="Y62" s="215">
        <f>IF(ISERROR(INDEX(Data!$DY:$IB,MATCH($W62,Data!$DT:$DT,0),MATCH(Y$1&amp;"/"&amp;$A$2,Data!$DY$1:$IB$1,0)))=TRUE,0,INDEX(Data!$DY:$IB,MATCH($W62,Data!$DT:$DT,0),MATCH(Y$1&amp;"/"&amp;$A$2,Data!$DY$1:$IB$1,0)))</f>
        <v>3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1</v>
      </c>
      <c r="AF62" s="213">
        <f t="shared" ca="1" si="36"/>
        <v>1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>/R2</v>
      </c>
      <c r="AM62" s="213" t="str">
        <f t="shared" ca="1" si="33"/>
        <v>/R1</v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>
        <f>INDEX(Data!DX:DX,MATCH(W62,Data!DT:DT,0))</f>
        <v>55</v>
      </c>
      <c r="AT62" s="204" t="str">
        <f>MID(INDEX(Data!A:A,MATCH(W62,Data!DT:DT,0)),2,5)</f>
        <v>55</v>
      </c>
      <c r="AU62" s="204" t="str">
        <f>INDEX(Data!DW:DW,MATCH(W62,Data!DT:DT,0))</f>
        <v>M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4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4" t="str">
        <f t="shared" ca="1" si="29"/>
        <v/>
      </c>
      <c r="B63" s="265"/>
      <c r="C63" s="266"/>
      <c r="D63" s="398" t="str">
        <f t="shared" ca="1" si="37"/>
        <v/>
      </c>
      <c r="E63" s="399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 t="str">
        <f>Data!DT151</f>
        <v>Paweł Kowalczyk</v>
      </c>
      <c r="X63" s="215">
        <f>IF(ISERROR(INDEX(Data!$DY:$IB,MATCH($W63,Data!$DT:$DT,0),MATCH(X$1&amp;"/"&amp;$A$2,Data!$DY$1:$IB$1,0)))=TRUE,0,INDEX(Data!$DY:$IB,MATCH($W63,Data!$DT:$DT,0),MATCH(X$1&amp;"/"&amp;$A$2,Data!$DY$1:$IB$1,0)))</f>
        <v>3</v>
      </c>
      <c r="Y63" s="215">
        <f>IF(ISERROR(INDEX(Data!$DY:$IB,MATCH($W63,Data!$DT:$DT,0),MATCH(Y$1&amp;"/"&amp;$A$2,Data!$DY$1:$IB$1,0)))=TRUE,0,INDEX(Data!$DY:$IB,MATCH($W63,Data!$DT:$DT,0),MATCH(Y$1&amp;"/"&amp;$A$2,Data!$DY$1:$IB$1,0)))</f>
        <v>6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1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1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>/R1</v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>/R2</v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>
        <f>INDEX(Data!DX:DX,MATCH(W63,Data!DT:DT,0))</f>
        <v>56</v>
      </c>
      <c r="AT63" s="204" t="str">
        <f>MID(INDEX(Data!A:A,MATCH(W63,Data!DT:DT,0)),2,5)</f>
        <v>56</v>
      </c>
      <c r="AU63" s="204" t="str">
        <f>INDEX(Data!DW:DW,MATCH(W63,Data!DT:DT,0))</f>
        <v>M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4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4" t="str">
        <f t="shared" ca="1" si="29"/>
        <v/>
      </c>
      <c r="B64" s="265"/>
      <c r="C64" s="266"/>
      <c r="D64" s="398" t="str">
        <f t="shared" ca="1" si="37"/>
        <v/>
      </c>
      <c r="E64" s="399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 t="str">
        <f>Data!DT152</f>
        <v>Christian Stepanek</v>
      </c>
      <c r="X64" s="215">
        <f>IF(ISERROR(INDEX(Data!$DY:$IB,MATCH($W64,Data!$DT:$DT,0),MATCH(X$1&amp;"/"&amp;$A$2,Data!$DY$1:$IB$1,0)))=TRUE,0,INDEX(Data!$DY:$IB,MATCH($W64,Data!$DT:$DT,0),MATCH(X$1&amp;"/"&amp;$A$2,Data!$DY$1:$IB$1,0)))</f>
        <v>2</v>
      </c>
      <c r="Y64" s="215">
        <f>IF(ISERROR(INDEX(Data!$DY:$IB,MATCH($W64,Data!$DT:$DT,0),MATCH(Y$1&amp;"/"&amp;$A$2,Data!$DY$1:$IB$1,0)))=TRUE,0,INDEX(Data!$DY:$IB,MATCH($W64,Data!$DT:$DT,0),MATCH(Y$1&amp;"/"&amp;$A$2,Data!$DY$1:$IB$1,0)))</f>
        <v>3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1</v>
      </c>
      <c r="AE64" s="213">
        <f t="shared" ca="1" si="36"/>
        <v>1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>/R1</v>
      </c>
      <c r="AL64" s="213" t="str">
        <f t="shared" ca="1" si="6"/>
        <v>/R2</v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>1443M</v>
      </c>
      <c r="AR64" s="204" t="str">
        <f ca="1">IF(OFFSET($AB64,0,MATCH(A$17,AC$1:AI$1,0))=0,"",OFFSET($AB64,0,MATCH(A$17,AC$1:AI$1,0))&amp;" / "&amp;W64 &amp;" ("&amp;INDEX(Data!DX:DX,MATCH(W64,Data!DT:DT,0))&amp;")")</f>
        <v>1 / Christian Stepanek (56)</v>
      </c>
      <c r="AS64" s="204">
        <f>INDEX(Data!DX:DX,MATCH(W64,Data!DT:DT,0))</f>
        <v>56</v>
      </c>
      <c r="AT64" s="204" t="str">
        <f>MID(INDEX(Data!A:A,MATCH(W64,Data!DT:DT,0)),2,5)</f>
        <v>57</v>
      </c>
      <c r="AU64" s="204" t="str">
        <f>INDEX(Data!DW:DW,MATCH(W64,Data!DT:DT,0))</f>
        <v>M</v>
      </c>
      <c r="AV64" s="204" t="str">
        <f t="shared" ca="1" si="31"/>
        <v>R1</v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4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4" t="str">
        <f t="shared" ca="1" si="29"/>
        <v/>
      </c>
      <c r="B65" s="265"/>
      <c r="C65" s="266"/>
      <c r="D65" s="398" t="str">
        <f t="shared" ca="1" si="37"/>
        <v/>
      </c>
      <c r="E65" s="399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 t="str">
        <f>Data!DT153</f>
        <v>Stefan Hochstöger</v>
      </c>
      <c r="X65" s="215">
        <f>IF(ISERROR(INDEX(Data!$DY:$IB,MATCH($W65,Data!$DT:$DT,0),MATCH(X$1&amp;"/"&amp;$A$2,Data!$DY$1:$IB$1,0)))=TRUE,0,INDEX(Data!$DY:$IB,MATCH($W65,Data!$DT:$DT,0),MATCH(X$1&amp;"/"&amp;$A$2,Data!$DY$1:$IB$1,0)))</f>
        <v>8</v>
      </c>
      <c r="Y65" s="215">
        <f>IF(ISERROR(INDEX(Data!$DY:$IB,MATCH($W65,Data!$DT:$DT,0),MATCH(Y$1&amp;"/"&amp;$A$2,Data!$DY$1:$IB$1,0)))=TRUE,0,INDEX(Data!$DY:$IB,MATCH($W65,Data!$DT:$DT,0),MATCH(Y$1&amp;"/"&amp;$A$2,Data!$DY$1:$IB$1,0)))</f>
        <v>6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1</v>
      </c>
      <c r="AI65" s="213">
        <f t="shared" ca="1" si="12"/>
        <v>1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>/R2</v>
      </c>
      <c r="AP65" s="213" t="str">
        <f t="shared" ca="1" si="30"/>
        <v>/R1</v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>
        <f>INDEX(Data!DX:DX,MATCH(W65,Data!DT:DT,0))</f>
        <v>58</v>
      </c>
      <c r="AT65" s="204" t="str">
        <f>MID(INDEX(Data!A:A,MATCH(W65,Data!DT:DT,0)),2,5)</f>
        <v>58</v>
      </c>
      <c r="AU65" s="204" t="str">
        <f>INDEX(Data!DW:DW,MATCH(W65,Data!DT:DT,0))</f>
        <v>M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4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4" t="str">
        <f t="shared" ca="1" si="29"/>
        <v/>
      </c>
      <c r="B66" s="265"/>
      <c r="C66" s="266"/>
      <c r="D66" s="398" t="str">
        <f t="shared" ca="1" si="37"/>
        <v/>
      </c>
      <c r="E66" s="399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 t="str">
        <f>Data!DT154</f>
        <v>Gerald Froschauer</v>
      </c>
      <c r="X66" s="215">
        <f>IF(ISERROR(INDEX(Data!$DY:$IB,MATCH($W66,Data!$DT:$DT,0),MATCH(X$1&amp;"/"&amp;$A$2,Data!$DY$1:$IB$1,0)))=TRUE,0,INDEX(Data!$DY:$IB,MATCH($W66,Data!$DT:$DT,0),MATCH(X$1&amp;"/"&amp;$A$2,Data!$DY$1:$IB$1,0)))</f>
        <v>2</v>
      </c>
      <c r="Y66" s="215">
        <f>IF(ISERROR(INDEX(Data!$DY:$IB,MATCH($W66,Data!$DT:$DT,0),MATCH(Y$1&amp;"/"&amp;$A$2,Data!$DY$1:$IB$1,0)))=TRUE,0,INDEX(Data!$DY:$IB,MATCH($W66,Data!$DT:$DT,0),MATCH(Y$1&amp;"/"&amp;$A$2,Data!$DY$1:$IB$1,0)))</f>
        <v>4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1</v>
      </c>
      <c r="AE66" s="213">
        <f t="shared" ca="1" si="36"/>
        <v>0</v>
      </c>
      <c r="AF66" s="213">
        <f t="shared" ca="1" si="36"/>
        <v>1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>/R1</v>
      </c>
      <c r="AL66" s="213" t="str">
        <f t="shared" ca="1" si="6"/>
        <v/>
      </c>
      <c r="AM66" s="213" t="str">
        <f t="shared" ca="1" si="33"/>
        <v>/R2</v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>1441M</v>
      </c>
      <c r="AR66" s="204" t="str">
        <f ca="1">IF(OFFSET($AB66,0,MATCH(A$17,AC$1:AI$1,0))=0,"",OFFSET($AB66,0,MATCH(A$17,AC$1:AI$1,0))&amp;" / "&amp;W66 &amp;" ("&amp;INDEX(Data!DX:DX,MATCH(W66,Data!DT:DT,0))&amp;")")</f>
        <v>1 / Gerald Froschauer (59)</v>
      </c>
      <c r="AS66" s="204">
        <f>INDEX(Data!DX:DX,MATCH(W66,Data!DT:DT,0))</f>
        <v>59</v>
      </c>
      <c r="AT66" s="204" t="str">
        <f>MID(INDEX(Data!A:A,MATCH(W66,Data!DT:DT,0)),2,5)</f>
        <v>59</v>
      </c>
      <c r="AU66" s="204" t="str">
        <f>INDEX(Data!DW:DW,MATCH(W66,Data!DT:DT,0))</f>
        <v>M</v>
      </c>
      <c r="AV66" s="204" t="str">
        <f t="shared" ca="1" si="31"/>
        <v>R1</v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4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4" t="str">
        <f t="shared" ca="1" si="29"/>
        <v/>
      </c>
      <c r="B67" s="265"/>
      <c r="C67" s="266"/>
      <c r="D67" s="398" t="str">
        <f t="shared" ca="1" si="37"/>
        <v/>
      </c>
      <c r="E67" s="399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 t="str">
        <f>Data!DT155</f>
        <v>Róbert Hatvani</v>
      </c>
      <c r="X67" s="215">
        <f>IF(ISERROR(INDEX(Data!$DY:$IB,MATCH($W67,Data!$DT:$DT,0),MATCH(X$1&amp;"/"&amp;$A$2,Data!$DY$1:$IB$1,0)))=TRUE,0,INDEX(Data!$DY:$IB,MATCH($W67,Data!$DT:$DT,0),MATCH(X$1&amp;"/"&amp;$A$2,Data!$DY$1:$IB$1,0)))</f>
        <v>3</v>
      </c>
      <c r="Y67" s="215">
        <f>IF(ISERROR(INDEX(Data!$DY:$IB,MATCH($W67,Data!$DT:$DT,0),MATCH(Y$1&amp;"/"&amp;$A$2,Data!$DY$1:$IB$1,0)))=TRUE,0,INDEX(Data!$DY:$IB,MATCH($W67,Data!$DT:$DT,0),MATCH(Y$1&amp;"/"&amp;$A$2,Data!$DY$1:$IB$1,0)))</f>
        <v>6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1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1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>/R1</v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>/R2</v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>
        <f>INDEX(Data!DX:DX,MATCH(W67,Data!DT:DT,0))</f>
        <v>59</v>
      </c>
      <c r="AT67" s="204" t="str">
        <f>MID(INDEX(Data!A:A,MATCH(W67,Data!DT:DT,0)),2,5)</f>
        <v>60</v>
      </c>
      <c r="AU67" s="204" t="str">
        <f>INDEX(Data!DW:DW,MATCH(W67,Data!DT:DT,0))</f>
        <v>M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4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4" t="str">
        <f t="shared" ca="1" si="29"/>
        <v/>
      </c>
      <c r="B68" s="265"/>
      <c r="C68" s="266"/>
      <c r="D68" s="398" t="str">
        <f t="shared" ca="1" si="37"/>
        <v/>
      </c>
      <c r="E68" s="399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 t="str">
        <f>Data!DT156</f>
        <v>Sona Švecová</v>
      </c>
      <c r="X68" s="215">
        <f>IF(ISERROR(INDEX(Data!$DY:$IB,MATCH($W68,Data!$DT:$DT,0),MATCH(X$1&amp;"/"&amp;$A$2,Data!$DY$1:$IB$1,0)))=TRUE,0,INDEX(Data!$DY:$IB,MATCH($W68,Data!$DT:$DT,0),MATCH(X$1&amp;"/"&amp;$A$2,Data!$DY$1:$IB$1,0)))</f>
        <v>3</v>
      </c>
      <c r="Y68" s="215">
        <f>IF(ISERROR(INDEX(Data!$DY:$IB,MATCH($W68,Data!$DT:$DT,0),MATCH(Y$1&amp;"/"&amp;$A$2,Data!$DY$1:$IB$1,0)))=TRUE,0,INDEX(Data!$DY:$IB,MATCH($W68,Data!$DT:$DT,0),MATCH(Y$1&amp;"/"&amp;$A$2,Data!$DY$1:$IB$1,0)))</f>
        <v>3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2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>/R1/R2</v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>
        <f>INDEX(Data!DX:DX,MATCH(W68,Data!DT:DT,0))</f>
        <v>6</v>
      </c>
      <c r="AT68" s="204" t="str">
        <f>MID(INDEX(Data!A:A,MATCH(W68,Data!DT:DT,0)),2,5)</f>
        <v>6</v>
      </c>
      <c r="AU68" s="204" t="str">
        <f>INDEX(Data!DW:DW,MATCH(W68,Data!DT:DT,0))</f>
        <v>W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4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4" t="str">
        <f t="shared" ca="1" si="29"/>
        <v/>
      </c>
      <c r="B69" s="265"/>
      <c r="C69" s="266"/>
      <c r="D69" s="398" t="str">
        <f t="shared" ca="1" si="37"/>
        <v/>
      </c>
      <c r="E69" s="399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 t="str">
        <f>Data!DT157</f>
        <v>Marton Metzger</v>
      </c>
      <c r="X69" s="215">
        <f>IF(ISERROR(INDEX(Data!$DY:$IB,MATCH($W69,Data!$DT:$DT,0),MATCH(X$1&amp;"/"&amp;$A$2,Data!$DY$1:$IB$1,0)))=TRUE,0,INDEX(Data!$DY:$IB,MATCH($W69,Data!$DT:$DT,0),MATCH(X$1&amp;"/"&amp;$A$2,Data!$DY$1:$IB$1,0)))</f>
        <v>4</v>
      </c>
      <c r="Y69" s="215">
        <f>IF(ISERROR(INDEX(Data!$DY:$IB,MATCH($W69,Data!$DT:$DT,0),MATCH(Y$1&amp;"/"&amp;$A$2,Data!$DY$1:$IB$1,0)))=TRUE,0,INDEX(Data!$DY:$IB,MATCH($W69,Data!$DT:$DT,0),MATCH(Y$1&amp;"/"&amp;$A$2,Data!$DY$1:$IB$1,0)))</f>
        <v>6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1</v>
      </c>
      <c r="AG69" s="213">
        <f t="shared" ca="1" si="36"/>
        <v>0</v>
      </c>
      <c r="AH69" s="213">
        <f t="shared" ca="1" si="36"/>
        <v>1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>/R1</v>
      </c>
      <c r="AN69" s="213" t="str">
        <f t="shared" ca="1" si="44"/>
        <v/>
      </c>
      <c r="AO69" s="213" t="str">
        <f t="shared" ca="1" si="45"/>
        <v>/R2</v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>
        <f>INDEX(Data!DX:DX,MATCH(W69,Data!DT:DT,0))</f>
        <v>61</v>
      </c>
      <c r="AT69" s="204" t="str">
        <f>MID(INDEX(Data!A:A,MATCH(W69,Data!DT:DT,0)),2,5)</f>
        <v>61</v>
      </c>
      <c r="AU69" s="204" t="str">
        <f>INDEX(Data!DW:DW,MATCH(W69,Data!DT:DT,0))</f>
        <v>M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4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4" t="str">
        <f t="shared" ca="1" si="29"/>
        <v/>
      </c>
      <c r="B70" s="265"/>
      <c r="C70" s="266"/>
      <c r="D70" s="398" t="str">
        <f t="shared" ca="1" si="37"/>
        <v/>
      </c>
      <c r="E70" s="399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 t="str">
        <f>Data!DT158</f>
        <v>Michaela Trimmel</v>
      </c>
      <c r="X70" s="215">
        <f>IF(ISERROR(INDEX(Data!$DY:$IB,MATCH($W70,Data!$DT:$DT,0),MATCH(X$1&amp;"/"&amp;$A$2,Data!$DY$1:$IB$1,0)))=TRUE,0,INDEX(Data!$DY:$IB,MATCH($W70,Data!$DT:$DT,0),MATCH(X$1&amp;"/"&amp;$A$2,Data!$DY$1:$IB$1,0)))</f>
        <v>3</v>
      </c>
      <c r="Y70" s="215">
        <f>IF(ISERROR(INDEX(Data!$DY:$IB,MATCH($W70,Data!$DT:$DT,0),MATCH(Y$1&amp;"/"&amp;$A$2,Data!$DY$1:$IB$1,0)))=TRUE,0,INDEX(Data!$DY:$IB,MATCH($W70,Data!$DT:$DT,0),MATCH(Y$1&amp;"/"&amp;$A$2,Data!$DY$1:$IB$1,0)))</f>
        <v>2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1</v>
      </c>
      <c r="AE70" s="213">
        <f t="shared" ca="1" si="36"/>
        <v>1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>/R2</v>
      </c>
      <c r="AL70" s="213" t="str">
        <f t="shared" ca="1" si="42"/>
        <v>/R1</v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>1493W</v>
      </c>
      <c r="AR70" s="204" t="str">
        <f ca="1">IF(OFFSET($AB70,0,MATCH(A$17,AC$1:AI$1,0))=0,"",OFFSET($AB70,0,MATCH(A$17,AC$1:AI$1,0))&amp;" / "&amp;W70 &amp;" ("&amp;INDEX(Data!DX:DX,MATCH(W70,Data!DT:DT,0))&amp;")")</f>
        <v>1 / Michaela Trimmel (7)</v>
      </c>
      <c r="AS70" s="204">
        <f>INDEX(Data!DX:DX,MATCH(W70,Data!DT:DT,0))</f>
        <v>7</v>
      </c>
      <c r="AT70" s="204" t="str">
        <f>MID(INDEX(Data!A:A,MATCH(W70,Data!DT:DT,0)),2,5)</f>
        <v>7</v>
      </c>
      <c r="AU70" s="204" t="str">
        <f>INDEX(Data!DW:DW,MATCH(W70,Data!DT:DT,0))</f>
        <v>W</v>
      </c>
      <c r="AV70" s="204" t="str">
        <f t="shared" ca="1" si="40"/>
        <v>R2</v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4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4" t="str">
        <f t="shared" ca="1" si="29"/>
        <v/>
      </c>
      <c r="B71" s="265"/>
      <c r="C71" s="266"/>
      <c r="D71" s="398" t="str">
        <f t="shared" ca="1" si="37"/>
        <v/>
      </c>
      <c r="E71" s="399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 t="str">
        <f>Data!DT159</f>
        <v>Aliz Török</v>
      </c>
      <c r="X71" s="215">
        <f>IF(ISERROR(INDEX(Data!$DY:$IB,MATCH($W71,Data!$DT:$DT,0),MATCH(X$1&amp;"/"&amp;$A$2,Data!$DY$1:$IB$1,0)))=TRUE,0,INDEX(Data!$DY:$IB,MATCH($W71,Data!$DT:$DT,0),MATCH(X$1&amp;"/"&amp;$A$2,Data!$DY$1:$IB$1,0)))</f>
        <v>6</v>
      </c>
      <c r="Y71" s="215">
        <f>IF(ISERROR(INDEX(Data!$DY:$IB,MATCH($W71,Data!$DT:$DT,0),MATCH(Y$1&amp;"/"&amp;$A$2,Data!$DY$1:$IB$1,0)))=TRUE,0,INDEX(Data!$DY:$IB,MATCH($W71,Data!$DT:$DT,0),MATCH(Y$1&amp;"/"&amp;$A$2,Data!$DY$1:$IB$1,0)))</f>
        <v>5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1</v>
      </c>
      <c r="AH71" s="213">
        <f t="shared" ca="1" si="36"/>
        <v>1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>/R2</v>
      </c>
      <c r="AO71" s="213" t="str">
        <f t="shared" ca="1" si="45"/>
        <v>/R1</v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>
        <f>INDEX(Data!DX:DX,MATCH(W71,Data!DT:DT,0))</f>
        <v>8</v>
      </c>
      <c r="AT71" s="204" t="str">
        <f>MID(INDEX(Data!A:A,MATCH(W71,Data!DT:DT,0)),2,5)</f>
        <v>8</v>
      </c>
      <c r="AU71" s="204" t="str">
        <f>INDEX(Data!DW:DW,MATCH(W71,Data!DT:DT,0))</f>
        <v>W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4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4" t="str">
        <f t="shared" ca="1" si="29"/>
        <v/>
      </c>
      <c r="B72" s="265"/>
      <c r="C72" s="266"/>
      <c r="D72" s="398" t="str">
        <f t="shared" ca="1" si="37"/>
        <v/>
      </c>
      <c r="E72" s="399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 t="str">
        <f>Data!DT160</f>
        <v>Natalija Jarec</v>
      </c>
      <c r="X72" s="215">
        <f>IF(ISERROR(INDEX(Data!$DY:$IB,MATCH($W72,Data!$DT:$DT,0),MATCH(X$1&amp;"/"&amp;$A$2,Data!$DY$1:$IB$1,0)))=TRUE,0,INDEX(Data!$DY:$IB,MATCH($W72,Data!$DT:$DT,0),MATCH(X$1&amp;"/"&amp;$A$2,Data!$DY$1:$IB$1,0)))</f>
        <v>4</v>
      </c>
      <c r="Y72" s="215">
        <f>IF(ISERROR(INDEX(Data!$DY:$IB,MATCH($W72,Data!$DT:$DT,0),MATCH(Y$1&amp;"/"&amp;$A$2,Data!$DY$1:$IB$1,0)))=TRUE,0,INDEX(Data!$DY:$IB,MATCH($W72,Data!$DT:$DT,0),MATCH(Y$1&amp;"/"&amp;$A$2,Data!$DY$1:$IB$1,0)))</f>
        <v>6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1</v>
      </c>
      <c r="AG72" s="213">
        <f t="shared" ca="1" si="36"/>
        <v>0</v>
      </c>
      <c r="AH72" s="213">
        <f t="shared" ca="1" si="36"/>
        <v>1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>/R1</v>
      </c>
      <c r="AN72" s="213" t="str">
        <f t="shared" ca="1" si="44"/>
        <v/>
      </c>
      <c r="AO72" s="213" t="str">
        <f t="shared" ca="1" si="45"/>
        <v>/R2</v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str">
        <f>INDEX(Data!DX:DX,MATCH(W72,Data!DT:DT,0))</f>
        <v>NF</v>
      </c>
      <c r="AT72" s="204" t="str">
        <f>MID(INDEX(Data!A:A,MATCH(W72,Data!DT:DT,0)),2,5)</f>
        <v>NF0</v>
      </c>
      <c r="AU72" s="204" t="str">
        <f>INDEX(Data!DW:DW,MATCH(W72,Data!DT:DT,0))</f>
        <v>W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4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4" t="str">
        <f t="shared" ca="1" si="29"/>
        <v/>
      </c>
      <c r="B73" s="265"/>
      <c r="C73" s="266"/>
      <c r="D73" s="398" t="str">
        <f t="shared" ca="1" si="37"/>
        <v/>
      </c>
      <c r="E73" s="399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 t="str">
        <f>Data!DT161</f>
        <v>Nino Djurak</v>
      </c>
      <c r="X73" s="215">
        <f>IF(ISERROR(INDEX(Data!$DY:$IB,MATCH($W73,Data!$DT:$DT,0),MATCH(X$1&amp;"/"&amp;$A$2,Data!$DY$1:$IB$1,0)))=TRUE,0,INDEX(Data!$DY:$IB,MATCH($W73,Data!$DT:$DT,0),MATCH(X$1&amp;"/"&amp;$A$2,Data!$DY$1:$IB$1,0)))</f>
        <v>3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1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>/R1</v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str">
        <f>INDEX(Data!DX:DX,MATCH(W73,Data!DT:DT,0))</f>
        <v>NF</v>
      </c>
      <c r="AT73" s="204" t="str">
        <f>MID(INDEX(Data!A:A,MATCH(W73,Data!DT:DT,0)),2,5)</f>
        <v>NF0</v>
      </c>
      <c r="AU73" s="204" t="str">
        <f>INDEX(Data!DW:DW,MATCH(W73,Data!DT:DT,0))</f>
        <v>M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4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4" t="str">
        <f t="shared" ca="1" si="29"/>
        <v/>
      </c>
      <c r="B74" s="265"/>
      <c r="C74" s="266"/>
      <c r="D74" s="398" t="str">
        <f t="shared" ca="1" si="37"/>
        <v/>
      </c>
      <c r="E74" s="399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4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4" t="str">
        <f t="shared" ca="1" si="29"/>
        <v/>
      </c>
      <c r="B75" s="265"/>
      <c r="C75" s="266"/>
      <c r="D75" s="398" t="str">
        <f t="shared" ca="1" si="37"/>
        <v/>
      </c>
      <c r="E75" s="399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4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4" t="str">
        <f t="shared" ca="1" si="29"/>
        <v/>
      </c>
      <c r="B76" s="265"/>
      <c r="C76" s="266"/>
      <c r="D76" s="398" t="str">
        <f t="shared" ca="1" si="37"/>
        <v/>
      </c>
      <c r="E76" s="399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4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4" t="str">
        <f t="shared" ca="1" si="29"/>
        <v/>
      </c>
      <c r="B77" s="265"/>
      <c r="C77" s="266"/>
      <c r="D77" s="398" t="str">
        <f t="shared" ca="1" si="37"/>
        <v/>
      </c>
      <c r="E77" s="399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4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4" t="str">
        <f t="shared" ca="1" si="29"/>
        <v/>
      </c>
      <c r="B78" s="265"/>
      <c r="C78" s="266"/>
      <c r="D78" s="398" t="str">
        <f t="shared" ca="1" si="37"/>
        <v/>
      </c>
      <c r="E78" s="399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4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4" t="str">
        <f t="shared" ca="1" si="29"/>
        <v/>
      </c>
      <c r="B79" s="265"/>
      <c r="C79" s="266"/>
      <c r="D79" s="398" t="str">
        <f t="shared" ca="1" si="37"/>
        <v/>
      </c>
      <c r="E79" s="399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4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4" t="str">
        <f t="shared" ca="1" si="29"/>
        <v/>
      </c>
      <c r="B80" s="265"/>
      <c r="C80" s="266"/>
      <c r="D80" s="398" t="str">
        <f t="shared" ca="1" si="37"/>
        <v/>
      </c>
      <c r="E80" s="399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4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4" t="str">
        <f t="shared" ca="1" si="29"/>
        <v/>
      </c>
      <c r="B81" s="265"/>
      <c r="C81" s="266"/>
      <c r="D81" s="398" t="str">
        <f t="shared" ca="1" si="37"/>
        <v/>
      </c>
      <c r="E81" s="399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4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4" t="str">
        <f t="shared" ca="1" si="29"/>
        <v/>
      </c>
      <c r="B82" s="265"/>
      <c r="C82" s="266"/>
      <c r="D82" s="398" t="str">
        <f t="shared" ca="1" si="37"/>
        <v/>
      </c>
      <c r="E82" s="399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4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4" t="str">
        <f t="shared" ca="1" si="29"/>
        <v/>
      </c>
      <c r="B83" s="265"/>
      <c r="C83" s="266"/>
      <c r="D83" s="398" t="str">
        <f t="shared" ref="D83:D98" ca="1" si="49">INDEX(AV:AV,MATCH(A83,AR:AR,0))</f>
        <v/>
      </c>
      <c r="E83" s="399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4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4" t="str">
        <f t="shared" ca="1" si="29"/>
        <v/>
      </c>
      <c r="B84" s="265"/>
      <c r="C84" s="266"/>
      <c r="D84" s="398" t="str">
        <f t="shared" ca="1" si="49"/>
        <v/>
      </c>
      <c r="E84" s="399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4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4" t="str">
        <f t="shared" ca="1" si="29"/>
        <v/>
      </c>
      <c r="B85" s="265"/>
      <c r="C85" s="266"/>
      <c r="D85" s="398" t="str">
        <f t="shared" ca="1" si="49"/>
        <v/>
      </c>
      <c r="E85" s="399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4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4" t="str">
        <f t="shared" ref="A86:A97" ca="1" si="60">AW70</f>
        <v/>
      </c>
      <c r="B86" s="265"/>
      <c r="C86" s="266"/>
      <c r="D86" s="398" t="str">
        <f t="shared" ca="1" si="49"/>
        <v/>
      </c>
      <c r="E86" s="399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4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4" t="str">
        <f t="shared" ca="1" si="60"/>
        <v/>
      </c>
      <c r="B87" s="265"/>
      <c r="C87" s="266"/>
      <c r="D87" s="398" t="str">
        <f t="shared" ca="1" si="49"/>
        <v/>
      </c>
      <c r="E87" s="399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4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4" t="str">
        <f t="shared" ca="1" si="60"/>
        <v/>
      </c>
      <c r="B88" s="265"/>
      <c r="C88" s="266"/>
      <c r="D88" s="398" t="str">
        <f t="shared" ca="1" si="49"/>
        <v/>
      </c>
      <c r="E88" s="399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4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4" t="str">
        <f t="shared" ca="1" si="60"/>
        <v/>
      </c>
      <c r="B89" s="265"/>
      <c r="C89" s="266"/>
      <c r="D89" s="398" t="str">
        <f t="shared" ca="1" si="49"/>
        <v/>
      </c>
      <c r="E89" s="399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4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4" t="str">
        <f t="shared" ca="1" si="60"/>
        <v/>
      </c>
      <c r="B90" s="265"/>
      <c r="C90" s="266"/>
      <c r="D90" s="398" t="str">
        <f t="shared" ca="1" si="49"/>
        <v/>
      </c>
      <c r="E90" s="399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4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4" t="str">
        <f t="shared" ca="1" si="60"/>
        <v/>
      </c>
      <c r="B91" s="265"/>
      <c r="C91" s="266"/>
      <c r="D91" s="398" t="str">
        <f t="shared" ca="1" si="49"/>
        <v/>
      </c>
      <c r="E91" s="399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4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4" t="str">
        <f t="shared" ca="1" si="60"/>
        <v/>
      </c>
      <c r="B92" s="265"/>
      <c r="C92" s="266"/>
      <c r="D92" s="398" t="str">
        <f t="shared" ca="1" si="49"/>
        <v/>
      </c>
      <c r="E92" s="399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4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4" t="str">
        <f t="shared" ca="1" si="60"/>
        <v/>
      </c>
      <c r="B93" s="265"/>
      <c r="C93" s="266"/>
      <c r="D93" s="398" t="str">
        <f t="shared" ca="1" si="49"/>
        <v/>
      </c>
      <c r="E93" s="399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4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4" t="str">
        <f t="shared" ca="1" si="60"/>
        <v/>
      </c>
      <c r="B94" s="265"/>
      <c r="C94" s="266"/>
      <c r="D94" s="398" t="str">
        <f t="shared" ca="1" si="49"/>
        <v/>
      </c>
      <c r="E94" s="399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4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4" t="str">
        <f t="shared" ca="1" si="60"/>
        <v/>
      </c>
      <c r="B95" s="265"/>
      <c r="C95" s="266"/>
      <c r="D95" s="398" t="str">
        <f t="shared" ca="1" si="49"/>
        <v/>
      </c>
      <c r="E95" s="399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4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4" t="str">
        <f t="shared" ca="1" si="60"/>
        <v/>
      </c>
      <c r="B96" s="265"/>
      <c r="C96" s="266"/>
      <c r="D96" s="398" t="str">
        <f t="shared" ca="1" si="49"/>
        <v/>
      </c>
      <c r="E96" s="399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4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4" t="str">
        <f t="shared" ca="1" si="60"/>
        <v/>
      </c>
      <c r="B97" s="265"/>
      <c r="C97" s="266"/>
      <c r="D97" s="398" t="str">
        <f t="shared" ca="1" si="49"/>
        <v/>
      </c>
      <c r="E97" s="399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4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7" t="str">
        <f t="shared" ref="A98" ca="1" si="62">AW82</f>
        <v/>
      </c>
      <c r="B98" s="268"/>
      <c r="C98" s="269"/>
      <c r="D98" s="396" t="str">
        <f t="shared" ca="1" si="49"/>
        <v/>
      </c>
      <c r="E98" s="397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4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1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4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1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4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1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4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1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4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1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4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1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4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1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4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1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4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1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4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1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4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1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4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1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4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1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4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1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4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1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4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1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4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1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4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1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4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1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4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1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4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1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4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1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4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1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4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1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4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1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4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1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4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1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4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1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4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1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4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1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4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1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4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1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4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1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4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1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4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1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4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1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4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1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4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1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4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1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4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1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4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1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4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1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4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1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4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1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4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1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4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1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4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1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4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1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4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1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4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1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4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1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4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1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4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1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4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1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4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1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4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1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4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1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4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1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4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1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4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1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4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1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4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1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4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1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4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1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4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1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4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1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4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1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4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1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4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1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4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1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4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1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4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1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4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1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4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1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4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1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4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1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4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1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4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1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4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1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4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1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4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1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4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1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4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1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4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1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4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1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4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1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4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1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4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1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4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1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4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1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4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1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4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1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4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1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4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1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4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1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4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1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4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1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4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1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4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1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4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1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4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1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4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1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4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1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4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1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4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1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4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1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4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1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4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1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4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1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4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1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4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1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4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1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4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1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4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1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4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1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4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1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4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1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4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1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4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1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4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1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4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1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4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1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4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1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4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1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4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1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4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1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4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1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4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1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4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1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4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1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4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1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4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1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4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1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4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1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4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1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4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1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4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1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4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1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4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1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4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1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4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1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4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1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4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1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4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1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4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1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4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1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4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1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4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1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4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1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4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1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4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1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4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1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4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1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4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1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4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1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4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1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4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1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4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1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4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1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4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1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4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1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4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1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4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1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4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1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4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1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4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1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4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1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4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1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4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1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4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1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4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1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4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1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4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1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4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1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4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1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4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1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4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1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4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1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4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1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4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1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4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1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4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1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4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1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4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1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4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1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4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1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4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1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4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1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4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1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4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1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4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1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4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1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4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1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4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1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4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1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4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1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4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1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4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1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4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1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4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1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4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1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4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1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4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1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4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1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4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1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4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1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4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1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4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1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4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1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4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1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4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1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4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1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4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1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4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1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4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1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4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1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4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1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4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1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4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1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4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1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4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1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4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1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4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1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4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1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4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1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4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1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4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1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4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1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4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1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4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1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4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1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4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1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4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1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4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1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4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1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4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1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4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1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4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1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4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1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4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1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4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1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4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1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4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1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4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1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4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1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4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1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4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1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4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1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4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1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4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1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4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1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4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1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4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1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4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1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4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1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4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1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4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1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4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1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4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1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4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1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4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1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4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1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4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1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4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1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4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1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4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1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4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1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4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1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4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1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4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1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4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1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4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1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4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1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4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1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4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1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4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1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4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1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4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1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4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1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4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1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4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1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4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1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4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1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4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1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4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1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4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1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4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1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4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1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4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1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4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1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4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1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4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1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4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1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4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1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4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1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4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1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4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1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4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1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4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1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4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1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4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1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4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1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4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1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4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1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4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1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4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6" customWidth="1"/>
    <col min="2" max="9" width="15.7109375" style="3" customWidth="1"/>
    <col min="10" max="26" width="11.42578125" style="310"/>
    <col min="27" max="16384" width="11.42578125" style="67"/>
  </cols>
  <sheetData>
    <row r="1" spans="1:26" s="304" customFormat="1" ht="16.5" thickTop="1" thickBot="1" x14ac:dyDescent="0.3">
      <c r="A1" s="302"/>
      <c r="B1" s="442" t="s">
        <v>29</v>
      </c>
      <c r="C1" s="443"/>
      <c r="D1" s="442" t="s">
        <v>30</v>
      </c>
      <c r="E1" s="443"/>
      <c r="F1" s="442" t="s">
        <v>31</v>
      </c>
      <c r="G1" s="443"/>
      <c r="H1" s="442" t="s">
        <v>32</v>
      </c>
      <c r="I1" s="44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5.75" thickTop="1" x14ac:dyDescent="0.25">
      <c r="A2" s="305" t="s">
        <v>306</v>
      </c>
      <c r="B2" s="306">
        <v>19</v>
      </c>
      <c r="C2" s="307">
        <v>61</v>
      </c>
      <c r="D2" s="308">
        <v>19</v>
      </c>
      <c r="E2" s="309">
        <v>61</v>
      </c>
      <c r="F2" s="306">
        <v>0</v>
      </c>
      <c r="G2" s="309">
        <v>0</v>
      </c>
      <c r="H2" s="306">
        <v>0</v>
      </c>
      <c r="I2" s="309">
        <v>0</v>
      </c>
    </row>
    <row r="3" spans="1:26" x14ac:dyDescent="0.25">
      <c r="A3" s="305" t="s">
        <v>314</v>
      </c>
      <c r="B3" s="312"/>
      <c r="C3" s="311"/>
      <c r="D3" s="313">
        <v>18</v>
      </c>
      <c r="E3" s="314">
        <v>44</v>
      </c>
      <c r="F3" s="313">
        <v>0</v>
      </c>
      <c r="G3" s="307">
        <v>0</v>
      </c>
      <c r="H3" s="372">
        <v>0</v>
      </c>
      <c r="I3" s="311">
        <v>0</v>
      </c>
    </row>
    <row r="4" spans="1:26" x14ac:dyDescent="0.25">
      <c r="A4" s="305" t="s">
        <v>307</v>
      </c>
      <c r="B4" s="312"/>
      <c r="C4" s="311"/>
      <c r="D4" s="438" t="s">
        <v>777</v>
      </c>
      <c r="E4" s="439"/>
      <c r="F4" s="438" t="e">
        <v>#DIV/0!</v>
      </c>
      <c r="G4" s="439"/>
      <c r="H4" s="430" t="e">
        <v>#DIV/0!</v>
      </c>
      <c r="I4" s="431"/>
    </row>
    <row r="5" spans="1:26" x14ac:dyDescent="0.25">
      <c r="A5" s="305" t="s">
        <v>317</v>
      </c>
      <c r="B5" s="308">
        <v>192</v>
      </c>
      <c r="C5" s="309">
        <v>488</v>
      </c>
      <c r="D5" s="308">
        <v>131</v>
      </c>
      <c r="E5" s="309">
        <v>556</v>
      </c>
      <c r="F5" s="308">
        <v>0</v>
      </c>
      <c r="G5" s="309">
        <v>0</v>
      </c>
      <c r="H5" s="308">
        <v>0</v>
      </c>
      <c r="I5" s="309">
        <v>0</v>
      </c>
    </row>
    <row r="6" spans="1:26" x14ac:dyDescent="0.25">
      <c r="A6" s="305" t="s">
        <v>308</v>
      </c>
      <c r="B6" s="438" t="s">
        <v>778</v>
      </c>
      <c r="C6" s="439"/>
      <c r="D6" s="438" t="s">
        <v>779</v>
      </c>
      <c r="E6" s="439"/>
      <c r="F6" s="438" t="s">
        <v>780</v>
      </c>
      <c r="G6" s="439"/>
      <c r="H6" s="438" t="s">
        <v>780</v>
      </c>
      <c r="I6" s="439"/>
    </row>
    <row r="7" spans="1:26" x14ac:dyDescent="0.25">
      <c r="A7" s="305" t="s">
        <v>294</v>
      </c>
      <c r="B7" s="438" t="s">
        <v>781</v>
      </c>
      <c r="C7" s="439"/>
      <c r="D7" s="438" t="s">
        <v>782</v>
      </c>
      <c r="E7" s="439"/>
      <c r="F7" s="438" t="e">
        <v>#NUM!</v>
      </c>
      <c r="G7" s="439"/>
      <c r="H7" s="438" t="e">
        <v>#NUM!</v>
      </c>
      <c r="I7" s="439"/>
    </row>
    <row r="8" spans="1:26" x14ac:dyDescent="0.25">
      <c r="A8" s="305" t="s">
        <v>295</v>
      </c>
      <c r="B8" s="438" t="s">
        <v>783</v>
      </c>
      <c r="C8" s="439"/>
      <c r="D8" s="438" t="s">
        <v>784</v>
      </c>
      <c r="E8" s="439"/>
      <c r="F8" s="438" t="e">
        <v>#NUM!</v>
      </c>
      <c r="G8" s="439"/>
      <c r="H8" s="440" t="e">
        <v>#NUM!</v>
      </c>
      <c r="I8" s="441"/>
    </row>
    <row r="9" spans="1:26" x14ac:dyDescent="0.25">
      <c r="A9" s="305" t="s">
        <v>453</v>
      </c>
      <c r="B9" s="306">
        <v>15</v>
      </c>
      <c r="C9" s="307">
        <v>951</v>
      </c>
      <c r="D9" s="306">
        <v>9</v>
      </c>
      <c r="E9" s="307">
        <v>972</v>
      </c>
      <c r="F9" s="306">
        <v>0</v>
      </c>
      <c r="G9" s="307" t="e">
        <v>#DIV/0!</v>
      </c>
      <c r="H9" s="306">
        <v>0</v>
      </c>
      <c r="I9" s="307" t="e">
        <v>#DIV/0!</v>
      </c>
    </row>
    <row r="10" spans="1:26" x14ac:dyDescent="0.25">
      <c r="A10" s="305" t="s">
        <v>454</v>
      </c>
      <c r="B10" s="346" t="s">
        <v>785</v>
      </c>
      <c r="C10" s="347"/>
      <c r="D10" s="346" t="s">
        <v>786</v>
      </c>
      <c r="E10" s="347"/>
      <c r="F10" s="346" t="s">
        <v>787</v>
      </c>
      <c r="G10" s="347"/>
      <c r="H10" s="346" t="s">
        <v>787</v>
      </c>
      <c r="I10" s="347"/>
    </row>
    <row r="11" spans="1:26" x14ac:dyDescent="0.25">
      <c r="A11" s="305" t="s">
        <v>318</v>
      </c>
      <c r="B11" s="324">
        <v>3.4983022071307301</v>
      </c>
      <c r="C11" s="311"/>
      <c r="D11" s="324">
        <v>3.6358930112165657</v>
      </c>
      <c r="E11" s="325" t="s">
        <v>788</v>
      </c>
      <c r="F11" s="324" t="e">
        <v>#DIV/0!</v>
      </c>
      <c r="G11" s="325" t="e">
        <v>#DIV/0!</v>
      </c>
      <c r="H11" s="373" t="e">
        <v>#DIV/0!</v>
      </c>
      <c r="I11" s="323"/>
    </row>
    <row r="12" spans="1:26" x14ac:dyDescent="0.25">
      <c r="A12" s="305" t="s">
        <v>789</v>
      </c>
      <c r="B12" s="318">
        <v>146</v>
      </c>
      <c r="C12" s="319">
        <v>147</v>
      </c>
      <c r="D12" s="318">
        <v>112</v>
      </c>
      <c r="E12" s="319">
        <v>172</v>
      </c>
      <c r="F12" s="318">
        <v>0</v>
      </c>
      <c r="G12" s="319">
        <v>0</v>
      </c>
      <c r="H12" s="318">
        <v>0</v>
      </c>
      <c r="I12" s="319">
        <v>0</v>
      </c>
    </row>
    <row r="13" spans="1:26" x14ac:dyDescent="0.25">
      <c r="A13" s="305" t="s">
        <v>309</v>
      </c>
      <c r="B13" s="430"/>
      <c r="C13" s="431"/>
      <c r="D13" s="434" t="s">
        <v>777</v>
      </c>
      <c r="E13" s="435"/>
      <c r="F13" s="434" t="e">
        <v>#DIV/0!</v>
      </c>
      <c r="G13" s="435"/>
      <c r="H13" s="430" t="e">
        <v>#DIV/0!</v>
      </c>
      <c r="I13" s="431"/>
    </row>
    <row r="14" spans="1:26" x14ac:dyDescent="0.25">
      <c r="A14" s="305" t="s">
        <v>790</v>
      </c>
      <c r="B14" s="430"/>
      <c r="C14" s="431"/>
      <c r="D14" s="434" t="s">
        <v>777</v>
      </c>
      <c r="E14" s="435"/>
      <c r="F14" s="434" t="e">
        <v>#DIV/0!</v>
      </c>
      <c r="G14" s="435"/>
      <c r="H14" s="430" t="e">
        <v>#DIV/0!</v>
      </c>
      <c r="I14" s="431"/>
    </row>
    <row r="15" spans="1:26" x14ac:dyDescent="0.25">
      <c r="A15" s="305" t="s">
        <v>791</v>
      </c>
      <c r="B15" s="430"/>
      <c r="C15" s="431"/>
      <c r="D15" s="434" t="s">
        <v>792</v>
      </c>
      <c r="E15" s="435"/>
      <c r="F15" s="434" t="e">
        <v>#DIV/0!</v>
      </c>
      <c r="G15" s="435"/>
      <c r="H15" s="430" t="e">
        <v>#DIV/0!</v>
      </c>
      <c r="I15" s="431"/>
    </row>
    <row r="16" spans="1:26" x14ac:dyDescent="0.25">
      <c r="A16" s="305" t="s">
        <v>310</v>
      </c>
      <c r="B16" s="434" t="s">
        <v>778</v>
      </c>
      <c r="C16" s="435"/>
      <c r="D16" s="434" t="s">
        <v>779</v>
      </c>
      <c r="E16" s="435"/>
      <c r="F16" s="434" t="s">
        <v>780</v>
      </c>
      <c r="G16" s="435"/>
      <c r="H16" s="434" t="s">
        <v>780</v>
      </c>
      <c r="I16" s="435"/>
    </row>
    <row r="17" spans="1:9" x14ac:dyDescent="0.25">
      <c r="A17" s="305" t="s">
        <v>793</v>
      </c>
      <c r="B17" s="434" t="s">
        <v>794</v>
      </c>
      <c r="C17" s="435"/>
      <c r="D17" s="434" t="s">
        <v>795</v>
      </c>
      <c r="E17" s="435"/>
      <c r="F17" s="434" t="s">
        <v>780</v>
      </c>
      <c r="G17" s="435"/>
      <c r="H17" s="436" t="s">
        <v>780</v>
      </c>
      <c r="I17" s="437"/>
    </row>
    <row r="18" spans="1:9" x14ac:dyDescent="0.25">
      <c r="A18" s="305" t="s">
        <v>319</v>
      </c>
      <c r="B18" s="326">
        <v>3.9766081871345031</v>
      </c>
      <c r="C18" s="311"/>
      <c r="D18" s="326">
        <v>4.2828947368421053</v>
      </c>
      <c r="E18" s="327" t="s">
        <v>796</v>
      </c>
      <c r="F18" s="326" t="e">
        <v>#DIV/0!</v>
      </c>
      <c r="G18" s="327" t="e">
        <v>#DIV/0!</v>
      </c>
      <c r="H18" s="374" t="e">
        <v>#DIV/0!</v>
      </c>
      <c r="I18" s="323"/>
    </row>
    <row r="19" spans="1:9" x14ac:dyDescent="0.25">
      <c r="A19" s="305" t="s">
        <v>797</v>
      </c>
      <c r="B19" s="320">
        <v>11</v>
      </c>
      <c r="C19" s="321">
        <v>44</v>
      </c>
      <c r="D19" s="320">
        <v>3</v>
      </c>
      <c r="E19" s="321">
        <v>42</v>
      </c>
      <c r="F19" s="320">
        <v>0</v>
      </c>
      <c r="G19" s="321">
        <v>0</v>
      </c>
      <c r="H19" s="320">
        <v>0</v>
      </c>
      <c r="I19" s="321">
        <v>0</v>
      </c>
    </row>
    <row r="20" spans="1:9" x14ac:dyDescent="0.25">
      <c r="A20" s="305" t="s">
        <v>311</v>
      </c>
      <c r="B20" s="430"/>
      <c r="C20" s="431"/>
      <c r="D20" s="432" t="s">
        <v>798</v>
      </c>
      <c r="E20" s="433"/>
      <c r="F20" s="432" t="e">
        <v>#DIV/0!</v>
      </c>
      <c r="G20" s="433"/>
      <c r="H20" s="430" t="e">
        <v>#DIV/0!</v>
      </c>
      <c r="I20" s="431"/>
    </row>
    <row r="21" spans="1:9" x14ac:dyDescent="0.25">
      <c r="A21" s="305" t="s">
        <v>799</v>
      </c>
      <c r="B21" s="430"/>
      <c r="C21" s="431"/>
      <c r="D21" s="432" t="s">
        <v>798</v>
      </c>
      <c r="E21" s="433"/>
      <c r="F21" s="432" t="e">
        <v>#DIV/0!</v>
      </c>
      <c r="G21" s="433"/>
      <c r="H21" s="430" t="e">
        <v>#DIV/0!</v>
      </c>
      <c r="I21" s="431"/>
    </row>
    <row r="22" spans="1:9" x14ac:dyDescent="0.25">
      <c r="A22" s="305" t="s">
        <v>800</v>
      </c>
      <c r="B22" s="430"/>
      <c r="C22" s="431"/>
      <c r="D22" s="432" t="s">
        <v>801</v>
      </c>
      <c r="E22" s="433"/>
      <c r="F22" s="432" t="e">
        <v>#DIV/0!</v>
      </c>
      <c r="G22" s="433"/>
      <c r="H22" s="430" t="e">
        <v>#DIV/0!</v>
      </c>
      <c r="I22" s="431"/>
    </row>
    <row r="23" spans="1:9" x14ac:dyDescent="0.25">
      <c r="A23" s="305" t="s">
        <v>312</v>
      </c>
      <c r="B23" s="432" t="s">
        <v>802</v>
      </c>
      <c r="C23" s="433"/>
      <c r="D23" s="432" t="s">
        <v>803</v>
      </c>
      <c r="E23" s="433"/>
      <c r="F23" s="432" t="s">
        <v>780</v>
      </c>
      <c r="G23" s="433"/>
      <c r="H23" s="432" t="s">
        <v>780</v>
      </c>
      <c r="I23" s="433"/>
    </row>
    <row r="24" spans="1:9" ht="15.75" thickBot="1" x14ac:dyDescent="0.3">
      <c r="A24" s="315" t="s">
        <v>804</v>
      </c>
      <c r="B24" s="426" t="s">
        <v>805</v>
      </c>
      <c r="C24" s="427"/>
      <c r="D24" s="426" t="s">
        <v>806</v>
      </c>
      <c r="E24" s="427"/>
      <c r="F24" s="426" t="s">
        <v>780</v>
      </c>
      <c r="G24" s="427"/>
      <c r="H24" s="428" t="s">
        <v>780</v>
      </c>
      <c r="I24" s="429"/>
    </row>
    <row r="25" spans="1:9" s="310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0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0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0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0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0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0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0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0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0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0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0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0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0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0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0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0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0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0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0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0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0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0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0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0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0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0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0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0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0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0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0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0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0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0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0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0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0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0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0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0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0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0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0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0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0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0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0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0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0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0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0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0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0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0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0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0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0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0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0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0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0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0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0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0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0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0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0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0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0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0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0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0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0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0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0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0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0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0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0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0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0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0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0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0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0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0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0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0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0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0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0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0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0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0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0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0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0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0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0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0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0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0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0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0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0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0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0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0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0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0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0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0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0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0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0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0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0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0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0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0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0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0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0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0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0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0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0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0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0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0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0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0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0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0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0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0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0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0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0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0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0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0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0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0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0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0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0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0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0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0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0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0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0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0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0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0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0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0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0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0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0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0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0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0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0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0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0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0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0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0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0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0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0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0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0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0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0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0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0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0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0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0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0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0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0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0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0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0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0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0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0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0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0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0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0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0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0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0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0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0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0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0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0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0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0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0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0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0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0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0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0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0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0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0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0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0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0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0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0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0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0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0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0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0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0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0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0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0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0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0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0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0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0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0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0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0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0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0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0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0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0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0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0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0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0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0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0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0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0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0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0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0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0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0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0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0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0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0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0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0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0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0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0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0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0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0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0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21:C21"/>
    <mergeCell ref="D21:E21"/>
    <mergeCell ref="F21:G21"/>
    <mergeCell ref="H21:I21"/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5" t="str">
        <f>INDEX(Data!$DW:$DW,MATCH(A11,Data!$DT:$DT,0))</f>
        <v>M</v>
      </c>
      <c r="B1" s="274" t="s">
        <v>36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 t="str">
        <f>INDEX(Parameter!$9:$9,,MATCH(12,Parameter!$8:$8,0))</f>
        <v>11b</v>
      </c>
      <c r="O1" s="52">
        <f>INDEX(Parameter!$9:$9,,MATCH(13,Parameter!$8:$8,0))</f>
        <v>12</v>
      </c>
      <c r="P1" s="52">
        <f>INDEX(Parameter!$9:$9,,MATCH(14,Parameter!$8:$8,0))</f>
        <v>13</v>
      </c>
      <c r="Q1" s="52">
        <f>INDEX(Parameter!$9:$9,,MATCH(15,Parameter!$8:$8,0))</f>
        <v>14</v>
      </c>
      <c r="R1" s="52">
        <f>INDEX(Parameter!$9:$9,,MATCH(16,Parameter!$8:$8,0))</f>
        <v>15</v>
      </c>
      <c r="S1" s="52">
        <f>INDEX(Parameter!$9:$9,,MATCH(17,Parameter!$8:$8,0))</f>
        <v>16</v>
      </c>
      <c r="T1" s="140">
        <f>INDEX(Parameter!$9:$9,,MATCH(18,Parameter!$8:$8,0))</f>
        <v>17</v>
      </c>
      <c r="U1" s="52">
        <f>INDEX(Parameter!$9:$9,,MATCH(19,Parameter!$8:$8,0))</f>
        <v>18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62" t="s">
        <v>62</v>
      </c>
      <c r="AE1" s="463"/>
      <c r="AF1" s="463"/>
      <c r="AG1" s="464"/>
    </row>
    <row r="2" spans="1:123" x14ac:dyDescent="0.25">
      <c r="A2" s="452" t="s">
        <v>23</v>
      </c>
      <c r="B2" s="453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4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4</v>
      </c>
      <c r="M2" s="54">
        <f>INDEX(Parameter!$10:$10,,MATCH(M$1,Parameter!$9:$9,0))</f>
        <v>4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5">
        <f ca="1">SUMIF(C$11:AC$11,"&gt;0",C$2:AC$2)</f>
        <v>61</v>
      </c>
      <c r="AE2" s="466"/>
      <c r="AF2" s="466"/>
      <c r="AG2" s="467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54" t="str">
        <f>IF($A$1="m","Average Men","Average Women")</f>
        <v>Average Men</v>
      </c>
      <c r="B3" s="455"/>
      <c r="C3" s="332">
        <f>IF($A$1="m",'Scores Men'!F3,'Scores Women'!F3)</f>
        <v>3.2520325203252032</v>
      </c>
      <c r="D3" s="333">
        <f>IF($A$1="m",'Scores Men'!G3,'Scores Women'!G3)</f>
        <v>3.1626016260162602</v>
      </c>
      <c r="E3" s="333">
        <f>IF($A$1="m",'Scores Men'!H3,'Scores Women'!H3)</f>
        <v>3.4227642276422765</v>
      </c>
      <c r="F3" s="333">
        <f>IF($A$1="m",'Scores Men'!I3,'Scores Women'!I3)</f>
        <v>3.3739837398373984</v>
      </c>
      <c r="G3" s="333">
        <f>IF($A$1="m",'Scores Men'!J3,'Scores Women'!J3)</f>
        <v>4.1056910569105689</v>
      </c>
      <c r="H3" s="333">
        <f>IF($A$1="m",'Scores Men'!K3,'Scores Women'!K3)</f>
        <v>3.4390243902439024</v>
      </c>
      <c r="I3" s="333">
        <f>IF($A$1="m",'Scores Men'!L3,'Scores Women'!L3)</f>
        <v>3.3495934959349594</v>
      </c>
      <c r="J3" s="333">
        <f>IF($A$1="m",'Scores Men'!M3,'Scores Women'!M3)</f>
        <v>3.024390243902439</v>
      </c>
      <c r="K3" s="333">
        <f>IF($A$1="m",'Scores Men'!N3,'Scores Women'!N3)</f>
        <v>4.4634146341463419</v>
      </c>
      <c r="L3" s="333">
        <f>IF($A$1="m",'Scores Men'!O3,'Scores Women'!O3)</f>
        <v>4.5528455284552845</v>
      </c>
      <c r="M3" s="333">
        <f>IF($A$1="m",'Scores Men'!P3,'Scores Women'!P3)</f>
        <v>4.9674796747967482</v>
      </c>
      <c r="N3" s="333">
        <f>IF($A$1="m",'Scores Men'!Q3,'Scores Women'!Q3)</f>
        <v>3.5121951219512195</v>
      </c>
      <c r="O3" s="333">
        <f>IF($A$1="m",'Scores Men'!R3,'Scores Women'!R3)</f>
        <v>3.154471544715447</v>
      </c>
      <c r="P3" s="333">
        <f>IF($A$1="m",'Scores Men'!S3,'Scores Women'!S3)</f>
        <v>3.2682926829268291</v>
      </c>
      <c r="Q3" s="333">
        <f>IF($A$1="m",'Scores Men'!T3,'Scores Women'!T3)</f>
        <v>3.4227642276422765</v>
      </c>
      <c r="R3" s="333">
        <f>IF($A$1="m",'Scores Men'!U3,'Scores Women'!U3)</f>
        <v>2.910569105691057</v>
      </c>
      <c r="S3" s="333">
        <f>IF($A$1="m",'Scores Men'!V3,'Scores Women'!V3)</f>
        <v>3.3008130081300813</v>
      </c>
      <c r="T3" s="331">
        <f>IF($A$1="m",'Scores Men'!W3,'Scores Women'!W3)</f>
        <v>3.4959349593495936</v>
      </c>
      <c r="U3" s="333">
        <f>IF($A$1="m",'Scores Men'!X3,'Scores Women'!X3)</f>
        <v>3.5853658536585367</v>
      </c>
      <c r="V3" s="333" t="str">
        <f>IF($A$1="m",'Scores Men'!Y3,'Scores Women'!Y3)</f>
        <v>no</v>
      </c>
      <c r="W3" s="333" t="str">
        <f>IF($A$1="m",'Scores Men'!Z3,'Scores Women'!Z3)</f>
        <v>no</v>
      </c>
      <c r="X3" s="333" t="str">
        <f>IF($A$1="m",'Scores Men'!AA3,'Scores Women'!AA3)</f>
        <v>no</v>
      </c>
      <c r="Y3" s="333" t="str">
        <f>IF($A$1="m",'Scores Men'!AB3,'Scores Women'!AB3)</f>
        <v>no</v>
      </c>
      <c r="Z3" s="333" t="str">
        <f>IF($A$1="m",'Scores Men'!AC3,'Scores Women'!AC3)</f>
        <v>no</v>
      </c>
      <c r="AA3" s="333" t="str">
        <f>IF($A$1="m",'Scores Men'!AD3,'Scores Women'!AD3)</f>
        <v>no</v>
      </c>
      <c r="AB3" s="333" t="str">
        <f>IF($A$1="m",'Scores Men'!AE3,'Scores Women'!AE3)</f>
        <v>no</v>
      </c>
      <c r="AC3" s="331" t="str">
        <f>IF($A$1="m",'Scores Men'!AF3,'Scores Women'!AF3)</f>
        <v>no</v>
      </c>
      <c r="AD3" s="456">
        <f ca="1">SUMIF(C$11:AC$11,"&gt;0",C$3:AC$3)</f>
        <v>67.764227642276424</v>
      </c>
      <c r="AE3" s="457"/>
      <c r="AF3" s="457"/>
      <c r="AG3" s="458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54" t="str">
        <f>IF($A$1="m","Average Top 5 Men","Average Top 5 Women")</f>
        <v>Average Top 5 Men</v>
      </c>
      <c r="B4" s="455"/>
      <c r="C4" s="332">
        <f ca="1">IF(C$2="no","no",OFFSET(Data!$A$1,MATCH($A4,Data!$DT:$DT,0)-1,MATCH("Total/"&amp;C$1,Data!$1:$1,0)-1))</f>
        <v>2.75</v>
      </c>
      <c r="D4" s="333">
        <f ca="1">IF(D$2="no","no",OFFSET(Data!$A$1,MATCH($A4,Data!$DT:$DT,0)-1,MATCH("Total/"&amp;D$1,Data!$1:$1,0)-1))</f>
        <v>2.9166666666666665</v>
      </c>
      <c r="E4" s="333">
        <f ca="1">IF(E$2="no","no",OFFSET(Data!$A$1,MATCH($A4,Data!$DT:$DT,0)-1,MATCH("Total/"&amp;E$1,Data!$1:$1,0)-1))</f>
        <v>2.6666666666666665</v>
      </c>
      <c r="F4" s="333">
        <f ca="1">IF(F$2="no","no",OFFSET(Data!$A$1,MATCH($A4,Data!$DT:$DT,0)-1,MATCH("Total/"&amp;F$1,Data!$1:$1,0)-1))</f>
        <v>3.0833333333333335</v>
      </c>
      <c r="G4" s="333">
        <f ca="1">IF(G$2="no","no",OFFSET(Data!$A$1,MATCH($A4,Data!$DT:$DT,0)-1,MATCH("Total/"&amp;G$1,Data!$1:$1,0)-1))</f>
        <v>3.3333333333333335</v>
      </c>
      <c r="H4" s="333">
        <f ca="1">IF(H$2="no","no",OFFSET(Data!$A$1,MATCH($A4,Data!$DT:$DT,0)-1,MATCH("Total/"&amp;H$1,Data!$1:$1,0)-1))</f>
        <v>2.8333333333333335</v>
      </c>
      <c r="I4" s="333">
        <f ca="1">IF(I$2="no","no",OFFSET(Data!$A$1,MATCH($A4,Data!$DT:$DT,0)-1,MATCH("Total/"&amp;I$1,Data!$1:$1,0)-1))</f>
        <v>2.8333333333333335</v>
      </c>
      <c r="J4" s="333">
        <f ca="1">IF(J$2="no","no",OFFSET(Data!$A$1,MATCH($A4,Data!$DT:$DT,0)-1,MATCH("Total/"&amp;J$1,Data!$1:$1,0)-1))</f>
        <v>2.6666666666666665</v>
      </c>
      <c r="K4" s="333">
        <f ca="1">IF(K$2="no","no",OFFSET(Data!$A$1,MATCH($A4,Data!$DT:$DT,0)-1,MATCH("Total/"&amp;K$1,Data!$1:$1,0)-1))</f>
        <v>3.9166666666666665</v>
      </c>
      <c r="L4" s="333">
        <f ca="1">IF(L$2="no","no",OFFSET(Data!$A$1,MATCH($A4,Data!$DT:$DT,0)-1,MATCH("Total/"&amp;L$1,Data!$1:$1,0)-1))</f>
        <v>4.333333333333333</v>
      </c>
      <c r="M4" s="333">
        <f ca="1">IF(M$2="no","no",OFFSET(Data!$A$1,MATCH($A4,Data!$DT:$DT,0)-1,MATCH("Total/"&amp;M$1,Data!$1:$1,0)-1))</f>
        <v>4.583333333333333</v>
      </c>
      <c r="N4" s="333">
        <f ca="1">IF(N$2="no","no",OFFSET(Data!$A$1,MATCH($A4,Data!$DT:$DT,0)-1,MATCH("Total/"&amp;N$1,Data!$1:$1,0)-1))</f>
        <v>3.1666666666666665</v>
      </c>
      <c r="O4" s="333">
        <f ca="1">IF(O$2="no","no",OFFSET(Data!$A$1,MATCH($A4,Data!$DT:$DT,0)-1,MATCH("Total/"&amp;O$1,Data!$1:$1,0)-1))</f>
        <v>2.75</v>
      </c>
      <c r="P4" s="333">
        <f ca="1">IF(P$2="no","no",OFFSET(Data!$A$1,MATCH($A4,Data!$DT:$DT,0)-1,MATCH("Total/"&amp;P$1,Data!$1:$1,0)-1))</f>
        <v>2.9166666666666665</v>
      </c>
      <c r="Q4" s="333">
        <f ca="1">IF(Q$2="no","no",OFFSET(Data!$A$1,MATCH($A4,Data!$DT:$DT,0)-1,MATCH("Total/"&amp;Q$1,Data!$1:$1,0)-1))</f>
        <v>2.9166666666666665</v>
      </c>
      <c r="R4" s="333">
        <f ca="1">IF(R$2="no","no",OFFSET(Data!$A$1,MATCH($A4,Data!$DT:$DT,0)-1,MATCH("Total/"&amp;R$1,Data!$1:$1,0)-1))</f>
        <v>2.6666666666666665</v>
      </c>
      <c r="S4" s="333">
        <f ca="1">IF(S$2="no","no",OFFSET(Data!$A$1,MATCH($A4,Data!$DT:$DT,0)-1,MATCH("Total/"&amp;S$1,Data!$1:$1,0)-1))</f>
        <v>2.8333333333333335</v>
      </c>
      <c r="T4" s="331">
        <f ca="1">IF(T$2="no","no",OFFSET(Data!$A$1,MATCH($A4,Data!$DT:$DT,0)-1,MATCH("Total/"&amp;T$1,Data!$1:$1,0)-1))</f>
        <v>2.5</v>
      </c>
      <c r="U4" s="333">
        <f ca="1">IF(U$2="no","no",OFFSET(Data!$A$1,MATCH($A4,Data!$DT:$DT,0)-1,MATCH("Total/"&amp;U$1,Data!$1:$1,0)-1))</f>
        <v>3</v>
      </c>
      <c r="V4" s="333" t="str">
        <f ca="1">IF(V$2="no","no",OFFSET(Data!$A$1,MATCH($A4,Data!$DT:$DT,0)-1,MATCH("Total/"&amp;V$1,Data!$1:$1,0)-1))</f>
        <v>no</v>
      </c>
      <c r="W4" s="333" t="str">
        <f ca="1">IF(W$2="no","no",OFFSET(Data!$A$1,MATCH($A4,Data!$DT:$DT,0)-1,MATCH("Total/"&amp;W$1,Data!$1:$1,0)-1))</f>
        <v>no</v>
      </c>
      <c r="X4" s="333" t="str">
        <f ca="1">IF(X$2="no","no",OFFSET(Data!$A$1,MATCH($A4,Data!$DT:$DT,0)-1,MATCH("Total/"&amp;X$1,Data!$1:$1,0)-1))</f>
        <v>no</v>
      </c>
      <c r="Y4" s="333" t="str">
        <f ca="1">IF(Y$2="no","no",OFFSET(Data!$A$1,MATCH($A4,Data!$DT:$DT,0)-1,MATCH("Total/"&amp;Y$1,Data!$1:$1,0)-1))</f>
        <v>no</v>
      </c>
      <c r="Z4" s="333" t="str">
        <f ca="1">IF(Z$2="no","no",OFFSET(Data!$A$1,MATCH($A4,Data!$DT:$DT,0)-1,MATCH("Total/"&amp;Z$1,Data!$1:$1,0)-1))</f>
        <v>no</v>
      </c>
      <c r="AA4" s="333" t="str">
        <f ca="1">IF(AA$2="no","no",OFFSET(Data!$A$1,MATCH($A4,Data!$DT:$DT,0)-1,MATCH("Total/"&amp;AA$1,Data!$1:$1,0)-1))</f>
        <v>no</v>
      </c>
      <c r="AB4" s="333" t="str">
        <f ca="1">IF(AB$2="no","no",OFFSET(Data!$A$1,MATCH($A4,Data!$DT:$DT,0)-1,MATCH("Total/"&amp;AB$1,Data!$1:$1,0)-1))</f>
        <v>no</v>
      </c>
      <c r="AC4" s="331" t="str">
        <f ca="1">IF(AC$2="no","no",OFFSET(Data!$A$1,MATCH($A4,Data!$DT:$DT,0)-1,MATCH("Total/"&amp;AC$1,Data!$1:$1,0)-1))</f>
        <v>no</v>
      </c>
      <c r="AD4" s="456">
        <f ca="1">SUMIF(C$11:AC$11,"&gt;0",C$4:AC$4)</f>
        <v>58.666666666666657</v>
      </c>
      <c r="AE4" s="457"/>
      <c r="AF4" s="457"/>
      <c r="AG4" s="458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54" t="str">
        <f>"Average " &amp; A11</f>
        <v>Average Otfried Derschmidt</v>
      </c>
      <c r="B5" s="455"/>
      <c r="C5" s="332">
        <f ca="1">IF(OR(C$2="no",SUM(C11:C15)=0),"no",AVERAGE(C11:C15))</f>
        <v>2.5</v>
      </c>
      <c r="D5" s="331">
        <f t="shared" ref="D5:AC5" ca="1" si="0">IF(OR(D$2="no",SUM(D11:D15)=0),"no",AVERAGE(D11:D15))</f>
        <v>3</v>
      </c>
      <c r="E5" s="331">
        <f t="shared" ca="1" si="0"/>
        <v>2.5</v>
      </c>
      <c r="F5" s="331">
        <f t="shared" ca="1" si="0"/>
        <v>3</v>
      </c>
      <c r="G5" s="331">
        <f t="shared" ca="1" si="0"/>
        <v>3</v>
      </c>
      <c r="H5" s="331">
        <f t="shared" ca="1" si="0"/>
        <v>2.5</v>
      </c>
      <c r="I5" s="331">
        <f t="shared" ca="1" si="0"/>
        <v>3</v>
      </c>
      <c r="J5" s="331">
        <f t="shared" ca="1" si="0"/>
        <v>2.5</v>
      </c>
      <c r="K5" s="331">
        <f t="shared" ca="1" si="0"/>
        <v>4</v>
      </c>
      <c r="L5" s="331">
        <f t="shared" ca="1" si="0"/>
        <v>3.5</v>
      </c>
      <c r="M5" s="331">
        <f t="shared" ca="1" si="0"/>
        <v>4.5</v>
      </c>
      <c r="N5" s="331">
        <f t="shared" ca="1" si="0"/>
        <v>2.5</v>
      </c>
      <c r="O5" s="331">
        <f t="shared" ca="1" si="0"/>
        <v>2.5</v>
      </c>
      <c r="P5" s="331">
        <f t="shared" ca="1" si="0"/>
        <v>3</v>
      </c>
      <c r="Q5" s="331">
        <f t="shared" ca="1" si="0"/>
        <v>3.5</v>
      </c>
      <c r="R5" s="331">
        <f t="shared" ca="1" si="0"/>
        <v>3</v>
      </c>
      <c r="S5" s="331">
        <f t="shared" ca="1" si="0"/>
        <v>2</v>
      </c>
      <c r="T5" s="331">
        <f t="shared" ca="1" si="0"/>
        <v>2.5</v>
      </c>
      <c r="U5" s="331">
        <f t="shared" ca="1" si="0"/>
        <v>3</v>
      </c>
      <c r="V5" s="331" t="str">
        <f t="shared" ca="1" si="0"/>
        <v>no</v>
      </c>
      <c r="W5" s="331" t="str">
        <f t="shared" ca="1" si="0"/>
        <v>no</v>
      </c>
      <c r="X5" s="331" t="str">
        <f t="shared" ca="1" si="0"/>
        <v>no</v>
      </c>
      <c r="Y5" s="331" t="str">
        <f t="shared" ca="1" si="0"/>
        <v>no</v>
      </c>
      <c r="Z5" s="331" t="str">
        <f t="shared" ca="1" si="0"/>
        <v>no</v>
      </c>
      <c r="AA5" s="331" t="str">
        <f t="shared" ca="1" si="0"/>
        <v>no</v>
      </c>
      <c r="AB5" s="331" t="str">
        <f t="shared" ca="1" si="0"/>
        <v>no</v>
      </c>
      <c r="AC5" s="331" t="str">
        <f t="shared" ca="1" si="0"/>
        <v>no</v>
      </c>
      <c r="AD5" s="456">
        <f ca="1">SUMIF(C$11:AC$11,"&gt;0",C$5:AC$5)</f>
        <v>56</v>
      </c>
      <c r="AE5" s="457"/>
      <c r="AF5" s="457"/>
      <c r="AG5" s="458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54" t="str">
        <f>IF($A$1="m","Eagles/+ Men","Eagles/+ Women")</f>
        <v>Eagles/+ Men</v>
      </c>
      <c r="B6" s="455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>
        <f>IF($A$1="m",'Scores Men'!X4,'Scores Women'!X4)</f>
        <v>0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6">
        <f t="shared" ref="AD6:AD9" si="1">SUM(C6:AC6)</f>
        <v>0</v>
      </c>
      <c r="AE6" s="457"/>
      <c r="AF6" s="457"/>
      <c r="AG6" s="458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54" t="str">
        <f>IF($A$1="m","Birdies Men","Birdies Women")</f>
        <v>Birdies Men</v>
      </c>
      <c r="B7" s="455"/>
      <c r="C7" s="143">
        <f>IF($A$1="m",'Scores Men'!F5,'Scores Women'!F5)</f>
        <v>26</v>
      </c>
      <c r="D7" s="144">
        <f>IF($A$1="m",'Scores Men'!G5,'Scores Women'!G5)</f>
        <v>17</v>
      </c>
      <c r="E7" s="144">
        <f>IF($A$1="m",'Scores Men'!H5,'Scores Women'!H5)</f>
        <v>12</v>
      </c>
      <c r="F7" s="144">
        <f>IF($A$1="m",'Scores Men'!I5,'Scores Women'!I5)</f>
        <v>10</v>
      </c>
      <c r="G7" s="144">
        <f>IF($A$1="m",'Scores Men'!J5,'Scores Women'!J5)</f>
        <v>27</v>
      </c>
      <c r="H7" s="144">
        <f>IF($A$1="m",'Scores Men'!K5,'Scores Women'!K5)</f>
        <v>12</v>
      </c>
      <c r="I7" s="144">
        <f>IF($A$1="m",'Scores Men'!L5,'Scores Women'!L5)</f>
        <v>8</v>
      </c>
      <c r="J7" s="144">
        <f>IF($A$1="m",'Scores Men'!M5,'Scores Women'!M5)</f>
        <v>21</v>
      </c>
      <c r="K7" s="144">
        <f>IF($A$1="m",'Scores Men'!N5,'Scores Women'!N5)</f>
        <v>8</v>
      </c>
      <c r="L7" s="144">
        <f>IF($A$1="m",'Scores Men'!O5,'Scores Women'!O5)</f>
        <v>8</v>
      </c>
      <c r="M7" s="144">
        <f>IF($A$1="m",'Scores Men'!P5,'Scores Women'!P5)</f>
        <v>3</v>
      </c>
      <c r="N7" s="144">
        <f>IF($A$1="m",'Scores Men'!Q5,'Scores Women'!Q5)</f>
        <v>9</v>
      </c>
      <c r="O7" s="144">
        <f>IF($A$1="m",'Scores Men'!R5,'Scores Women'!R5)</f>
        <v>23</v>
      </c>
      <c r="P7" s="144">
        <f>IF($A$1="m",'Scores Men'!S5,'Scores Women'!S5)</f>
        <v>14</v>
      </c>
      <c r="Q7" s="144">
        <f>IF($A$1="m",'Scores Men'!T5,'Scores Women'!T5)</f>
        <v>15</v>
      </c>
      <c r="R7" s="144">
        <f>IF($A$1="m",'Scores Men'!U5,'Scores Women'!U5)</f>
        <v>32</v>
      </c>
      <c r="S7" s="144">
        <f>IF($A$1="m",'Scores Men'!V5,'Scores Women'!V5)</f>
        <v>10</v>
      </c>
      <c r="T7" s="145">
        <f>IF($A$1="m",'Scores Men'!W5,'Scores Women'!W5)</f>
        <v>48</v>
      </c>
      <c r="U7" s="144">
        <f>IF($A$1="m",'Scores Men'!X5,'Scores Women'!X5)</f>
        <v>2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6">
        <f t="shared" si="1"/>
        <v>305</v>
      </c>
      <c r="AE7" s="457"/>
      <c r="AF7" s="457"/>
      <c r="AG7" s="458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54" t="str">
        <f>IF($A$1="m","Bogeys Men","Bogeys Women")</f>
        <v>Bogeys Men</v>
      </c>
      <c r="B8" s="455"/>
      <c r="C8" s="143">
        <f>IF($A$1="m",'Scores Men'!F6,'Scores Women'!F6)</f>
        <v>26</v>
      </c>
      <c r="D8" s="144">
        <f>IF($A$1="m",'Scores Men'!G6,'Scores Women'!G6)</f>
        <v>24</v>
      </c>
      <c r="E8" s="144">
        <f>IF($A$1="m",'Scores Men'!H6,'Scores Women'!H6)</f>
        <v>37</v>
      </c>
      <c r="F8" s="144">
        <f>IF($A$1="m",'Scores Men'!I6,'Scores Women'!I6)</f>
        <v>33</v>
      </c>
      <c r="G8" s="144">
        <f>IF($A$1="m",'Scores Men'!J6,'Scores Women'!J6)</f>
        <v>30</v>
      </c>
      <c r="H8" s="144">
        <f>IF($A$1="m",'Scores Men'!K6,'Scores Women'!K6)</f>
        <v>44</v>
      </c>
      <c r="I8" s="144">
        <f>IF($A$1="m",'Scores Men'!L6,'Scores Women'!L6)</f>
        <v>35</v>
      </c>
      <c r="J8" s="144">
        <f>IF($A$1="m",'Scores Men'!M6,'Scores Women'!M6)</f>
        <v>20</v>
      </c>
      <c r="K8" s="144">
        <f>IF($A$1="m",'Scores Men'!N6,'Scores Women'!N6)</f>
        <v>38</v>
      </c>
      <c r="L8" s="144">
        <f>IF($A$1="m",'Scores Men'!O6,'Scores Women'!O6)</f>
        <v>35</v>
      </c>
      <c r="M8" s="144">
        <f>IF($A$1="m",'Scores Men'!P6,'Scores Women'!P6)</f>
        <v>49</v>
      </c>
      <c r="N8" s="144">
        <f>IF($A$1="m",'Scores Men'!Q6,'Scores Women'!Q6)</f>
        <v>25</v>
      </c>
      <c r="O8" s="144">
        <f>IF($A$1="m",'Scores Men'!R6,'Scores Women'!R6)</f>
        <v>24</v>
      </c>
      <c r="P8" s="144">
        <f>IF($A$1="m",'Scores Men'!S6,'Scores Women'!S6)</f>
        <v>31</v>
      </c>
      <c r="Q8" s="144">
        <f>IF($A$1="m",'Scores Men'!T6,'Scores Women'!T6)</f>
        <v>33</v>
      </c>
      <c r="R8" s="144">
        <f>IF($A$1="m",'Scores Men'!U6,'Scores Women'!U6)</f>
        <v>8</v>
      </c>
      <c r="S8" s="144">
        <f>IF($A$1="m",'Scores Men'!V6,'Scores Women'!V6)</f>
        <v>37</v>
      </c>
      <c r="T8" s="145">
        <f>IF($A$1="m",'Scores Men'!W6,'Scores Women'!W6)</f>
        <v>32</v>
      </c>
      <c r="U8" s="144">
        <f>IF($A$1="m",'Scores Men'!X6,'Scores Women'!X6)</f>
        <v>56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6">
        <f t="shared" si="1"/>
        <v>617</v>
      </c>
      <c r="AE8" s="457"/>
      <c r="AF8" s="457"/>
      <c r="AG8" s="458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54" t="str">
        <f>IF($A$1="m","Double-Bogeys/+ Men","Double-Bogeys/+ Women")</f>
        <v>Double-Bogeys/+ Men</v>
      </c>
      <c r="B9" s="455"/>
      <c r="C9" s="143">
        <f>IF($A$1="m",'Scores Men'!F7,'Scores Women'!F7)</f>
        <v>12</v>
      </c>
      <c r="D9" s="144">
        <f>IF($A$1="m",'Scores Men'!G7,'Scores Women'!G7)</f>
        <v>6</v>
      </c>
      <c r="E9" s="144">
        <f>IF($A$1="m",'Scores Men'!H7,'Scores Women'!H7)</f>
        <v>13</v>
      </c>
      <c r="F9" s="144">
        <f>IF($A$1="m",'Scores Men'!I7,'Scores Women'!I7)</f>
        <v>11</v>
      </c>
      <c r="G9" s="144">
        <f>IF($A$1="m",'Scores Men'!J7,'Scores Women'!J7)</f>
        <v>5</v>
      </c>
      <c r="H9" s="144">
        <f>IF($A$1="m",'Scores Men'!K7,'Scores Women'!K7)</f>
        <v>10</v>
      </c>
      <c r="I9" s="144">
        <f>IF($A$1="m",'Scores Men'!L7,'Scores Women'!L7)</f>
        <v>8</v>
      </c>
      <c r="J9" s="144">
        <f>IF($A$1="m",'Scores Men'!M7,'Scores Women'!M7)</f>
        <v>2</v>
      </c>
      <c r="K9" s="144">
        <f>IF($A$1="m",'Scores Men'!N7,'Scores Women'!N7)</f>
        <v>12</v>
      </c>
      <c r="L9" s="144">
        <f>IF($A$1="m",'Scores Men'!O7,'Scores Women'!O7)</f>
        <v>19</v>
      </c>
      <c r="M9" s="144">
        <f>IF($A$1="m",'Scores Men'!P7,'Scores Women'!P7)</f>
        <v>33</v>
      </c>
      <c r="N9" s="144">
        <f>IF($A$1="m",'Scores Men'!Q7,'Scores Women'!Q7)</f>
        <v>22</v>
      </c>
      <c r="O9" s="144">
        <f>IF($A$1="m",'Scores Men'!R7,'Scores Women'!R7)</f>
        <v>8</v>
      </c>
      <c r="P9" s="144">
        <f>IF($A$1="m",'Scores Men'!S7,'Scores Women'!S7)</f>
        <v>6</v>
      </c>
      <c r="Q9" s="144">
        <f>IF($A$1="m",'Scores Men'!T7,'Scores Women'!T7)</f>
        <v>16</v>
      </c>
      <c r="R9" s="144">
        <f>IF($A$1="m",'Scores Men'!U7,'Scores Women'!U7)</f>
        <v>6</v>
      </c>
      <c r="S9" s="144">
        <f>IF($A$1="m",'Scores Men'!V7,'Scores Women'!V7)</f>
        <v>5</v>
      </c>
      <c r="T9" s="145">
        <f>IF($A$1="m",'Scores Men'!W7,'Scores Women'!W7)</f>
        <v>31</v>
      </c>
      <c r="U9" s="144">
        <f>IF($A$1="m",'Scores Men'!X7,'Scores Women'!X7)</f>
        <v>8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6">
        <f t="shared" si="1"/>
        <v>233</v>
      </c>
      <c r="AE9" s="457"/>
      <c r="AF9" s="457"/>
      <c r="AG9" s="458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48</v>
      </c>
      <c r="B10" s="182" t="s">
        <v>166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23</v>
      </c>
      <c r="AE10" s="169" t="s">
        <v>79</v>
      </c>
      <c r="AF10" s="170" t="s">
        <v>80</v>
      </c>
      <c r="AG10" s="169" t="s">
        <v>62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0</v>
      </c>
      <c r="B11" s="180" t="s">
        <v>29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3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2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2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3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4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2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4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6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2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2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3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3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2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2</v>
      </c>
      <c r="U11" s="73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>3</v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61</v>
      </c>
      <c r="AE11" s="172">
        <f ca="1">AF11-AD11</f>
        <v>-6</v>
      </c>
      <c r="AF11" s="171">
        <f ca="1">SUM(C11:AC11)</f>
        <v>55</v>
      </c>
      <c r="AG11" s="172">
        <f ca="1">AF11</f>
        <v>55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ht="15.75" thickBot="1" x14ac:dyDescent="0.3">
      <c r="A12" s="166" t="str">
        <f>"Ranking: "&amp;INDEX(Data!DX:DX,MATCH(A11,Data!DT:DT,0))&amp;" / "&amp;IF($A$1="M","Men","Women")&amp;" (Rating "&amp;ROUND(INDEX(Data!AM:AM,MATCH(A11,Data!DT:DT,0)), 0)&amp;")"</f>
        <v>Ranking: 1 / Men (Rating 1045)</v>
      </c>
      <c r="B12" s="181" t="s">
        <v>30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2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4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3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3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3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2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2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4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4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3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3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4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3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2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3</v>
      </c>
      <c r="U12" s="69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>3</v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61</v>
      </c>
      <c r="AE12" s="174">
        <f ca="1">AF12-AD12</f>
        <v>-4</v>
      </c>
      <c r="AF12" s="173">
        <f ca="1">SUM(C12:AC12)</f>
        <v>57</v>
      </c>
      <c r="AG12" s="174">
        <f ca="1">SUM(AF$11:AF12)</f>
        <v>112</v>
      </c>
      <c r="AI12" s="209"/>
    </row>
    <row r="13" spans="1:123" hidden="1" x14ac:dyDescent="0.25">
      <c r="A13" s="167"/>
      <c r="B13" s="181" t="s">
        <v>31</v>
      </c>
      <c r="C13" s="68" t="str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/>
      </c>
      <c r="D13" s="69" t="str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/>
      </c>
      <c r="E13" s="69" t="str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/>
      </c>
      <c r="F13" s="69" t="str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/>
      </c>
      <c r="G13" s="69" t="str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/>
      </c>
      <c r="H13" s="69" t="str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/>
      </c>
      <c r="I13" s="69" t="str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/>
      </c>
      <c r="J13" s="69" t="str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/>
      </c>
      <c r="K13" s="69" t="str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/>
      </c>
      <c r="L13" s="69" t="str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/>
      </c>
      <c r="M13" s="69" t="str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/>
      </c>
      <c r="N13" s="69" t="str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/>
      </c>
      <c r="O13" s="69" t="str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/>
      </c>
      <c r="P13" s="69" t="str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/>
      </c>
      <c r="Q13" s="69" t="str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/>
      </c>
      <c r="R13" s="69" t="str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/>
      </c>
      <c r="S13" s="69" t="str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/>
      </c>
      <c r="T13" s="70" t="str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/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0</v>
      </c>
      <c r="AE13" s="174">
        <f ca="1">AF13-AD13</f>
        <v>0</v>
      </c>
      <c r="AF13" s="173">
        <f ca="1">SUM(C13:AC13)</f>
        <v>0</v>
      </c>
      <c r="AG13" s="174">
        <f ca="1">SUM(AF$11:AF13)</f>
        <v>112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idden="1" x14ac:dyDescent="0.25">
      <c r="A14" s="167"/>
      <c r="B14" s="181" t="s">
        <v>32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0</v>
      </c>
      <c r="AE14" s="174">
        <f ca="1">AF14-AD14</f>
        <v>0</v>
      </c>
      <c r="AF14" s="173">
        <f ca="1">SUM(C14:AC14)</f>
        <v>0</v>
      </c>
      <c r="AG14" s="174">
        <f ca="1">SUM(AF$11:AF14)</f>
        <v>112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33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112</v>
      </c>
    </row>
    <row r="16" spans="1:123" s="138" customFormat="1" ht="15" hidden="1" customHeight="1" x14ac:dyDescent="0.25">
      <c r="A16" s="468" t="s">
        <v>49</v>
      </c>
      <c r="B16" s="469"/>
      <c r="C16" s="152">
        <f t="shared" ref="C16:AC16" ca="1" si="2">IF(C$2="no","no",COUNTIF(C$11:C$15,"="&amp;C$2-1))</f>
        <v>1</v>
      </c>
      <c r="D16" s="153">
        <f t="shared" ca="1" si="2"/>
        <v>1</v>
      </c>
      <c r="E16" s="153">
        <f t="shared" ca="1" si="2"/>
        <v>1</v>
      </c>
      <c r="F16" s="153">
        <f t="shared" ca="1" si="2"/>
        <v>0</v>
      </c>
      <c r="G16" s="153">
        <f t="shared" ca="1" si="2"/>
        <v>2</v>
      </c>
      <c r="H16" s="153">
        <f t="shared" ca="1" si="2"/>
        <v>1</v>
      </c>
      <c r="I16" s="153">
        <f t="shared" ca="1" si="2"/>
        <v>1</v>
      </c>
      <c r="J16" s="153">
        <f t="shared" ca="1" si="2"/>
        <v>1</v>
      </c>
      <c r="K16" s="153">
        <f t="shared" ca="1" si="2"/>
        <v>0</v>
      </c>
      <c r="L16" s="153">
        <f t="shared" ca="1" si="2"/>
        <v>1</v>
      </c>
      <c r="M16" s="153">
        <f t="shared" ca="1" si="2"/>
        <v>1</v>
      </c>
      <c r="N16" s="153">
        <f t="shared" ca="1" si="2"/>
        <v>1</v>
      </c>
      <c r="O16" s="153">
        <f t="shared" ca="1" si="2"/>
        <v>1</v>
      </c>
      <c r="P16" s="153">
        <f t="shared" ca="1" si="2"/>
        <v>0</v>
      </c>
      <c r="Q16" s="153">
        <f t="shared" ca="1" si="2"/>
        <v>0</v>
      </c>
      <c r="R16" s="153">
        <f t="shared" ca="1" si="2"/>
        <v>0</v>
      </c>
      <c r="S16" s="153">
        <f t="shared" ca="1" si="2"/>
        <v>2</v>
      </c>
      <c r="T16" s="154">
        <f t="shared" ca="1" si="2"/>
        <v>1</v>
      </c>
      <c r="U16" s="153">
        <f t="shared" ca="1" si="2"/>
        <v>0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59">
        <f ca="1">SUM(C16:AC16)</f>
        <v>15</v>
      </c>
      <c r="AE16" s="460"/>
      <c r="AF16" s="460"/>
      <c r="AG16" s="461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70" t="s">
        <v>50</v>
      </c>
      <c r="B17" s="471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>
        <f t="array" aca="1" ref="U17" ca="1">IF(U$2="no","no",SUM((U$11:U$15&lt;U$2-1)*(U$11:U$15&gt;0)))</f>
        <v>0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46">
        <f ca="1">SUM(C17:AC17)</f>
        <v>0</v>
      </c>
      <c r="AE17" s="447"/>
      <c r="AF17" s="447"/>
      <c r="AG17" s="448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70" t="s">
        <v>191</v>
      </c>
      <c r="B18" s="471"/>
      <c r="C18" s="156">
        <f t="shared" ref="C18:AC18" ca="1" si="3">IF(C$2="no","no",COUNTIF(C$11:C$15,"="&amp;C$2+1))</f>
        <v>0</v>
      </c>
      <c r="D18" s="157">
        <f t="shared" ca="1" si="3"/>
        <v>1</v>
      </c>
      <c r="E18" s="157">
        <f t="shared" ca="1" si="3"/>
        <v>0</v>
      </c>
      <c r="F18" s="157">
        <f t="shared" ca="1" si="3"/>
        <v>0</v>
      </c>
      <c r="G18" s="157">
        <f t="shared" ca="1" si="3"/>
        <v>0</v>
      </c>
      <c r="H18" s="157">
        <f t="shared" ca="1" si="3"/>
        <v>0</v>
      </c>
      <c r="I18" s="157">
        <f t="shared" ca="1" si="3"/>
        <v>1</v>
      </c>
      <c r="J18" s="157">
        <f t="shared" ca="1" si="3"/>
        <v>0</v>
      </c>
      <c r="K18" s="157">
        <f t="shared" ca="1" si="3"/>
        <v>0</v>
      </c>
      <c r="L18" s="157">
        <f t="shared" ca="1" si="3"/>
        <v>0</v>
      </c>
      <c r="M18" s="157">
        <f t="shared" ca="1" si="3"/>
        <v>0</v>
      </c>
      <c r="N18" s="157">
        <f t="shared" ca="1" si="3"/>
        <v>0</v>
      </c>
      <c r="O18" s="157">
        <f t="shared" ca="1" si="3"/>
        <v>0</v>
      </c>
      <c r="P18" s="157">
        <f t="shared" ca="1" si="3"/>
        <v>0</v>
      </c>
      <c r="Q18" s="157">
        <f t="shared" ca="1" si="3"/>
        <v>1</v>
      </c>
      <c r="R18" s="157">
        <f t="shared" ca="1" si="3"/>
        <v>0</v>
      </c>
      <c r="S18" s="157">
        <f t="shared" ca="1" si="3"/>
        <v>0</v>
      </c>
      <c r="T18" s="158">
        <f t="shared" ca="1" si="3"/>
        <v>0</v>
      </c>
      <c r="U18" s="157">
        <f t="shared" ca="1" si="3"/>
        <v>0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46">
        <f ca="1">SUM(C18:AC18)</f>
        <v>3</v>
      </c>
      <c r="AE18" s="447"/>
      <c r="AF18" s="447"/>
      <c r="AG18" s="448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44" t="s">
        <v>51</v>
      </c>
      <c r="B19" s="445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1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>
        <f t="shared" ca="1" si="4"/>
        <v>0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49">
        <f ca="1">SUM(C19:AC19)</f>
        <v>1</v>
      </c>
      <c r="AE19" s="450"/>
      <c r="AF19" s="450"/>
      <c r="AG19" s="451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45</v>
      </c>
      <c r="C20" s="205">
        <f t="shared" ref="C20:AC20" ca="1" si="5">C16*-1</f>
        <v>-1</v>
      </c>
      <c r="D20" s="205">
        <f t="shared" ca="1" si="5"/>
        <v>-1</v>
      </c>
      <c r="E20" s="205">
        <f t="shared" ca="1" si="5"/>
        <v>-1</v>
      </c>
      <c r="F20" s="205">
        <f t="shared" ca="1" si="5"/>
        <v>0</v>
      </c>
      <c r="G20" s="205">
        <f t="shared" ca="1" si="5"/>
        <v>-2</v>
      </c>
      <c r="H20" s="205">
        <f t="shared" ca="1" si="5"/>
        <v>-1</v>
      </c>
      <c r="I20" s="205">
        <f t="shared" ca="1" si="5"/>
        <v>-1</v>
      </c>
      <c r="J20" s="205">
        <f t="shared" ca="1" si="5"/>
        <v>-1</v>
      </c>
      <c r="K20" s="205">
        <f t="shared" ca="1" si="5"/>
        <v>0</v>
      </c>
      <c r="L20" s="205">
        <f t="shared" ca="1" si="5"/>
        <v>-1</v>
      </c>
      <c r="M20" s="205">
        <f t="shared" ca="1" si="5"/>
        <v>-1</v>
      </c>
      <c r="N20" s="205">
        <f t="shared" ca="1" si="5"/>
        <v>-1</v>
      </c>
      <c r="O20" s="205">
        <f t="shared" ca="1" si="5"/>
        <v>-1</v>
      </c>
      <c r="P20" s="205">
        <f t="shared" ca="1" si="5"/>
        <v>0</v>
      </c>
      <c r="Q20" s="205">
        <f t="shared" ca="1" si="5"/>
        <v>0</v>
      </c>
      <c r="R20" s="205">
        <f t="shared" ca="1" si="5"/>
        <v>0</v>
      </c>
      <c r="S20" s="205">
        <f t="shared" ca="1" si="5"/>
        <v>-2</v>
      </c>
      <c r="T20" s="205">
        <f t="shared" ca="1" si="5"/>
        <v>-1</v>
      </c>
      <c r="U20" s="205">
        <f t="shared" ca="1" si="5"/>
        <v>0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47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0</v>
      </c>
      <c r="U21" s="207">
        <f t="shared" ca="1" si="6"/>
        <v>0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27</v>
      </c>
      <c r="C22" s="207">
        <f t="shared" ref="C22:AC22" ca="1" si="7">C18</f>
        <v>0</v>
      </c>
      <c r="D22" s="207">
        <f t="shared" ca="1" si="7"/>
        <v>1</v>
      </c>
      <c r="E22" s="207">
        <f t="shared" ca="1" si="7"/>
        <v>0</v>
      </c>
      <c r="F22" s="207">
        <f t="shared" ca="1" si="7"/>
        <v>0</v>
      </c>
      <c r="G22" s="207">
        <f t="shared" ca="1" si="7"/>
        <v>0</v>
      </c>
      <c r="H22" s="207">
        <f t="shared" ca="1" si="7"/>
        <v>0</v>
      </c>
      <c r="I22" s="207">
        <f t="shared" ca="1" si="7"/>
        <v>1</v>
      </c>
      <c r="J22" s="207">
        <f t="shared" ca="1" si="7"/>
        <v>0</v>
      </c>
      <c r="K22" s="207">
        <f t="shared" ca="1" si="7"/>
        <v>0</v>
      </c>
      <c r="L22" s="207">
        <f t="shared" ca="1" si="7"/>
        <v>0</v>
      </c>
      <c r="M22" s="207">
        <f t="shared" ca="1" si="7"/>
        <v>0</v>
      </c>
      <c r="N22" s="207">
        <f t="shared" ca="1" si="7"/>
        <v>0</v>
      </c>
      <c r="O22" s="207">
        <f t="shared" ca="1" si="7"/>
        <v>0</v>
      </c>
      <c r="P22" s="207">
        <f t="shared" ca="1" si="7"/>
        <v>0</v>
      </c>
      <c r="Q22" s="207">
        <f t="shared" ca="1" si="7"/>
        <v>1</v>
      </c>
      <c r="R22" s="207">
        <f t="shared" ca="1" si="7"/>
        <v>0</v>
      </c>
      <c r="S22" s="207">
        <f t="shared" ca="1" si="7"/>
        <v>0</v>
      </c>
      <c r="T22" s="207">
        <f t="shared" ca="1" si="7"/>
        <v>0</v>
      </c>
      <c r="U22" s="207">
        <f t="shared" ca="1" si="7"/>
        <v>0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46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1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>
        <f t="shared" ca="1" si="8"/>
        <v>0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70">
        <f t="shared" ref="C24:AC24" ca="1" si="10">C5-C4</f>
        <v>-0.25</v>
      </c>
      <c r="D24" s="270">
        <f t="shared" ca="1" si="10"/>
        <v>8.3333333333333481E-2</v>
      </c>
      <c r="E24" s="270">
        <f t="shared" ca="1" si="10"/>
        <v>-0.16666666666666652</v>
      </c>
      <c r="F24" s="270">
        <f t="shared" ca="1" si="10"/>
        <v>-8.3333333333333481E-2</v>
      </c>
      <c r="G24" s="270">
        <f t="shared" ca="1" si="10"/>
        <v>-0.33333333333333348</v>
      </c>
      <c r="H24" s="270">
        <f t="shared" ca="1" si="10"/>
        <v>-0.33333333333333348</v>
      </c>
      <c r="I24" s="270">
        <f t="shared" ca="1" si="10"/>
        <v>0.16666666666666652</v>
      </c>
      <c r="J24" s="270">
        <f t="shared" ca="1" si="10"/>
        <v>-0.16666666666666652</v>
      </c>
      <c r="K24" s="270">
        <f t="shared" ca="1" si="10"/>
        <v>8.3333333333333481E-2</v>
      </c>
      <c r="L24" s="270">
        <f t="shared" ca="1" si="10"/>
        <v>-0.83333333333333304</v>
      </c>
      <c r="M24" s="270">
        <f t="shared" ca="1" si="10"/>
        <v>-8.3333333333333037E-2</v>
      </c>
      <c r="N24" s="270">
        <f t="shared" ca="1" si="10"/>
        <v>-0.66666666666666652</v>
      </c>
      <c r="O24" s="270">
        <f t="shared" ca="1" si="10"/>
        <v>-0.25</v>
      </c>
      <c r="P24" s="270">
        <f t="shared" ca="1" si="10"/>
        <v>8.3333333333333481E-2</v>
      </c>
      <c r="Q24" s="270">
        <f t="shared" ca="1" si="10"/>
        <v>0.58333333333333348</v>
      </c>
      <c r="R24" s="270">
        <f t="shared" ca="1" si="10"/>
        <v>0.33333333333333348</v>
      </c>
      <c r="S24" s="270">
        <f t="shared" ca="1" si="10"/>
        <v>-0.83333333333333348</v>
      </c>
      <c r="T24" s="270">
        <f t="shared" ca="1" si="10"/>
        <v>0</v>
      </c>
      <c r="U24" s="270">
        <f t="shared" ca="1" si="10"/>
        <v>0</v>
      </c>
      <c r="V24" s="270" t="e">
        <f t="shared" ca="1" si="10"/>
        <v>#VALUE!</v>
      </c>
      <c r="W24" s="270" t="e">
        <f t="shared" ca="1" si="10"/>
        <v>#VALUE!</v>
      </c>
      <c r="X24" s="270" t="e">
        <f t="shared" ca="1" si="10"/>
        <v>#VALUE!</v>
      </c>
      <c r="Y24" s="270" t="e">
        <f t="shared" ca="1" si="10"/>
        <v>#VALUE!</v>
      </c>
      <c r="Z24" s="270" t="e">
        <f t="shared" ca="1" si="10"/>
        <v>#VALUE!</v>
      </c>
      <c r="AA24" s="270" t="e">
        <f t="shared" ca="1" si="10"/>
        <v>#VALUE!</v>
      </c>
      <c r="AB24" s="270" t="e">
        <f t="shared" ca="1" si="10"/>
        <v>#VALUE!</v>
      </c>
      <c r="AC24" s="270" t="e">
        <f t="shared" ca="1" si="10"/>
        <v>#VALUE!</v>
      </c>
    </row>
    <row r="25" spans="1:78" s="203" customFormat="1" x14ac:dyDescent="0.25">
      <c r="C25" s="270">
        <f t="shared" ref="C25:AC25" ca="1" si="11">C5-C2</f>
        <v>-0.5</v>
      </c>
      <c r="D25" s="270">
        <f t="shared" ca="1" si="11"/>
        <v>0</v>
      </c>
      <c r="E25" s="270">
        <f t="shared" ca="1" si="11"/>
        <v>-0.5</v>
      </c>
      <c r="F25" s="270">
        <f t="shared" ca="1" si="11"/>
        <v>0</v>
      </c>
      <c r="G25" s="270">
        <f t="shared" ca="1" si="11"/>
        <v>-1</v>
      </c>
      <c r="H25" s="270">
        <f t="shared" ca="1" si="11"/>
        <v>-0.5</v>
      </c>
      <c r="I25" s="270">
        <f t="shared" ca="1" si="11"/>
        <v>0</v>
      </c>
      <c r="J25" s="270">
        <f t="shared" ca="1" si="11"/>
        <v>-0.5</v>
      </c>
      <c r="K25" s="270">
        <f t="shared" ca="1" si="11"/>
        <v>0</v>
      </c>
      <c r="L25" s="270">
        <f t="shared" ca="1" si="11"/>
        <v>-0.5</v>
      </c>
      <c r="M25" s="270">
        <f t="shared" ca="1" si="11"/>
        <v>0.5</v>
      </c>
      <c r="N25" s="270">
        <f t="shared" ca="1" si="11"/>
        <v>-0.5</v>
      </c>
      <c r="O25" s="270">
        <f t="shared" ca="1" si="11"/>
        <v>-0.5</v>
      </c>
      <c r="P25" s="270">
        <f t="shared" ca="1" si="11"/>
        <v>0</v>
      </c>
      <c r="Q25" s="270">
        <f t="shared" ca="1" si="11"/>
        <v>0.5</v>
      </c>
      <c r="R25" s="270">
        <f t="shared" ca="1" si="11"/>
        <v>0</v>
      </c>
      <c r="S25" s="270">
        <f t="shared" ca="1" si="11"/>
        <v>-1</v>
      </c>
      <c r="T25" s="270">
        <f t="shared" ca="1" si="11"/>
        <v>-0.5</v>
      </c>
      <c r="U25" s="270">
        <f t="shared" ca="1" si="11"/>
        <v>0</v>
      </c>
      <c r="V25" s="270" t="e">
        <f t="shared" ca="1" si="11"/>
        <v>#VALUE!</v>
      </c>
      <c r="W25" s="270" t="e">
        <f t="shared" ca="1" si="11"/>
        <v>#VALUE!</v>
      </c>
      <c r="X25" s="270" t="e">
        <f t="shared" ca="1" si="11"/>
        <v>#VALUE!</v>
      </c>
      <c r="Y25" s="270" t="e">
        <f t="shared" ca="1" si="11"/>
        <v>#VALUE!</v>
      </c>
      <c r="Z25" s="270" t="e">
        <f t="shared" ca="1" si="11"/>
        <v>#VALUE!</v>
      </c>
      <c r="AA25" s="270" t="e">
        <f t="shared" ca="1" si="11"/>
        <v>#VALUE!</v>
      </c>
      <c r="AB25" s="270" t="e">
        <f t="shared" ca="1" si="11"/>
        <v>#VALUE!</v>
      </c>
      <c r="AC25" s="270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5" t="str">
        <f>INDEX(Data!$DW:$DW,MATCH(A12,Data!$DT:$DT,0))</f>
        <v>M</v>
      </c>
      <c r="B1" s="274" t="s">
        <v>36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 t="str">
        <f>INDEX(Parameter!$9:$9,,MATCH(12,Parameter!$8:$8,0))</f>
        <v>11b</v>
      </c>
      <c r="O1" s="52">
        <f>INDEX(Parameter!$9:$9,,MATCH(13,Parameter!$8:$8,0))</f>
        <v>12</v>
      </c>
      <c r="P1" s="52">
        <f>INDEX(Parameter!$9:$9,,MATCH(14,Parameter!$8:$8,0))</f>
        <v>13</v>
      </c>
      <c r="Q1" s="52">
        <f>INDEX(Parameter!$9:$9,,MATCH(15,Parameter!$8:$8,0))</f>
        <v>14</v>
      </c>
      <c r="R1" s="52">
        <f>INDEX(Parameter!$9:$9,,MATCH(16,Parameter!$8:$8,0))</f>
        <v>15</v>
      </c>
      <c r="S1" s="52">
        <f>INDEX(Parameter!$9:$9,,MATCH(17,Parameter!$8:$8,0))</f>
        <v>16</v>
      </c>
      <c r="T1" s="140">
        <f>INDEX(Parameter!$9:$9,,MATCH(18,Parameter!$8:$8,0))</f>
        <v>17</v>
      </c>
      <c r="U1" s="52">
        <f>INDEX(Parameter!$9:$9,,MATCH(19,Parameter!$8:$8,0))</f>
        <v>18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62" t="s">
        <v>62</v>
      </c>
      <c r="AE1" s="463"/>
      <c r="AF1" s="463"/>
      <c r="AG1" s="464"/>
    </row>
    <row r="2" spans="1:130" x14ac:dyDescent="0.25">
      <c r="A2" s="452" t="s">
        <v>23</v>
      </c>
      <c r="B2" s="453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4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4</v>
      </c>
      <c r="M2" s="54">
        <f>INDEX(Parameter!$10:$10,,MATCH(M$1,Parameter!$9:$9,0))</f>
        <v>4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5">
        <f ca="1">SUMIF(C$12:AC$12,"&gt;0",C2:AC2)</f>
        <v>61</v>
      </c>
      <c r="AE2" s="466"/>
      <c r="AF2" s="466"/>
      <c r="AG2" s="467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6" t="str">
        <f>"Average " &amp; A12</f>
        <v>Average Otfried Derschmidt</v>
      </c>
      <c r="B3" s="277"/>
      <c r="C3" s="334">
        <f ca="1">IF(OR(C$2="no",SUM(C12:C16)=0),"no",AVERAGE(C12:C16))</f>
        <v>2.5</v>
      </c>
      <c r="D3" s="335">
        <f t="shared" ref="D3:AC3" ca="1" si="0">IF(OR(D$2="no",SUM(D12:D16)=0),"no",AVERAGE(D12:D16))</f>
        <v>3</v>
      </c>
      <c r="E3" s="335">
        <f t="shared" ca="1" si="0"/>
        <v>2.5</v>
      </c>
      <c r="F3" s="335">
        <f t="shared" ca="1" si="0"/>
        <v>3</v>
      </c>
      <c r="G3" s="335">
        <f t="shared" ca="1" si="0"/>
        <v>3</v>
      </c>
      <c r="H3" s="335">
        <f t="shared" ca="1" si="0"/>
        <v>2.5</v>
      </c>
      <c r="I3" s="335">
        <f t="shared" ca="1" si="0"/>
        <v>3</v>
      </c>
      <c r="J3" s="335">
        <f t="shared" ca="1" si="0"/>
        <v>2.5</v>
      </c>
      <c r="K3" s="335">
        <f t="shared" ca="1" si="0"/>
        <v>4</v>
      </c>
      <c r="L3" s="335">
        <f t="shared" ca="1" si="0"/>
        <v>3.5</v>
      </c>
      <c r="M3" s="335">
        <f t="shared" ca="1" si="0"/>
        <v>4.5</v>
      </c>
      <c r="N3" s="335">
        <f t="shared" ca="1" si="0"/>
        <v>2.5</v>
      </c>
      <c r="O3" s="335">
        <f t="shared" ca="1" si="0"/>
        <v>2.5</v>
      </c>
      <c r="P3" s="335">
        <f t="shared" ca="1" si="0"/>
        <v>3</v>
      </c>
      <c r="Q3" s="335">
        <f t="shared" ca="1" si="0"/>
        <v>3.5</v>
      </c>
      <c r="R3" s="335">
        <f t="shared" ca="1" si="0"/>
        <v>3</v>
      </c>
      <c r="S3" s="335">
        <f t="shared" ca="1" si="0"/>
        <v>2</v>
      </c>
      <c r="T3" s="336">
        <f t="shared" ca="1" si="0"/>
        <v>2.5</v>
      </c>
      <c r="U3" s="335">
        <f t="shared" ca="1" si="0"/>
        <v>3</v>
      </c>
      <c r="V3" s="335" t="str">
        <f t="shared" ca="1" si="0"/>
        <v>no</v>
      </c>
      <c r="W3" s="335" t="str">
        <f t="shared" ca="1" si="0"/>
        <v>no</v>
      </c>
      <c r="X3" s="335" t="str">
        <f t="shared" ca="1" si="0"/>
        <v>no</v>
      </c>
      <c r="Y3" s="335" t="str">
        <f t="shared" ca="1" si="0"/>
        <v>no</v>
      </c>
      <c r="Z3" s="335" t="str">
        <f t="shared" ca="1" si="0"/>
        <v>no</v>
      </c>
      <c r="AA3" s="335" t="str">
        <f t="shared" ca="1" si="0"/>
        <v>no</v>
      </c>
      <c r="AB3" s="335" t="str">
        <f t="shared" ca="1" si="0"/>
        <v>no</v>
      </c>
      <c r="AC3" s="336" t="str">
        <f t="shared" ca="1" si="0"/>
        <v>no</v>
      </c>
      <c r="AD3" s="456">
        <f t="shared" ref="AD3:AD10" ca="1" si="1">SUMIF(C$12:AC$12,"&gt;0",C3:AC3)</f>
        <v>56</v>
      </c>
      <c r="AE3" s="457"/>
      <c r="AF3" s="457"/>
      <c r="AG3" s="458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6" t="str">
        <f>"Average " &amp; A17</f>
        <v>Average Katka Bodova</v>
      </c>
      <c r="B4" s="277"/>
      <c r="C4" s="334">
        <f ca="1">IF(OR(C$2="no",SUM(C17:C21)=0),"no",AVERAGE(C17:C21))</f>
        <v>3.5</v>
      </c>
      <c r="D4" s="335">
        <f t="shared" ref="D4:AC4" ca="1" si="2">IF(OR(D$2="no",SUM(D17:D21)=0),"no",AVERAGE(D17:D21))</f>
        <v>3</v>
      </c>
      <c r="E4" s="335">
        <f t="shared" ca="1" si="2"/>
        <v>4</v>
      </c>
      <c r="F4" s="335">
        <f t="shared" ca="1" si="2"/>
        <v>3.5</v>
      </c>
      <c r="G4" s="335">
        <f t="shared" ca="1" si="2"/>
        <v>4</v>
      </c>
      <c r="H4" s="335">
        <f t="shared" ca="1" si="2"/>
        <v>3.5</v>
      </c>
      <c r="I4" s="335">
        <f t="shared" ca="1" si="2"/>
        <v>3</v>
      </c>
      <c r="J4" s="335">
        <f t="shared" ca="1" si="2"/>
        <v>3</v>
      </c>
      <c r="K4" s="335">
        <f t="shared" ca="1" si="2"/>
        <v>4.5</v>
      </c>
      <c r="L4" s="335">
        <f t="shared" ca="1" si="2"/>
        <v>4</v>
      </c>
      <c r="M4" s="335">
        <f t="shared" ca="1" si="2"/>
        <v>5</v>
      </c>
      <c r="N4" s="335">
        <f t="shared" ca="1" si="2"/>
        <v>3</v>
      </c>
      <c r="O4" s="335">
        <f t="shared" ca="1" si="2"/>
        <v>3</v>
      </c>
      <c r="P4" s="335">
        <f t="shared" ca="1" si="2"/>
        <v>3.5</v>
      </c>
      <c r="Q4" s="335">
        <f t="shared" ca="1" si="2"/>
        <v>3.5</v>
      </c>
      <c r="R4" s="335">
        <f t="shared" ca="1" si="2"/>
        <v>2.5</v>
      </c>
      <c r="S4" s="335">
        <f t="shared" ca="1" si="2"/>
        <v>3</v>
      </c>
      <c r="T4" s="336">
        <f t="shared" ca="1" si="2"/>
        <v>3</v>
      </c>
      <c r="U4" s="335">
        <f t="shared" ca="1" si="2"/>
        <v>3</v>
      </c>
      <c r="V4" s="335" t="str">
        <f t="shared" ca="1" si="2"/>
        <v>no</v>
      </c>
      <c r="W4" s="335" t="str">
        <f t="shared" ca="1" si="2"/>
        <v>no</v>
      </c>
      <c r="X4" s="335" t="str">
        <f t="shared" ca="1" si="2"/>
        <v>no</v>
      </c>
      <c r="Y4" s="335" t="str">
        <f t="shared" ca="1" si="2"/>
        <v>no</v>
      </c>
      <c r="Z4" s="335" t="str">
        <f t="shared" ca="1" si="2"/>
        <v>no</v>
      </c>
      <c r="AA4" s="335" t="str">
        <f t="shared" ca="1" si="2"/>
        <v>no</v>
      </c>
      <c r="AB4" s="335" t="str">
        <f t="shared" ca="1" si="2"/>
        <v>no</v>
      </c>
      <c r="AC4" s="336" t="str">
        <f t="shared" ca="1" si="2"/>
        <v>no</v>
      </c>
      <c r="AD4" s="456">
        <f t="shared" ca="1" si="1"/>
        <v>65.5</v>
      </c>
      <c r="AE4" s="457"/>
      <c r="AF4" s="457"/>
      <c r="AG4" s="458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54" t="str">
        <f>IF($A$1="m","Average Top 1 Men","Average Top 1 Women")</f>
        <v>Average Top 1 Men</v>
      </c>
      <c r="B5" s="455"/>
      <c r="C5" s="332">
        <f ca="1">IF(C$2="no","no",OFFSET(Data!$A$1,MATCH($A5,Data!$DT:$DT,0)-1,MATCH("Total/"&amp;C$1,Data!$1:$1,0)-1))</f>
        <v>2.5</v>
      </c>
      <c r="D5" s="333">
        <f ca="1">IF(D$2="no","no",OFFSET(Data!$A$1,MATCH($A5,Data!$DT:$DT,0)-1,MATCH("Total/"&amp;D$1,Data!$1:$1,0)-1))</f>
        <v>3</v>
      </c>
      <c r="E5" s="333">
        <f ca="1">IF(E$2="no","no",OFFSET(Data!$A$1,MATCH($A5,Data!$DT:$DT,0)-1,MATCH("Total/"&amp;E$1,Data!$1:$1,0)-1))</f>
        <v>2.5</v>
      </c>
      <c r="F5" s="333">
        <f ca="1">IF(F$2="no","no",OFFSET(Data!$A$1,MATCH($A5,Data!$DT:$DT,0)-1,MATCH("Total/"&amp;F$1,Data!$1:$1,0)-1))</f>
        <v>3</v>
      </c>
      <c r="G5" s="333">
        <f ca="1">IF(G$2="no","no",OFFSET(Data!$A$1,MATCH($A5,Data!$DT:$DT,0)-1,MATCH("Total/"&amp;G$1,Data!$1:$1,0)-1))</f>
        <v>3</v>
      </c>
      <c r="H5" s="333">
        <f ca="1">IF(H$2="no","no",OFFSET(Data!$A$1,MATCH($A5,Data!$DT:$DT,0)-1,MATCH("Total/"&amp;H$1,Data!$1:$1,0)-1))</f>
        <v>2.5</v>
      </c>
      <c r="I5" s="333">
        <f ca="1">IF(I$2="no","no",OFFSET(Data!$A$1,MATCH($A5,Data!$DT:$DT,0)-1,MATCH("Total/"&amp;I$1,Data!$1:$1,0)-1))</f>
        <v>3</v>
      </c>
      <c r="J5" s="333">
        <f ca="1">IF(J$2="no","no",OFFSET(Data!$A$1,MATCH($A5,Data!$DT:$DT,0)-1,MATCH("Total/"&amp;J$1,Data!$1:$1,0)-1))</f>
        <v>2.5</v>
      </c>
      <c r="K5" s="333">
        <f ca="1">IF(K$2="no","no",OFFSET(Data!$A$1,MATCH($A5,Data!$DT:$DT,0)-1,MATCH("Total/"&amp;K$1,Data!$1:$1,0)-1))</f>
        <v>4</v>
      </c>
      <c r="L5" s="333">
        <f ca="1">IF(L$2="no","no",OFFSET(Data!$A$1,MATCH($A5,Data!$DT:$DT,0)-1,MATCH("Total/"&amp;L$1,Data!$1:$1,0)-1))</f>
        <v>3.5</v>
      </c>
      <c r="M5" s="333">
        <f ca="1">IF(M$2="no","no",OFFSET(Data!$A$1,MATCH($A5,Data!$DT:$DT,0)-1,MATCH("Total/"&amp;M$1,Data!$1:$1,0)-1))</f>
        <v>4.5</v>
      </c>
      <c r="N5" s="333">
        <f ca="1">IF(N$2="no","no",OFFSET(Data!$A$1,MATCH($A5,Data!$DT:$DT,0)-1,MATCH("Total/"&amp;N$1,Data!$1:$1,0)-1))</f>
        <v>2.5</v>
      </c>
      <c r="O5" s="333">
        <f ca="1">IF(O$2="no","no",OFFSET(Data!$A$1,MATCH($A5,Data!$DT:$DT,0)-1,MATCH("Total/"&amp;O$1,Data!$1:$1,0)-1))</f>
        <v>2.5</v>
      </c>
      <c r="P5" s="333">
        <f ca="1">IF(P$2="no","no",OFFSET(Data!$A$1,MATCH($A5,Data!$DT:$DT,0)-1,MATCH("Total/"&amp;P$1,Data!$1:$1,0)-1))</f>
        <v>3</v>
      </c>
      <c r="Q5" s="333">
        <f ca="1">IF(Q$2="no","no",OFFSET(Data!$A$1,MATCH($A5,Data!$DT:$DT,0)-1,MATCH("Total/"&amp;Q$1,Data!$1:$1,0)-1))</f>
        <v>3.5</v>
      </c>
      <c r="R5" s="333">
        <f ca="1">IF(R$2="no","no",OFFSET(Data!$A$1,MATCH($A5,Data!$DT:$DT,0)-1,MATCH("Total/"&amp;R$1,Data!$1:$1,0)-1))</f>
        <v>3</v>
      </c>
      <c r="S5" s="333">
        <f ca="1">IF(S$2="no","no",OFFSET(Data!$A$1,MATCH($A5,Data!$DT:$DT,0)-1,MATCH("Total/"&amp;S$1,Data!$1:$1,0)-1))</f>
        <v>2</v>
      </c>
      <c r="T5" s="331">
        <f ca="1">IF(T$2="no","no",OFFSET(Data!$A$1,MATCH($A5,Data!$DT:$DT,0)-1,MATCH("Total/"&amp;T$1,Data!$1:$1,0)-1))</f>
        <v>2.5</v>
      </c>
      <c r="U5" s="333">
        <f ca="1">IF(U$2="no","no",OFFSET(Data!$A$1,MATCH($A5,Data!$DT:$DT,0)-1,MATCH("Total/"&amp;U$1,Data!$1:$1,0)-1))</f>
        <v>3</v>
      </c>
      <c r="V5" s="333" t="str">
        <f ca="1">IF(V$2="no","no",OFFSET(Data!$A$1,MATCH($A5,Data!$DT:$DT,0)-1,MATCH("Total/"&amp;V$1,Data!$1:$1,0)-1))</f>
        <v>no</v>
      </c>
      <c r="W5" s="333" t="str">
        <f ca="1">IF(W$2="no","no",OFFSET(Data!$A$1,MATCH($A5,Data!$DT:$DT,0)-1,MATCH("Total/"&amp;W$1,Data!$1:$1,0)-1))</f>
        <v>no</v>
      </c>
      <c r="X5" s="333" t="str">
        <f ca="1">IF(X$2="no","no",OFFSET(Data!$A$1,MATCH($A5,Data!$DT:$DT,0)-1,MATCH("Total/"&amp;X$1,Data!$1:$1,0)-1))</f>
        <v>no</v>
      </c>
      <c r="Y5" s="333" t="str">
        <f ca="1">IF(Y$2="no","no",OFFSET(Data!$A$1,MATCH($A5,Data!$DT:$DT,0)-1,MATCH("Total/"&amp;Y$1,Data!$1:$1,0)-1))</f>
        <v>no</v>
      </c>
      <c r="Z5" s="333" t="str">
        <f ca="1">IF(Z$2="no","no",OFFSET(Data!$A$1,MATCH($A5,Data!$DT:$DT,0)-1,MATCH("Total/"&amp;Z$1,Data!$1:$1,0)-1))</f>
        <v>no</v>
      </c>
      <c r="AA5" s="333" t="str">
        <f ca="1">IF(AA$2="no","no",OFFSET(Data!$A$1,MATCH($A5,Data!$DT:$DT,0)-1,MATCH("Total/"&amp;AA$1,Data!$1:$1,0)-1))</f>
        <v>no</v>
      </c>
      <c r="AB5" s="333" t="str">
        <f ca="1">IF(AB$2="no","no",OFFSET(Data!$A$1,MATCH($A5,Data!$DT:$DT,0)-1,MATCH("Total/"&amp;AB$1,Data!$1:$1,0)-1))</f>
        <v>no</v>
      </c>
      <c r="AC5" s="331" t="str">
        <f ca="1">IF(AC$2="no","no",OFFSET(Data!$A$1,MATCH($A5,Data!$DT:$DT,0)-1,MATCH("Total/"&amp;AC$1,Data!$1:$1,0)-1))</f>
        <v>no</v>
      </c>
      <c r="AD5" s="456">
        <f t="shared" ca="1" si="1"/>
        <v>56</v>
      </c>
      <c r="AE5" s="457"/>
      <c r="AF5" s="457"/>
      <c r="AG5" s="458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54" t="str">
        <f>IF($A$1="m","Average Top 5 Men","Average Top 5 Women")</f>
        <v>Average Top 5 Men</v>
      </c>
      <c r="B6" s="455"/>
      <c r="C6" s="332">
        <f ca="1">IF(C$2="no","no",OFFSET(Data!$A$1,MATCH($A6,Data!$DT:$DT,0)-1,MATCH("Total/"&amp;C$1,Data!$1:$1,0)-1))</f>
        <v>2.75</v>
      </c>
      <c r="D6" s="333">
        <f ca="1">IF(D$2="no","no",OFFSET(Data!$A$1,MATCH($A6,Data!$DT:$DT,0)-1,MATCH("Total/"&amp;D$1,Data!$1:$1,0)-1))</f>
        <v>2.9166666666666665</v>
      </c>
      <c r="E6" s="333">
        <f ca="1">IF(E$2="no","no",OFFSET(Data!$A$1,MATCH($A6,Data!$DT:$DT,0)-1,MATCH("Total/"&amp;E$1,Data!$1:$1,0)-1))</f>
        <v>2.6666666666666665</v>
      </c>
      <c r="F6" s="333">
        <f ca="1">IF(F$2="no","no",OFFSET(Data!$A$1,MATCH($A6,Data!$DT:$DT,0)-1,MATCH("Total/"&amp;F$1,Data!$1:$1,0)-1))</f>
        <v>3.0833333333333335</v>
      </c>
      <c r="G6" s="333">
        <f ca="1">IF(G$2="no","no",OFFSET(Data!$A$1,MATCH($A6,Data!$DT:$DT,0)-1,MATCH("Total/"&amp;G$1,Data!$1:$1,0)-1))</f>
        <v>3.3333333333333335</v>
      </c>
      <c r="H6" s="333">
        <f ca="1">IF(H$2="no","no",OFFSET(Data!$A$1,MATCH($A6,Data!$DT:$DT,0)-1,MATCH("Total/"&amp;H$1,Data!$1:$1,0)-1))</f>
        <v>2.8333333333333335</v>
      </c>
      <c r="I6" s="333">
        <f ca="1">IF(I$2="no","no",OFFSET(Data!$A$1,MATCH($A6,Data!$DT:$DT,0)-1,MATCH("Total/"&amp;I$1,Data!$1:$1,0)-1))</f>
        <v>2.8333333333333335</v>
      </c>
      <c r="J6" s="333">
        <f ca="1">IF(J$2="no","no",OFFSET(Data!$A$1,MATCH($A6,Data!$DT:$DT,0)-1,MATCH("Total/"&amp;J$1,Data!$1:$1,0)-1))</f>
        <v>2.6666666666666665</v>
      </c>
      <c r="K6" s="333">
        <f ca="1">IF(K$2="no","no",OFFSET(Data!$A$1,MATCH($A6,Data!$DT:$DT,0)-1,MATCH("Total/"&amp;K$1,Data!$1:$1,0)-1))</f>
        <v>3.9166666666666665</v>
      </c>
      <c r="L6" s="333">
        <f ca="1">IF(L$2="no","no",OFFSET(Data!$A$1,MATCH($A6,Data!$DT:$DT,0)-1,MATCH("Total/"&amp;L$1,Data!$1:$1,0)-1))</f>
        <v>4.333333333333333</v>
      </c>
      <c r="M6" s="333">
        <f ca="1">IF(M$2="no","no",OFFSET(Data!$A$1,MATCH($A6,Data!$DT:$DT,0)-1,MATCH("Total/"&amp;M$1,Data!$1:$1,0)-1))</f>
        <v>4.583333333333333</v>
      </c>
      <c r="N6" s="333">
        <f ca="1">IF(N$2="no","no",OFFSET(Data!$A$1,MATCH($A6,Data!$DT:$DT,0)-1,MATCH("Total/"&amp;N$1,Data!$1:$1,0)-1))</f>
        <v>3.1666666666666665</v>
      </c>
      <c r="O6" s="333">
        <f ca="1">IF(O$2="no","no",OFFSET(Data!$A$1,MATCH($A6,Data!$DT:$DT,0)-1,MATCH("Total/"&amp;O$1,Data!$1:$1,0)-1))</f>
        <v>2.75</v>
      </c>
      <c r="P6" s="333">
        <f ca="1">IF(P$2="no","no",OFFSET(Data!$A$1,MATCH($A6,Data!$DT:$DT,0)-1,MATCH("Total/"&amp;P$1,Data!$1:$1,0)-1))</f>
        <v>2.9166666666666665</v>
      </c>
      <c r="Q6" s="333">
        <f ca="1">IF(Q$2="no","no",OFFSET(Data!$A$1,MATCH($A6,Data!$DT:$DT,0)-1,MATCH("Total/"&amp;Q$1,Data!$1:$1,0)-1))</f>
        <v>2.9166666666666665</v>
      </c>
      <c r="R6" s="333">
        <f ca="1">IF(R$2="no","no",OFFSET(Data!$A$1,MATCH($A6,Data!$DT:$DT,0)-1,MATCH("Total/"&amp;R$1,Data!$1:$1,0)-1))</f>
        <v>2.6666666666666665</v>
      </c>
      <c r="S6" s="333">
        <f ca="1">IF(S$2="no","no",OFFSET(Data!$A$1,MATCH($A6,Data!$DT:$DT,0)-1,MATCH("Total/"&amp;S$1,Data!$1:$1,0)-1))</f>
        <v>2.8333333333333335</v>
      </c>
      <c r="T6" s="331">
        <f ca="1">IF(T$2="no","no",OFFSET(Data!$A$1,MATCH($A6,Data!$DT:$DT,0)-1,MATCH("Total/"&amp;T$1,Data!$1:$1,0)-1))</f>
        <v>2.5</v>
      </c>
      <c r="U6" s="333">
        <f ca="1">IF(U$2="no","no",OFFSET(Data!$A$1,MATCH($A6,Data!$DT:$DT,0)-1,MATCH("Total/"&amp;U$1,Data!$1:$1,0)-1))</f>
        <v>3</v>
      </c>
      <c r="V6" s="333" t="str">
        <f ca="1">IF(V$2="no","no",OFFSET(Data!$A$1,MATCH($A6,Data!$DT:$DT,0)-1,MATCH("Total/"&amp;V$1,Data!$1:$1,0)-1))</f>
        <v>no</v>
      </c>
      <c r="W6" s="333" t="str">
        <f ca="1">IF(W$2="no","no",OFFSET(Data!$A$1,MATCH($A6,Data!$DT:$DT,0)-1,MATCH("Total/"&amp;W$1,Data!$1:$1,0)-1))</f>
        <v>no</v>
      </c>
      <c r="X6" s="333" t="str">
        <f ca="1">IF(X$2="no","no",OFFSET(Data!$A$1,MATCH($A6,Data!$DT:$DT,0)-1,MATCH("Total/"&amp;X$1,Data!$1:$1,0)-1))</f>
        <v>no</v>
      </c>
      <c r="Y6" s="333" t="str">
        <f ca="1">IF(Y$2="no","no",OFFSET(Data!$A$1,MATCH($A6,Data!$DT:$DT,0)-1,MATCH("Total/"&amp;Y$1,Data!$1:$1,0)-1))</f>
        <v>no</v>
      </c>
      <c r="Z6" s="333" t="str">
        <f ca="1">IF(Z$2="no","no",OFFSET(Data!$A$1,MATCH($A6,Data!$DT:$DT,0)-1,MATCH("Total/"&amp;Z$1,Data!$1:$1,0)-1))</f>
        <v>no</v>
      </c>
      <c r="AA6" s="333" t="str">
        <f ca="1">IF(AA$2="no","no",OFFSET(Data!$A$1,MATCH($A6,Data!$DT:$DT,0)-1,MATCH("Total/"&amp;AA$1,Data!$1:$1,0)-1))</f>
        <v>no</v>
      </c>
      <c r="AB6" s="333" t="str">
        <f ca="1">IF(AB$2="no","no",OFFSET(Data!$A$1,MATCH($A6,Data!$DT:$DT,0)-1,MATCH("Total/"&amp;AB$1,Data!$1:$1,0)-1))</f>
        <v>no</v>
      </c>
      <c r="AC6" s="331" t="str">
        <f ca="1">IF(AC$2="no","no",OFFSET(Data!$A$1,MATCH($A6,Data!$DT:$DT,0)-1,MATCH("Total/"&amp;AC$1,Data!$1:$1,0)-1))</f>
        <v>no</v>
      </c>
      <c r="AD6" s="456">
        <f t="shared" ca="1" si="1"/>
        <v>58.666666666666657</v>
      </c>
      <c r="AE6" s="457"/>
      <c r="AF6" s="457"/>
      <c r="AG6" s="458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54" t="str">
        <f>IF($A$1="m","Average Top 10 Men","Average Top 10 Women")</f>
        <v>Average Top 10 Men</v>
      </c>
      <c r="B7" s="455"/>
      <c r="C7" s="332">
        <f ca="1">IF(C$2="no","no",OFFSET(Data!$A$1,MATCH($A7,Data!$DT:$DT,0)-1,MATCH("Total/"&amp;C$1,Data!$1:$1,0)-1))</f>
        <v>2.75</v>
      </c>
      <c r="D7" s="333">
        <f ca="1">IF(D$2="no","no",OFFSET(Data!$A$1,MATCH($A7,Data!$DT:$DT,0)-1,MATCH("Total/"&amp;D$1,Data!$1:$1,0)-1))</f>
        <v>2.8333333333333335</v>
      </c>
      <c r="E7" s="333">
        <f ca="1">IF(E$2="no","no",OFFSET(Data!$A$1,MATCH($A7,Data!$DT:$DT,0)-1,MATCH("Total/"&amp;E$1,Data!$1:$1,0)-1))</f>
        <v>2.9166666666666665</v>
      </c>
      <c r="F7" s="333">
        <f ca="1">IF(F$2="no","no",OFFSET(Data!$A$1,MATCH($A7,Data!$DT:$DT,0)-1,MATCH("Total/"&amp;F$1,Data!$1:$1,0)-1))</f>
        <v>3.125</v>
      </c>
      <c r="G7" s="333">
        <f ca="1">IF(G$2="no","no",OFFSET(Data!$A$1,MATCH($A7,Data!$DT:$DT,0)-1,MATCH("Total/"&amp;G$1,Data!$1:$1,0)-1))</f>
        <v>3.5</v>
      </c>
      <c r="H7" s="333">
        <f ca="1">IF(H$2="no","no",OFFSET(Data!$A$1,MATCH($A7,Data!$DT:$DT,0)-1,MATCH("Total/"&amp;H$1,Data!$1:$1,0)-1))</f>
        <v>2.7916666666666665</v>
      </c>
      <c r="I7" s="333">
        <f ca="1">IF(I$2="no","no",OFFSET(Data!$A$1,MATCH($A7,Data!$DT:$DT,0)-1,MATCH("Total/"&amp;I$1,Data!$1:$1,0)-1))</f>
        <v>3.0833333333333335</v>
      </c>
      <c r="J7" s="333">
        <f ca="1">IF(J$2="no","no",OFFSET(Data!$A$1,MATCH($A7,Data!$DT:$DT,0)-1,MATCH("Total/"&amp;J$1,Data!$1:$1,0)-1))</f>
        <v>2.7083333333333335</v>
      </c>
      <c r="K7" s="333">
        <f ca="1">IF(K$2="no","no",OFFSET(Data!$A$1,MATCH($A7,Data!$DT:$DT,0)-1,MATCH("Total/"&amp;K$1,Data!$1:$1,0)-1))</f>
        <v>4.041666666666667</v>
      </c>
      <c r="L7" s="333">
        <f ca="1">IF(L$2="no","no",OFFSET(Data!$A$1,MATCH($A7,Data!$DT:$DT,0)-1,MATCH("Total/"&amp;L$1,Data!$1:$1,0)-1))</f>
        <v>4.291666666666667</v>
      </c>
      <c r="M7" s="333">
        <f ca="1">IF(M$2="no","no",OFFSET(Data!$A$1,MATCH($A7,Data!$DT:$DT,0)-1,MATCH("Total/"&amp;M$1,Data!$1:$1,0)-1))</f>
        <v>4.666666666666667</v>
      </c>
      <c r="N7" s="333">
        <f ca="1">IF(N$2="no","no",OFFSET(Data!$A$1,MATCH($A7,Data!$DT:$DT,0)-1,MATCH("Total/"&amp;N$1,Data!$1:$1,0)-1))</f>
        <v>3.1666666666666665</v>
      </c>
      <c r="O7" s="333">
        <f ca="1">IF(O$2="no","no",OFFSET(Data!$A$1,MATCH($A7,Data!$DT:$DT,0)-1,MATCH("Total/"&amp;O$1,Data!$1:$1,0)-1))</f>
        <v>2.75</v>
      </c>
      <c r="P7" s="333">
        <f ca="1">IF(P$2="no","no",OFFSET(Data!$A$1,MATCH($A7,Data!$DT:$DT,0)-1,MATCH("Total/"&amp;P$1,Data!$1:$1,0)-1))</f>
        <v>2.875</v>
      </c>
      <c r="Q7" s="333">
        <f ca="1">IF(Q$2="no","no",OFFSET(Data!$A$1,MATCH($A7,Data!$DT:$DT,0)-1,MATCH("Total/"&amp;Q$1,Data!$1:$1,0)-1))</f>
        <v>2.9166666666666665</v>
      </c>
      <c r="R7" s="333">
        <f ca="1">IF(R$2="no","no",OFFSET(Data!$A$1,MATCH($A7,Data!$DT:$DT,0)-1,MATCH("Total/"&amp;R$1,Data!$1:$1,0)-1))</f>
        <v>2.5833333333333335</v>
      </c>
      <c r="S7" s="333">
        <f ca="1">IF(S$2="no","no",OFFSET(Data!$A$1,MATCH($A7,Data!$DT:$DT,0)-1,MATCH("Total/"&amp;S$1,Data!$1:$1,0)-1))</f>
        <v>2.9583333333333335</v>
      </c>
      <c r="T7" s="331">
        <f ca="1">IF(T$2="no","no",OFFSET(Data!$A$1,MATCH($A7,Data!$DT:$DT,0)-1,MATCH("Total/"&amp;T$1,Data!$1:$1,0)-1))</f>
        <v>2.9583333333333335</v>
      </c>
      <c r="U7" s="333">
        <f ca="1">IF(U$2="no","no",OFFSET(Data!$A$1,MATCH($A7,Data!$DT:$DT,0)-1,MATCH("Total/"&amp;U$1,Data!$1:$1,0)-1))</f>
        <v>3.0416666666666665</v>
      </c>
      <c r="V7" s="333" t="str">
        <f ca="1">IF(V$2="no","no",OFFSET(Data!$A$1,MATCH($A7,Data!$DT:$DT,0)-1,MATCH("Total/"&amp;V$1,Data!$1:$1,0)-1))</f>
        <v>no</v>
      </c>
      <c r="W7" s="333" t="str">
        <f ca="1">IF(W$2="no","no",OFFSET(Data!$A$1,MATCH($A7,Data!$DT:$DT,0)-1,MATCH("Total/"&amp;W$1,Data!$1:$1,0)-1))</f>
        <v>no</v>
      </c>
      <c r="X7" s="333" t="str">
        <f ca="1">IF(X$2="no","no",OFFSET(Data!$A$1,MATCH($A7,Data!$DT:$DT,0)-1,MATCH("Total/"&amp;X$1,Data!$1:$1,0)-1))</f>
        <v>no</v>
      </c>
      <c r="Y7" s="333" t="str">
        <f ca="1">IF(Y$2="no","no",OFFSET(Data!$A$1,MATCH($A7,Data!$DT:$DT,0)-1,MATCH("Total/"&amp;Y$1,Data!$1:$1,0)-1))</f>
        <v>no</v>
      </c>
      <c r="Z7" s="333" t="str">
        <f ca="1">IF(Z$2="no","no",OFFSET(Data!$A$1,MATCH($A7,Data!$DT:$DT,0)-1,MATCH("Total/"&amp;Z$1,Data!$1:$1,0)-1))</f>
        <v>no</v>
      </c>
      <c r="AA7" s="333" t="str">
        <f ca="1">IF(AA$2="no","no",OFFSET(Data!$A$1,MATCH($A7,Data!$DT:$DT,0)-1,MATCH("Total/"&amp;AA$1,Data!$1:$1,0)-1))</f>
        <v>no</v>
      </c>
      <c r="AB7" s="333" t="str">
        <f ca="1">IF(AB$2="no","no",OFFSET(Data!$A$1,MATCH($A7,Data!$DT:$DT,0)-1,MATCH("Total/"&amp;AB$1,Data!$1:$1,0)-1))</f>
        <v>no</v>
      </c>
      <c r="AC7" s="331" t="str">
        <f ca="1">IF(AC$2="no","no",OFFSET(Data!$A$1,MATCH($A7,Data!$DT:$DT,0)-1,MATCH("Total/"&amp;AC$1,Data!$1:$1,0)-1))</f>
        <v>no</v>
      </c>
      <c r="AD7" s="456">
        <f t="shared" ca="1" si="1"/>
        <v>59.958333333333329</v>
      </c>
      <c r="AE7" s="457"/>
      <c r="AF7" s="457"/>
      <c r="AG7" s="458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54" t="str">
        <f>IF($A$1="m","Average Top 20 Men","Average Top 20 Women")</f>
        <v>Average Top 20 Men</v>
      </c>
      <c r="B8" s="455"/>
      <c r="C8" s="332">
        <f ca="1">IF(C$2="no","no",OFFSET(Data!$A$1,MATCH($A8,Data!$DT:$DT,0)-1,MATCH("Total/"&amp;C$1,Data!$1:$1,0)-1))</f>
        <v>2.8695652173913042</v>
      </c>
      <c r="D8" s="333">
        <f ca="1">IF(D$2="no","no",OFFSET(Data!$A$1,MATCH($A8,Data!$DT:$DT,0)-1,MATCH("Total/"&amp;D$1,Data!$1:$1,0)-1))</f>
        <v>2.9130434782608696</v>
      </c>
      <c r="E8" s="333">
        <f ca="1">IF(E$2="no","no",OFFSET(Data!$A$1,MATCH($A8,Data!$DT:$DT,0)-1,MATCH("Total/"&amp;E$1,Data!$1:$1,0)-1))</f>
        <v>3.0217391304347827</v>
      </c>
      <c r="F8" s="333">
        <f ca="1">IF(F$2="no","no",OFFSET(Data!$A$1,MATCH($A8,Data!$DT:$DT,0)-1,MATCH("Total/"&amp;F$1,Data!$1:$1,0)-1))</f>
        <v>3.0869565217391304</v>
      </c>
      <c r="G8" s="333">
        <f ca="1">IF(G$2="no","no",OFFSET(Data!$A$1,MATCH($A8,Data!$DT:$DT,0)-1,MATCH("Total/"&amp;G$1,Data!$1:$1,0)-1))</f>
        <v>3.6956521739130435</v>
      </c>
      <c r="H8" s="333">
        <f ca="1">IF(H$2="no","no",OFFSET(Data!$A$1,MATCH($A8,Data!$DT:$DT,0)-1,MATCH("Total/"&amp;H$1,Data!$1:$1,0)-1))</f>
        <v>2.8913043478260869</v>
      </c>
      <c r="I8" s="333">
        <f ca="1">IF(I$2="no","no",OFFSET(Data!$A$1,MATCH($A8,Data!$DT:$DT,0)-1,MATCH("Total/"&amp;I$1,Data!$1:$1,0)-1))</f>
        <v>3.1739130434782608</v>
      </c>
      <c r="J8" s="333">
        <f ca="1">IF(J$2="no","no",OFFSET(Data!$A$1,MATCH($A8,Data!$DT:$DT,0)-1,MATCH("Total/"&amp;J$1,Data!$1:$1,0)-1))</f>
        <v>2.8043478260869565</v>
      </c>
      <c r="K8" s="333">
        <f ca="1">IF(K$2="no","no",OFFSET(Data!$A$1,MATCH($A8,Data!$DT:$DT,0)-1,MATCH("Total/"&amp;K$1,Data!$1:$1,0)-1))</f>
        <v>4.1739130434782608</v>
      </c>
      <c r="L8" s="333">
        <f ca="1">IF(L$2="no","no",OFFSET(Data!$A$1,MATCH($A8,Data!$DT:$DT,0)-1,MATCH("Total/"&amp;L$1,Data!$1:$1,0)-1))</f>
        <v>4.1086956521739131</v>
      </c>
      <c r="M8" s="333">
        <f ca="1">IF(M$2="no","no",OFFSET(Data!$A$1,MATCH($A8,Data!$DT:$DT,0)-1,MATCH("Total/"&amp;M$1,Data!$1:$1,0)-1))</f>
        <v>4.8695652173913047</v>
      </c>
      <c r="N8" s="333">
        <f ca="1">IF(N$2="no","no",OFFSET(Data!$A$1,MATCH($A8,Data!$DT:$DT,0)-1,MATCH("Total/"&amp;N$1,Data!$1:$1,0)-1))</f>
        <v>3.3043478260869565</v>
      </c>
      <c r="O8" s="333">
        <f ca="1">IF(O$2="no","no",OFFSET(Data!$A$1,MATCH($A8,Data!$DT:$DT,0)-1,MATCH("Total/"&amp;O$1,Data!$1:$1,0)-1))</f>
        <v>2.8260869565217392</v>
      </c>
      <c r="P8" s="333">
        <f ca="1">IF(P$2="no","no",OFFSET(Data!$A$1,MATCH($A8,Data!$DT:$DT,0)-1,MATCH("Total/"&amp;P$1,Data!$1:$1,0)-1))</f>
        <v>2.8913043478260869</v>
      </c>
      <c r="Q8" s="333">
        <f ca="1">IF(Q$2="no","no",OFFSET(Data!$A$1,MATCH($A8,Data!$DT:$DT,0)-1,MATCH("Total/"&amp;Q$1,Data!$1:$1,0)-1))</f>
        <v>2.9565217391304346</v>
      </c>
      <c r="R8" s="333">
        <f ca="1">IF(R$2="no","no",OFFSET(Data!$A$1,MATCH($A8,Data!$DT:$DT,0)-1,MATCH("Total/"&amp;R$1,Data!$1:$1,0)-1))</f>
        <v>2.5434782608695654</v>
      </c>
      <c r="S8" s="333">
        <f ca="1">IF(S$2="no","no",OFFSET(Data!$A$1,MATCH($A8,Data!$DT:$DT,0)-1,MATCH("Total/"&amp;S$1,Data!$1:$1,0)-1))</f>
        <v>3</v>
      </c>
      <c r="T8" s="331">
        <f ca="1">IF(T$2="no","no",OFFSET(Data!$A$1,MATCH($A8,Data!$DT:$DT,0)-1,MATCH("Total/"&amp;T$1,Data!$1:$1,0)-1))</f>
        <v>3.1086956521739131</v>
      </c>
      <c r="U8" s="333">
        <f ca="1">IF(U$2="no","no",OFFSET(Data!$A$1,MATCH($A8,Data!$DT:$DT,0)-1,MATCH("Total/"&amp;U$1,Data!$1:$1,0)-1))</f>
        <v>3.2826086956521738</v>
      </c>
      <c r="V8" s="333" t="str">
        <f ca="1">IF(V$2="no","no",OFFSET(Data!$A$1,MATCH($A8,Data!$DT:$DT,0)-1,MATCH("Total/"&amp;V$1,Data!$1:$1,0)-1))</f>
        <v>no</v>
      </c>
      <c r="W8" s="333" t="str">
        <f ca="1">IF(W$2="no","no",OFFSET(Data!$A$1,MATCH($A8,Data!$DT:$DT,0)-1,MATCH("Total/"&amp;W$1,Data!$1:$1,0)-1))</f>
        <v>no</v>
      </c>
      <c r="X8" s="333" t="str">
        <f ca="1">IF(X$2="no","no",OFFSET(Data!$A$1,MATCH($A8,Data!$DT:$DT,0)-1,MATCH("Total/"&amp;X$1,Data!$1:$1,0)-1))</f>
        <v>no</v>
      </c>
      <c r="Y8" s="333" t="str">
        <f ca="1">IF(Y$2="no","no",OFFSET(Data!$A$1,MATCH($A8,Data!$DT:$DT,0)-1,MATCH("Total/"&amp;Y$1,Data!$1:$1,0)-1))</f>
        <v>no</v>
      </c>
      <c r="Z8" s="333" t="str">
        <f ca="1">IF(Z$2="no","no",OFFSET(Data!$A$1,MATCH($A8,Data!$DT:$DT,0)-1,MATCH("Total/"&amp;Z$1,Data!$1:$1,0)-1))</f>
        <v>no</v>
      </c>
      <c r="AA8" s="333" t="str">
        <f ca="1">IF(AA$2="no","no",OFFSET(Data!$A$1,MATCH($A8,Data!$DT:$DT,0)-1,MATCH("Total/"&amp;AA$1,Data!$1:$1,0)-1))</f>
        <v>no</v>
      </c>
      <c r="AB8" s="333" t="str">
        <f ca="1">IF(AB$2="no","no",OFFSET(Data!$A$1,MATCH($A8,Data!$DT:$DT,0)-1,MATCH("Total/"&amp;AB$1,Data!$1:$1,0)-1))</f>
        <v>no</v>
      </c>
      <c r="AC8" s="331" t="str">
        <f ca="1">IF(AC$2="no","no",OFFSET(Data!$A$1,MATCH($A8,Data!$DT:$DT,0)-1,MATCH("Total/"&amp;AC$1,Data!$1:$1,0)-1))</f>
        <v>no</v>
      </c>
      <c r="AD8" s="456">
        <f t="shared" ca="1" si="1"/>
        <v>61.521739130434781</v>
      </c>
      <c r="AE8" s="457"/>
      <c r="AF8" s="457"/>
      <c r="AG8" s="458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54" t="str">
        <f>IF($A$1="m","Average Top 30 Men","Average Top 30 Women")</f>
        <v>Average Top 30 Men</v>
      </c>
      <c r="B9" s="455"/>
      <c r="C9" s="332">
        <f ca="1">IF(C$2="no","no",OFFSET(Data!$A$1,MATCH($A9,Data!$DT:$DT,0)-1,MATCH("Total/"&amp;C$1,Data!$1:$1,0)-1))</f>
        <v>2.9848484848484849</v>
      </c>
      <c r="D9" s="333">
        <f ca="1">IF(D$2="no","no",OFFSET(Data!$A$1,MATCH($A9,Data!$DT:$DT,0)-1,MATCH("Total/"&amp;D$1,Data!$1:$1,0)-1))</f>
        <v>2.9545454545454546</v>
      </c>
      <c r="E9" s="333">
        <f ca="1">IF(E$2="no","no",OFFSET(Data!$A$1,MATCH($A9,Data!$DT:$DT,0)-1,MATCH("Total/"&amp;E$1,Data!$1:$1,0)-1))</f>
        <v>3.1212121212121211</v>
      </c>
      <c r="F9" s="333">
        <f ca="1">IF(F$2="no","no",OFFSET(Data!$A$1,MATCH($A9,Data!$DT:$DT,0)-1,MATCH("Total/"&amp;F$1,Data!$1:$1,0)-1))</f>
        <v>3.1363636363636362</v>
      </c>
      <c r="G9" s="333">
        <f ca="1">IF(G$2="no","no",OFFSET(Data!$A$1,MATCH($A9,Data!$DT:$DT,0)-1,MATCH("Total/"&amp;G$1,Data!$1:$1,0)-1))</f>
        <v>3.7575757575757578</v>
      </c>
      <c r="H9" s="333">
        <f ca="1">IF(H$2="no","no",OFFSET(Data!$A$1,MATCH($A9,Data!$DT:$DT,0)-1,MATCH("Total/"&amp;H$1,Data!$1:$1,0)-1))</f>
        <v>3.0454545454545454</v>
      </c>
      <c r="I9" s="333">
        <f ca="1">IF(I$2="no","no",OFFSET(Data!$A$1,MATCH($A9,Data!$DT:$DT,0)-1,MATCH("Total/"&amp;I$1,Data!$1:$1,0)-1))</f>
        <v>3.1818181818181817</v>
      </c>
      <c r="J9" s="333">
        <f ca="1">IF(J$2="no","no",OFFSET(Data!$A$1,MATCH($A9,Data!$DT:$DT,0)-1,MATCH("Total/"&amp;J$1,Data!$1:$1,0)-1))</f>
        <v>2.7727272727272729</v>
      </c>
      <c r="K9" s="333">
        <f ca="1">IF(K$2="no","no",OFFSET(Data!$A$1,MATCH($A9,Data!$DT:$DT,0)-1,MATCH("Total/"&amp;K$1,Data!$1:$1,0)-1))</f>
        <v>4.2121212121212119</v>
      </c>
      <c r="L9" s="333">
        <f ca="1">IF(L$2="no","no",OFFSET(Data!$A$1,MATCH($A9,Data!$DT:$DT,0)-1,MATCH("Total/"&amp;L$1,Data!$1:$1,0)-1))</f>
        <v>4.2272727272727275</v>
      </c>
      <c r="M9" s="333">
        <f ca="1">IF(M$2="no","no",OFFSET(Data!$A$1,MATCH($A9,Data!$DT:$DT,0)-1,MATCH("Total/"&amp;M$1,Data!$1:$1,0)-1))</f>
        <v>4.8030303030303028</v>
      </c>
      <c r="N9" s="333">
        <f ca="1">IF(N$2="no","no",OFFSET(Data!$A$1,MATCH($A9,Data!$DT:$DT,0)-1,MATCH("Total/"&amp;N$1,Data!$1:$1,0)-1))</f>
        <v>3.3484848484848486</v>
      </c>
      <c r="O9" s="333">
        <f ca="1">IF(O$2="no","no",OFFSET(Data!$A$1,MATCH($A9,Data!$DT:$DT,0)-1,MATCH("Total/"&amp;O$1,Data!$1:$1,0)-1))</f>
        <v>2.9090909090909092</v>
      </c>
      <c r="P9" s="333">
        <f ca="1">IF(P$2="no","no",OFFSET(Data!$A$1,MATCH($A9,Data!$DT:$DT,0)-1,MATCH("Total/"&amp;P$1,Data!$1:$1,0)-1))</f>
        <v>2.9848484848484849</v>
      </c>
      <c r="Q9" s="333">
        <f ca="1">IF(Q$2="no","no",OFFSET(Data!$A$1,MATCH($A9,Data!$DT:$DT,0)-1,MATCH("Total/"&amp;Q$1,Data!$1:$1,0)-1))</f>
        <v>3.1515151515151514</v>
      </c>
      <c r="R9" s="333">
        <f ca="1">IF(R$2="no","no",OFFSET(Data!$A$1,MATCH($A9,Data!$DT:$DT,0)-1,MATCH("Total/"&amp;R$1,Data!$1:$1,0)-1))</f>
        <v>2.6212121212121211</v>
      </c>
      <c r="S9" s="333">
        <f ca="1">IF(S$2="no","no",OFFSET(Data!$A$1,MATCH($A9,Data!$DT:$DT,0)-1,MATCH("Total/"&amp;S$1,Data!$1:$1,0)-1))</f>
        <v>2.9696969696969697</v>
      </c>
      <c r="T9" s="331">
        <f ca="1">IF(T$2="no","no",OFFSET(Data!$A$1,MATCH($A9,Data!$DT:$DT,0)-1,MATCH("Total/"&amp;T$1,Data!$1:$1,0)-1))</f>
        <v>3.1515151515151514</v>
      </c>
      <c r="U9" s="333">
        <f ca="1">IF(U$2="no","no",OFFSET(Data!$A$1,MATCH($A9,Data!$DT:$DT,0)-1,MATCH("Total/"&amp;U$1,Data!$1:$1,0)-1))</f>
        <v>3.3787878787878789</v>
      </c>
      <c r="V9" s="333" t="str">
        <f ca="1">IF(V$2="no","no",OFFSET(Data!$A$1,MATCH($A9,Data!$DT:$DT,0)-1,MATCH("Total/"&amp;V$1,Data!$1:$1,0)-1))</f>
        <v>no</v>
      </c>
      <c r="W9" s="333" t="str">
        <f ca="1">IF(W$2="no","no",OFFSET(Data!$A$1,MATCH($A9,Data!$DT:$DT,0)-1,MATCH("Total/"&amp;W$1,Data!$1:$1,0)-1))</f>
        <v>no</v>
      </c>
      <c r="X9" s="333" t="str">
        <f ca="1">IF(X$2="no","no",OFFSET(Data!$A$1,MATCH($A9,Data!$DT:$DT,0)-1,MATCH("Total/"&amp;X$1,Data!$1:$1,0)-1))</f>
        <v>no</v>
      </c>
      <c r="Y9" s="333" t="str">
        <f ca="1">IF(Y$2="no","no",OFFSET(Data!$A$1,MATCH($A9,Data!$DT:$DT,0)-1,MATCH("Total/"&amp;Y$1,Data!$1:$1,0)-1))</f>
        <v>no</v>
      </c>
      <c r="Z9" s="333" t="str">
        <f ca="1">IF(Z$2="no","no",OFFSET(Data!$A$1,MATCH($A9,Data!$DT:$DT,0)-1,MATCH("Total/"&amp;Z$1,Data!$1:$1,0)-1))</f>
        <v>no</v>
      </c>
      <c r="AA9" s="333" t="str">
        <f ca="1">IF(AA$2="no","no",OFFSET(Data!$A$1,MATCH($A9,Data!$DT:$DT,0)-1,MATCH("Total/"&amp;AA$1,Data!$1:$1,0)-1))</f>
        <v>no</v>
      </c>
      <c r="AB9" s="333" t="str">
        <f ca="1">IF(AB$2="no","no",OFFSET(Data!$A$1,MATCH($A9,Data!$DT:$DT,0)-1,MATCH("Total/"&amp;AB$1,Data!$1:$1,0)-1))</f>
        <v>no</v>
      </c>
      <c r="AC9" s="331" t="str">
        <f ca="1">IF(AC$2="no","no",OFFSET(Data!$A$1,MATCH($A9,Data!$DT:$DT,0)-1,MATCH("Total/"&amp;AC$1,Data!$1:$1,0)-1))</f>
        <v>no</v>
      </c>
      <c r="AD9" s="456">
        <f t="shared" ca="1" si="1"/>
        <v>62.712121212121204</v>
      </c>
      <c r="AE9" s="457"/>
      <c r="AF9" s="457"/>
      <c r="AG9" s="458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6" t="str">
        <f>IF($A$1="m","Average Men","Average Women")</f>
        <v>Average Men</v>
      </c>
      <c r="B10" s="477"/>
      <c r="C10" s="332">
        <f ca="1">IF(C$2="no","no",OFFSET(Data!$A$1,MATCH($A10,Data!$DT:$DT,0)-1,MATCH("Total/"&amp;C$1,Data!$1:$1,0)-1))</f>
        <v>3.2520325203252032</v>
      </c>
      <c r="D10" s="333">
        <f ca="1">IF(D$2="no","no",OFFSET(Data!$A$1,MATCH($A10,Data!$DT:$DT,0)-1,MATCH("Total/"&amp;D$1,Data!$1:$1,0)-1))</f>
        <v>3.1626016260162602</v>
      </c>
      <c r="E10" s="333">
        <f ca="1">IF(E$2="no","no",OFFSET(Data!$A$1,MATCH($A10,Data!$DT:$DT,0)-1,MATCH("Total/"&amp;E$1,Data!$1:$1,0)-1))</f>
        <v>3.4227642276422765</v>
      </c>
      <c r="F10" s="333">
        <f ca="1">IF(F$2="no","no",OFFSET(Data!$A$1,MATCH($A10,Data!$DT:$DT,0)-1,MATCH("Total/"&amp;F$1,Data!$1:$1,0)-1))</f>
        <v>3.3739837398373984</v>
      </c>
      <c r="G10" s="333">
        <f ca="1">IF(G$2="no","no",OFFSET(Data!$A$1,MATCH($A10,Data!$DT:$DT,0)-1,MATCH("Total/"&amp;G$1,Data!$1:$1,0)-1))</f>
        <v>4.1056910569105689</v>
      </c>
      <c r="H10" s="333">
        <f ca="1">IF(H$2="no","no",OFFSET(Data!$A$1,MATCH($A10,Data!$DT:$DT,0)-1,MATCH("Total/"&amp;H$1,Data!$1:$1,0)-1))</f>
        <v>3.4390243902439024</v>
      </c>
      <c r="I10" s="333">
        <f ca="1">IF(I$2="no","no",OFFSET(Data!$A$1,MATCH($A10,Data!$DT:$DT,0)-1,MATCH("Total/"&amp;I$1,Data!$1:$1,0)-1))</f>
        <v>3.3495934959349594</v>
      </c>
      <c r="J10" s="333">
        <f ca="1">IF(J$2="no","no",OFFSET(Data!$A$1,MATCH($A10,Data!$DT:$DT,0)-1,MATCH("Total/"&amp;J$1,Data!$1:$1,0)-1))</f>
        <v>3.024390243902439</v>
      </c>
      <c r="K10" s="333">
        <f ca="1">IF(K$2="no","no",OFFSET(Data!$A$1,MATCH($A10,Data!$DT:$DT,0)-1,MATCH("Total/"&amp;K$1,Data!$1:$1,0)-1))</f>
        <v>4.4634146341463419</v>
      </c>
      <c r="L10" s="333">
        <f ca="1">IF(L$2="no","no",OFFSET(Data!$A$1,MATCH($A10,Data!$DT:$DT,0)-1,MATCH("Total/"&amp;L$1,Data!$1:$1,0)-1))</f>
        <v>4.5528455284552845</v>
      </c>
      <c r="M10" s="333">
        <f ca="1">IF(M$2="no","no",OFFSET(Data!$A$1,MATCH($A10,Data!$DT:$DT,0)-1,MATCH("Total/"&amp;M$1,Data!$1:$1,0)-1))</f>
        <v>4.9674796747967482</v>
      </c>
      <c r="N10" s="333">
        <f ca="1">IF(N$2="no","no",OFFSET(Data!$A$1,MATCH($A10,Data!$DT:$DT,0)-1,MATCH("Total/"&amp;N$1,Data!$1:$1,0)-1))</f>
        <v>3.5121951219512195</v>
      </c>
      <c r="O10" s="333">
        <f ca="1">IF(O$2="no","no",OFFSET(Data!$A$1,MATCH($A10,Data!$DT:$DT,0)-1,MATCH("Total/"&amp;O$1,Data!$1:$1,0)-1))</f>
        <v>3.154471544715447</v>
      </c>
      <c r="P10" s="333">
        <f ca="1">IF(P$2="no","no",OFFSET(Data!$A$1,MATCH($A10,Data!$DT:$DT,0)-1,MATCH("Total/"&amp;P$1,Data!$1:$1,0)-1))</f>
        <v>3.2682926829268291</v>
      </c>
      <c r="Q10" s="333">
        <f ca="1">IF(Q$2="no","no",OFFSET(Data!$A$1,MATCH($A10,Data!$DT:$DT,0)-1,MATCH("Total/"&amp;Q$1,Data!$1:$1,0)-1))</f>
        <v>3.4227642276422765</v>
      </c>
      <c r="R10" s="333">
        <f ca="1">IF(R$2="no","no",OFFSET(Data!$A$1,MATCH($A10,Data!$DT:$DT,0)-1,MATCH("Total/"&amp;R$1,Data!$1:$1,0)-1))</f>
        <v>2.910569105691057</v>
      </c>
      <c r="S10" s="333">
        <f ca="1">IF(S$2="no","no",OFFSET(Data!$A$1,MATCH($A10,Data!$DT:$DT,0)-1,MATCH("Total/"&amp;S$1,Data!$1:$1,0)-1))</f>
        <v>3.3008130081300813</v>
      </c>
      <c r="T10" s="331">
        <f ca="1">IF(T$2="no","no",OFFSET(Data!$A$1,MATCH($A10,Data!$DT:$DT,0)-1,MATCH("Total/"&amp;T$1,Data!$1:$1,0)-1))</f>
        <v>3.4959349593495936</v>
      </c>
      <c r="U10" s="333">
        <f ca="1">IF(U$2="no","no",OFFSET(Data!$A$1,MATCH($A10,Data!$DT:$DT,0)-1,MATCH("Total/"&amp;U$1,Data!$1:$1,0)-1))</f>
        <v>3.5853658536585367</v>
      </c>
      <c r="V10" s="333" t="str">
        <f ca="1">IF(V$2="no","no",OFFSET(Data!$A$1,MATCH($A10,Data!$DT:$DT,0)-1,MATCH("Total/"&amp;V$1,Data!$1:$1,0)-1))</f>
        <v>no</v>
      </c>
      <c r="W10" s="333" t="str">
        <f ca="1">IF(W$2="no","no",OFFSET(Data!$A$1,MATCH($A10,Data!$DT:$DT,0)-1,MATCH("Total/"&amp;W$1,Data!$1:$1,0)-1))</f>
        <v>no</v>
      </c>
      <c r="X10" s="333" t="str">
        <f ca="1">IF(X$2="no","no",OFFSET(Data!$A$1,MATCH($A10,Data!$DT:$DT,0)-1,MATCH("Total/"&amp;X$1,Data!$1:$1,0)-1))</f>
        <v>no</v>
      </c>
      <c r="Y10" s="333" t="str">
        <f ca="1">IF(Y$2="no","no",OFFSET(Data!$A$1,MATCH($A10,Data!$DT:$DT,0)-1,MATCH("Total/"&amp;Y$1,Data!$1:$1,0)-1))</f>
        <v>no</v>
      </c>
      <c r="Z10" s="333" t="str">
        <f ca="1">IF(Z$2="no","no",OFFSET(Data!$A$1,MATCH($A10,Data!$DT:$DT,0)-1,MATCH("Total/"&amp;Z$1,Data!$1:$1,0)-1))</f>
        <v>no</v>
      </c>
      <c r="AA10" s="333" t="str">
        <f ca="1">IF(AA$2="no","no",OFFSET(Data!$A$1,MATCH($A10,Data!$DT:$DT,0)-1,MATCH("Total/"&amp;AA$1,Data!$1:$1,0)-1))</f>
        <v>no</v>
      </c>
      <c r="AB10" s="333" t="str">
        <f ca="1">IF(AB$2="no","no",OFFSET(Data!$A$1,MATCH($A10,Data!$DT:$DT,0)-1,MATCH("Total/"&amp;AB$1,Data!$1:$1,0)-1))</f>
        <v>no</v>
      </c>
      <c r="AC10" s="331" t="str">
        <f ca="1">IF(AC$2="no","no",OFFSET(Data!$A$1,MATCH($A10,Data!$DT:$DT,0)-1,MATCH("Total/"&amp;AC$1,Data!$1:$1,0)-1))</f>
        <v>no</v>
      </c>
      <c r="AD10" s="456">
        <f t="shared" ca="1" si="1"/>
        <v>67.764227642276424</v>
      </c>
      <c r="AE10" s="457"/>
      <c r="AF10" s="457"/>
      <c r="AG10" s="458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161</v>
      </c>
      <c r="B11" s="182" t="s">
        <v>34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Otfried Derschmidt vs. Avg. Katka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23</v>
      </c>
      <c r="AE11" s="169" t="s">
        <v>79</v>
      </c>
      <c r="AF11" s="170" t="s">
        <v>80</v>
      </c>
      <c r="AG11" s="169" t="s">
        <v>62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0</v>
      </c>
      <c r="B12" s="180" t="s">
        <v>29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3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2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2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3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4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2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4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6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2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2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3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3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2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2</v>
      </c>
      <c r="U12" s="73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>3</v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61</v>
      </c>
      <c r="AE12" s="172">
        <f t="shared" ref="AE12:AE21" ca="1" si="3">AF12-AD12</f>
        <v>-6</v>
      </c>
      <c r="AF12" s="171">
        <f t="shared" ref="AF12:AF21" ca="1" si="4">SUM(C12:AC12)</f>
        <v>55</v>
      </c>
      <c r="AG12" s="172">
        <f ca="1">AF12</f>
        <v>55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ht="15.75" thickBot="1" x14ac:dyDescent="0.3">
      <c r="A13" s="166" t="str">
        <f>"Ranking: "&amp;INDEX(Data!DX:DX,MATCH(A12,Data!DT:DT,0))&amp;" / "&amp;IF($A$1="M","Men","Women")</f>
        <v>Ranking: 1 / Men</v>
      </c>
      <c r="B13" s="181" t="s">
        <v>30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2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4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3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3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3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2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2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4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4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3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3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4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3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2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3</v>
      </c>
      <c r="U13" s="69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>3</v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61</v>
      </c>
      <c r="AE13" s="174">
        <f t="shared" ca="1" si="3"/>
        <v>-4</v>
      </c>
      <c r="AF13" s="173">
        <f t="shared" ca="1" si="4"/>
        <v>57</v>
      </c>
      <c r="AG13" s="174">
        <f ca="1">SUM(AF$12:AF13)</f>
        <v>112</v>
      </c>
      <c r="AP13" s="204"/>
    </row>
    <row r="14" spans="1:130" hidden="1" x14ac:dyDescent="0.25">
      <c r="A14" s="167"/>
      <c r="B14" s="181" t="s">
        <v>31</v>
      </c>
      <c r="C14" s="68" t="str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/>
      </c>
      <c r="D14" s="69" t="str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/>
      </c>
      <c r="E14" s="69" t="str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/>
      </c>
      <c r="F14" s="69" t="str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/>
      </c>
      <c r="G14" s="69" t="str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/>
      </c>
      <c r="H14" s="69" t="str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/>
      </c>
      <c r="I14" s="69" t="str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/>
      </c>
      <c r="J14" s="69" t="str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/>
      </c>
      <c r="K14" s="69" t="str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/>
      </c>
      <c r="L14" s="69" t="str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/>
      </c>
      <c r="M14" s="69" t="str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/>
      </c>
      <c r="N14" s="69" t="str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/>
      </c>
      <c r="O14" s="69" t="str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/>
      </c>
      <c r="P14" s="69" t="str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/>
      </c>
      <c r="Q14" s="69" t="str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/>
      </c>
      <c r="R14" s="69" t="str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/>
      </c>
      <c r="S14" s="69" t="str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/>
      </c>
      <c r="T14" s="70" t="str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/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0</v>
      </c>
      <c r="AE14" s="174">
        <f t="shared" ca="1" si="3"/>
        <v>0</v>
      </c>
      <c r="AF14" s="173">
        <f t="shared" ca="1" si="4"/>
        <v>0</v>
      </c>
      <c r="AG14" s="174">
        <f ca="1">SUM(AF$12:AF14)</f>
        <v>112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idden="1" x14ac:dyDescent="0.25">
      <c r="A15" s="167"/>
      <c r="B15" s="181" t="s">
        <v>32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0</v>
      </c>
      <c r="AE15" s="174">
        <f t="shared" ca="1" si="3"/>
        <v>0</v>
      </c>
      <c r="AF15" s="173">
        <f t="shared" ca="1" si="4"/>
        <v>0</v>
      </c>
      <c r="AG15" s="174">
        <f ca="1">SUM(AF$12:AF15)</f>
        <v>112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33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112</v>
      </c>
      <c r="AP16" s="204"/>
    </row>
    <row r="17" spans="1:130" ht="15.75" thickBot="1" x14ac:dyDescent="0.3">
      <c r="A17" s="164" t="s">
        <v>705</v>
      </c>
      <c r="B17" s="180" t="s">
        <v>29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4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4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4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4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3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3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4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4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4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3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3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4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2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3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2</v>
      </c>
      <c r="U17" s="73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>3</v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61</v>
      </c>
      <c r="AE17" s="172">
        <f t="shared" ca="1" si="3"/>
        <v>2</v>
      </c>
      <c r="AF17" s="171">
        <f t="shared" ca="1" si="4"/>
        <v>63</v>
      </c>
      <c r="AG17" s="172">
        <f ca="1">AF17</f>
        <v>63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ht="15.75" thickBot="1" x14ac:dyDescent="0.3">
      <c r="A18" s="166" t="str">
        <f>"Ranking: "&amp;INDEX(Data!DX:DX,MATCH(A17,Data!DT:DT,0))&amp;" / "&amp;IF($A$22="M","Men","Women")</f>
        <v>Ranking: 1 / Women</v>
      </c>
      <c r="B18" s="181" t="s">
        <v>30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3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3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4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4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4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3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5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4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6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3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3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4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3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3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4</v>
      </c>
      <c r="U18" s="69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>3</v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61</v>
      </c>
      <c r="AE18" s="174">
        <f t="shared" ca="1" si="3"/>
        <v>7</v>
      </c>
      <c r="AF18" s="173">
        <f t="shared" ca="1" si="4"/>
        <v>68</v>
      </c>
      <c r="AG18" s="174">
        <f ca="1">SUM(AF$17:AF18)</f>
        <v>131</v>
      </c>
      <c r="AP18" s="204"/>
    </row>
    <row r="19" spans="1:130" hidden="1" x14ac:dyDescent="0.25">
      <c r="A19" s="167"/>
      <c r="B19" s="181" t="s">
        <v>31</v>
      </c>
      <c r="C19" s="68" t="str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/>
      </c>
      <c r="D19" s="69" t="str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/>
      </c>
      <c r="E19" s="69" t="str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/>
      </c>
      <c r="F19" s="69" t="str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/>
      </c>
      <c r="G19" s="69" t="str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/>
      </c>
      <c r="H19" s="69" t="str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/>
      </c>
      <c r="I19" s="69" t="str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/>
      </c>
      <c r="J19" s="69" t="str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/>
      </c>
      <c r="K19" s="69" t="str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/>
      </c>
      <c r="L19" s="69" t="str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/>
      </c>
      <c r="M19" s="69" t="str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/>
      </c>
      <c r="N19" s="69" t="str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/>
      </c>
      <c r="O19" s="69" t="str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/>
      </c>
      <c r="P19" s="69" t="str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/>
      </c>
      <c r="Q19" s="69" t="str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/>
      </c>
      <c r="R19" s="69" t="str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/>
      </c>
      <c r="S19" s="69" t="str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/>
      </c>
      <c r="T19" s="70" t="str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/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0</v>
      </c>
      <c r="AE19" s="174">
        <f t="shared" ca="1" si="3"/>
        <v>0</v>
      </c>
      <c r="AF19" s="173">
        <f t="shared" ca="1" si="4"/>
        <v>0</v>
      </c>
      <c r="AG19" s="174">
        <f ca="1">SUM(AF$17:AF19)</f>
        <v>131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idden="1" x14ac:dyDescent="0.25">
      <c r="A20" s="167"/>
      <c r="B20" s="181" t="s">
        <v>32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0</v>
      </c>
      <c r="AE20" s="174">
        <f t="shared" ca="1" si="3"/>
        <v>0</v>
      </c>
      <c r="AF20" s="173">
        <f t="shared" ca="1" si="4"/>
        <v>0</v>
      </c>
      <c r="AG20" s="174">
        <f ca="1">SUM(AF$17:AF20)</f>
        <v>131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33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131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8">
        <f ca="1">C3-C4</f>
        <v>-1</v>
      </c>
      <c r="D22" s="278">
        <f t="shared" ref="D22:AC22" ca="1" si="6">D3-D4</f>
        <v>0</v>
      </c>
      <c r="E22" s="205">
        <f t="shared" ca="1" si="6"/>
        <v>-1.5</v>
      </c>
      <c r="F22" s="205">
        <f t="shared" ca="1" si="6"/>
        <v>-0.5</v>
      </c>
      <c r="G22" s="205">
        <f t="shared" ca="1" si="6"/>
        <v>-1</v>
      </c>
      <c r="H22" s="205">
        <f t="shared" ca="1" si="6"/>
        <v>-1</v>
      </c>
      <c r="I22" s="205">
        <f t="shared" ca="1" si="6"/>
        <v>0</v>
      </c>
      <c r="J22" s="205">
        <f t="shared" ca="1" si="6"/>
        <v>-0.5</v>
      </c>
      <c r="K22" s="205">
        <f t="shared" ca="1" si="6"/>
        <v>-0.5</v>
      </c>
      <c r="L22" s="205">
        <f t="shared" ca="1" si="6"/>
        <v>-0.5</v>
      </c>
      <c r="M22" s="205">
        <f t="shared" ca="1" si="6"/>
        <v>-0.5</v>
      </c>
      <c r="N22" s="205">
        <f t="shared" ca="1" si="6"/>
        <v>-0.5</v>
      </c>
      <c r="O22" s="205">
        <f t="shared" ca="1" si="6"/>
        <v>-0.5</v>
      </c>
      <c r="P22" s="205">
        <f t="shared" ca="1" si="6"/>
        <v>-0.5</v>
      </c>
      <c r="Q22" s="205">
        <f t="shared" ca="1" si="6"/>
        <v>0</v>
      </c>
      <c r="R22" s="205">
        <f t="shared" ca="1" si="6"/>
        <v>0.5</v>
      </c>
      <c r="S22" s="205">
        <f t="shared" ca="1" si="6"/>
        <v>-1</v>
      </c>
      <c r="T22" s="205">
        <f t="shared" ca="1" si="6"/>
        <v>-0.5</v>
      </c>
      <c r="U22" s="205">
        <f t="shared" ca="1" si="6"/>
        <v>0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163</v>
      </c>
      <c r="B23" s="473" t="s">
        <v>164</v>
      </c>
      <c r="C23" s="474"/>
      <c r="D23" s="474"/>
      <c r="E23" s="474"/>
      <c r="F23" s="474"/>
      <c r="G23" s="475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162</v>
      </c>
      <c r="B24" s="472" t="s">
        <v>162</v>
      </c>
      <c r="C24" s="472"/>
      <c r="D24" s="472"/>
      <c r="E24" s="472"/>
      <c r="F24" s="472"/>
      <c r="G24" s="472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162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192</v>
      </c>
      <c r="B62" s="203" t="s">
        <v>29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3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2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2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3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4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2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4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6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2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2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3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3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2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2</v>
      </c>
      <c r="U62" s="207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>3</v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72</v>
      </c>
      <c r="B63" s="203" t="s">
        <v>29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2.6666666666666665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2.5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2.6666666666666665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3.1666666666666665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3.3333333333333335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2.8333333333333335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2.8333333333333335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2.5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4.166666666666667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4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5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3.5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2.8333333333333335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2.8333333333333335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2.6666666666666665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2.5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2.6666666666666665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2</v>
      </c>
      <c r="U63" s="207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>2.8333333333333335</v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139</v>
      </c>
      <c r="B64" s="203" t="s">
        <v>29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2.6666666666666665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2.75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2.8333333333333335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3.3333333333333335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3.4166666666666665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2.9166666666666665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3.0833333333333335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2.75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4.166666666666667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4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4.916666666666667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3.3333333333333335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2.6666666666666665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2.9166666666666665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2.8333333333333335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2.4166666666666665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2.9166666666666665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2.75</v>
      </c>
      <c r="U64" s="207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>2.9166666666666665</v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142</v>
      </c>
      <c r="B65" s="203" t="s">
        <v>29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2.7391304347826089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2.9130434782608696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2.9130434782608696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3.1739130434782608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3.652173913043478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2.9130434782608696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3.2173913043478262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2.7391304347826089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4.2608695652173916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3.9130434782608696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4.7391304347826084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3.4347826086956523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2.7391304347826089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2.9130434782608696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2.8695652173913042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2.4347826086956523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2.8695652173913042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3.0434782608695654</v>
      </c>
      <c r="U65" s="207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>3.1739130434782608</v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145</v>
      </c>
      <c r="B66" s="203" t="s">
        <v>29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2.8484848484848486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2.9696969696969697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2.9696969696969697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3.2727272727272729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3.6363636363636362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3.0909090909090908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3.1212121212121211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2.7272727272727271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4.2424242424242422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4.0303030303030303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4.7878787878787881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3.4848484848484849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2.7878787878787881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2.9090909090909092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3.1818181818181817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2.4848484848484849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2.8787878787878789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3.0303030303030303</v>
      </c>
      <c r="U66" s="207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>3.2121212121212119</v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83</v>
      </c>
      <c r="B67" s="203" t="s">
        <v>29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2.9838709677419355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3.096774193548387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3.274193548387097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3.467741935483871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3.967741935483871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3.338709677419355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3.2580645161290325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3.032258064516129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4.612903225806452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4.435483870967742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4.919354838709677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3.6451612903225805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3.064516129032258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3.2580645161290325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3.4193548387096775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2.806451612903226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3.2580645161290325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3.2096774193548385</v>
      </c>
      <c r="U67" s="207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>3.4193548387096775</v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193</v>
      </c>
      <c r="B68" s="203" t="s">
        <v>29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4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4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4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4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3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3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4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4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4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3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3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4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2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3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2</v>
      </c>
      <c r="U68" s="207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>3</v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75</v>
      </c>
      <c r="B69" s="203" t="s">
        <v>29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3.2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4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3.6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4.8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3.6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3.6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4.4000000000000004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4.5999999999999996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5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3.4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3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3.8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3.6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3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3.4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2.8</v>
      </c>
      <c r="U69" s="207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>3.6</v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148</v>
      </c>
      <c r="B70" s="203" t="s">
        <v>29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3.375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3.625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4.375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4.125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4.875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4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3.375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3.375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4.875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5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5.625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4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3.25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4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3.75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3.25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3.625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2.875</v>
      </c>
      <c r="U70" s="207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>3.875</v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151</v>
      </c>
      <c r="B71" s="203" t="s">
        <v>29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3.375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3.625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4.375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4.125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4.875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4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3.375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3.375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4.875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5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5.625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4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3.25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4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3.75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3.25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3.625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2.875</v>
      </c>
      <c r="U71" s="207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>3.875</v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154</v>
      </c>
      <c r="B72" s="203" t="s">
        <v>29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3.375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3.625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4.375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4.125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4.875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4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3.375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3.375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4.875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5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5.625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4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3.25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4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3.75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3.25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3.625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2.875</v>
      </c>
      <c r="U72" s="207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>3.875</v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86</v>
      </c>
      <c r="B73" s="203" t="s">
        <v>29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3.4444444444444446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3.6666666666666665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4.2222222222222223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4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4.8888888888888893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3.8888888888888888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3.4444444444444446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3.4444444444444446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4.8888888888888893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5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5.666666666666667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4.2222222222222223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3.2222222222222223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4.1111111111111107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3.7777777777777777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3.2222222222222223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3.6666666666666665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3</v>
      </c>
      <c r="U73" s="207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>3.7777777777777777</v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192</v>
      </c>
      <c r="B74" s="203" t="s">
        <v>30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2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4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3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3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3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2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2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4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4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3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3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4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3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2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3</v>
      </c>
      <c r="U74" s="207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>3</v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72</v>
      </c>
      <c r="B75" s="203" t="s">
        <v>30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2.8333333333333335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3.3333333333333335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2.6666666666666665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3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3.3333333333333335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2.8333333333333335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2.8333333333333335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2.8333333333333335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3.6666666666666665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4.666666666666667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4.166666666666667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2.8333333333333335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2.6666666666666665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3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3.1666666666666665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2.8333333333333335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3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3</v>
      </c>
      <c r="U75" s="207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>3.1666666666666665</v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139</v>
      </c>
      <c r="B76" s="203" t="s">
        <v>30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2.8333333333333335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2.9166666666666665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3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2.9166666666666665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3.5833333333333335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2.6666666666666665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3.0833333333333335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2.6666666666666665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3.9166666666666665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4.583333333333333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4.416666666666667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3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2.8333333333333335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2.8333333333333335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3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2.75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3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3.1666666666666665</v>
      </c>
      <c r="U76" s="207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>3.1666666666666665</v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142</v>
      </c>
      <c r="B77" s="203" t="s">
        <v>30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3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2.9130434782608696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3.1304347826086958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3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3.7391304347826089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2.8695652173913042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3.1304347826086958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2.8695652173913042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4.0869565217391308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4.3043478260869561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5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3.1739130434782608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2.9130434782608696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2.8695652173913042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3.0434782608695654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2.652173913043478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3.1304347826086958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3.1739130434782608</v>
      </c>
      <c r="U77" s="207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>3.3913043478260869</v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145</v>
      </c>
      <c r="B78" s="203" t="s">
        <v>30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3.1212121212121211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2.9393939393939394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3.2727272727272729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3.8787878787878789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3.2424242424242422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2.8181818181818183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4.1818181818181817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4.4242424242424239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4.8181818181818183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3.2121212121212119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3.0303030303030303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3.0606060606060606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3.1212121212121211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2.7575757575757578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3.0606060606060606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3.2727272727272729</v>
      </c>
      <c r="U78" s="207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>3.5454545454545454</v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83</v>
      </c>
      <c r="B79" s="203" t="s">
        <v>30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3.5245901639344264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3.2295081967213113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3.5737704918032787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3.278688524590164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4.2459016393442619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3.540983606557377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3.442622950819672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3.0163934426229506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4.3114754098360653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4.6721311475409832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5.0163934426229506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3.377049180327869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3.2459016393442623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3.278688524590164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3.4262295081967213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3.0163934426229506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3.3442622950819674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3.7868852459016393</v>
      </c>
      <c r="U79" s="207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>3.7540983606557377</v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193</v>
      </c>
      <c r="B80" s="203" t="s">
        <v>30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3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3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4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4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4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3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5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4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6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3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3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4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3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3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4</v>
      </c>
      <c r="U80" s="207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>3</v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75</v>
      </c>
      <c r="B81" s="203" t="s">
        <v>30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3.6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3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3.8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3.4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4.5999999999999996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3.6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4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5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4.8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5.8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3.4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3.8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3.2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3.6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3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3.4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4</v>
      </c>
      <c r="U81" s="207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>3.8</v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148</v>
      </c>
      <c r="B82" s="203" t="s">
        <v>30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3.5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3.5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4.5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3.875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5.25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4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4.5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3.5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5.625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5.625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6.5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4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3.625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4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3.25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4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4.125</v>
      </c>
      <c r="U82" s="207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>4</v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151</v>
      </c>
      <c r="B83" s="203" t="s">
        <v>30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3.5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3.5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4.5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3.875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5.25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4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4.5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3.5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5.625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5.625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6.5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4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3.625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4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3.25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4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4.125</v>
      </c>
      <c r="U83" s="207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>4</v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154</v>
      </c>
      <c r="B84" s="203" t="s">
        <v>30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3.5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3.5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4.5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3.875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5.25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4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4.5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3.5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5.625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5.625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6.5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4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3.625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4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3.25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4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4.125</v>
      </c>
      <c r="U84" s="207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>4</v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86</v>
      </c>
      <c r="B85" s="203" t="s">
        <v>30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3.7777777777777777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3.5555555555555554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4.4444444444444446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4.1111111111111107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5.4444444444444446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4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4.5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3.5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5.625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5.625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6.5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4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3.625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4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3.25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4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4.1111111111111107</v>
      </c>
      <c r="U85" s="207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>4</v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192</v>
      </c>
      <c r="B86" s="203" t="s">
        <v>31</v>
      </c>
      <c r="C86" s="203" t="str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/>
      </c>
      <c r="D86" s="203" t="str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/>
      </c>
      <c r="E86" s="203" t="str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/>
      </c>
      <c r="F86" s="203" t="str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/>
      </c>
      <c r="G86" s="203" t="str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/>
      </c>
      <c r="H86" s="203" t="str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/>
      </c>
      <c r="I86" s="203" t="str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/>
      </c>
      <c r="J86" s="203" t="str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/>
      </c>
      <c r="K86" s="203" t="str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/>
      </c>
      <c r="L86" s="203" t="str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/>
      </c>
      <c r="M86" s="203" t="str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/>
      </c>
      <c r="N86" s="203" t="str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/>
      </c>
      <c r="O86" s="203" t="str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/>
      </c>
      <c r="P86" s="203" t="str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/>
      </c>
      <c r="Q86" s="203" t="str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/>
      </c>
      <c r="R86" s="203" t="str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/>
      </c>
      <c r="S86" s="203" t="str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/>
      </c>
      <c r="T86" s="203" t="str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/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72</v>
      </c>
      <c r="B87" s="203" t="s">
        <v>31</v>
      </c>
      <c r="C87" s="203" t="str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/>
      </c>
      <c r="D87" s="203" t="str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/>
      </c>
      <c r="E87" s="203" t="str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/>
      </c>
      <c r="F87" s="203" t="str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/>
      </c>
      <c r="G87" s="203" t="str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/>
      </c>
      <c r="H87" s="203" t="str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/>
      </c>
      <c r="I87" s="203" t="str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/>
      </c>
      <c r="J87" s="203" t="str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/>
      </c>
      <c r="K87" s="203" t="str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/>
      </c>
      <c r="L87" s="203" t="str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/>
      </c>
      <c r="M87" s="203" t="str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/>
      </c>
      <c r="N87" s="203" t="str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/>
      </c>
      <c r="O87" s="203" t="str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/>
      </c>
      <c r="P87" s="203" t="str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/>
      </c>
      <c r="Q87" s="203" t="str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/>
      </c>
      <c r="R87" s="203" t="str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/>
      </c>
      <c r="S87" s="203" t="str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/>
      </c>
      <c r="T87" s="203" t="str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/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139</v>
      </c>
      <c r="B88" s="203" t="s">
        <v>31</v>
      </c>
      <c r="C88" s="203" t="str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/>
      </c>
      <c r="D88" s="203" t="str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/>
      </c>
      <c r="E88" s="203" t="str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/>
      </c>
      <c r="F88" s="203" t="str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/>
      </c>
      <c r="G88" s="203" t="str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/>
      </c>
      <c r="H88" s="203" t="str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/>
      </c>
      <c r="I88" s="203" t="str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/>
      </c>
      <c r="J88" s="203" t="str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/>
      </c>
      <c r="K88" s="203" t="str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/>
      </c>
      <c r="L88" s="203" t="str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/>
      </c>
      <c r="M88" s="203" t="str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/>
      </c>
      <c r="N88" s="203" t="str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/>
      </c>
      <c r="O88" s="203" t="str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/>
      </c>
      <c r="P88" s="203" t="str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/>
      </c>
      <c r="Q88" s="203" t="str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/>
      </c>
      <c r="R88" s="203" t="str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/>
      </c>
      <c r="S88" s="203" t="str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/>
      </c>
      <c r="T88" s="203" t="str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/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142</v>
      </c>
      <c r="B89" s="203" t="s">
        <v>31</v>
      </c>
      <c r="C89" s="203" t="str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/>
      </c>
      <c r="D89" s="203" t="str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/>
      </c>
      <c r="E89" s="203" t="str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/>
      </c>
      <c r="F89" s="203" t="str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/>
      </c>
      <c r="G89" s="203" t="str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/>
      </c>
      <c r="H89" s="203" t="str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/>
      </c>
      <c r="I89" s="203" t="str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/>
      </c>
      <c r="J89" s="203" t="str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/>
      </c>
      <c r="K89" s="203" t="str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/>
      </c>
      <c r="L89" s="203" t="str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/>
      </c>
      <c r="M89" s="203" t="str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/>
      </c>
      <c r="N89" s="203" t="str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/>
      </c>
      <c r="O89" s="203" t="str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/>
      </c>
      <c r="P89" s="203" t="str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/>
      </c>
      <c r="Q89" s="203" t="str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/>
      </c>
      <c r="R89" s="203" t="str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/>
      </c>
      <c r="S89" s="203" t="str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/>
      </c>
      <c r="T89" s="203" t="str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/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145</v>
      </c>
      <c r="B90" s="203" t="s">
        <v>31</v>
      </c>
      <c r="C90" s="203" t="str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/>
      </c>
      <c r="D90" s="203" t="str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/>
      </c>
      <c r="E90" s="203" t="str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/>
      </c>
      <c r="F90" s="203" t="str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/>
      </c>
      <c r="G90" s="203" t="str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/>
      </c>
      <c r="H90" s="203" t="str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/>
      </c>
      <c r="I90" s="203" t="str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/>
      </c>
      <c r="J90" s="203" t="str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/>
      </c>
      <c r="K90" s="203" t="str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/>
      </c>
      <c r="L90" s="203" t="str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/>
      </c>
      <c r="M90" s="203" t="str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/>
      </c>
      <c r="N90" s="203" t="str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/>
      </c>
      <c r="O90" s="203" t="str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/>
      </c>
      <c r="P90" s="203" t="str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/>
      </c>
      <c r="Q90" s="203" t="str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/>
      </c>
      <c r="R90" s="203" t="str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/>
      </c>
      <c r="S90" s="203" t="str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/>
      </c>
      <c r="T90" s="203" t="str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/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83</v>
      </c>
      <c r="B91" s="203" t="s">
        <v>31</v>
      </c>
      <c r="C91" s="203" t="str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/>
      </c>
      <c r="D91" s="203" t="str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/>
      </c>
      <c r="E91" s="203" t="str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/>
      </c>
      <c r="F91" s="203" t="str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/>
      </c>
      <c r="G91" s="203" t="str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/>
      </c>
      <c r="H91" s="203" t="str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/>
      </c>
      <c r="I91" s="203" t="str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/>
      </c>
      <c r="J91" s="203" t="str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/>
      </c>
      <c r="K91" s="203" t="str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/>
      </c>
      <c r="L91" s="203" t="str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/>
      </c>
      <c r="M91" s="203" t="str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/>
      </c>
      <c r="N91" s="203" t="str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/>
      </c>
      <c r="O91" s="203" t="str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/>
      </c>
      <c r="P91" s="203" t="str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/>
      </c>
      <c r="Q91" s="203" t="str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/>
      </c>
      <c r="R91" s="203" t="str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/>
      </c>
      <c r="S91" s="203" t="str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/>
      </c>
      <c r="T91" s="203" t="str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/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193</v>
      </c>
      <c r="B92" s="203" t="s">
        <v>31</v>
      </c>
      <c r="C92" s="203" t="str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/>
      </c>
      <c r="D92" s="203" t="str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/>
      </c>
      <c r="E92" s="203" t="str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/>
      </c>
      <c r="F92" s="203" t="str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/>
      </c>
      <c r="G92" s="203" t="str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/>
      </c>
      <c r="H92" s="203" t="str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/>
      </c>
      <c r="I92" s="203" t="str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/>
      </c>
      <c r="J92" s="203" t="str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/>
      </c>
      <c r="K92" s="203" t="str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/>
      </c>
      <c r="L92" s="203" t="str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/>
      </c>
      <c r="M92" s="203" t="str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/>
      </c>
      <c r="N92" s="203" t="str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/>
      </c>
      <c r="O92" s="203" t="str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/>
      </c>
      <c r="P92" s="203" t="str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/>
      </c>
      <c r="Q92" s="203" t="str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/>
      </c>
      <c r="R92" s="203" t="str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/>
      </c>
      <c r="S92" s="203" t="str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/>
      </c>
      <c r="T92" s="203" t="str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/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75</v>
      </c>
      <c r="B93" s="203" t="s">
        <v>31</v>
      </c>
      <c r="C93" s="203" t="str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/>
      </c>
      <c r="D93" s="203" t="str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/>
      </c>
      <c r="E93" s="203" t="str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/>
      </c>
      <c r="F93" s="203" t="str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/>
      </c>
      <c r="G93" s="203" t="str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/>
      </c>
      <c r="H93" s="203" t="str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/>
      </c>
      <c r="I93" s="203" t="str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/>
      </c>
      <c r="J93" s="203" t="str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/>
      </c>
      <c r="K93" s="203" t="str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/>
      </c>
      <c r="L93" s="203" t="str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/>
      </c>
      <c r="M93" s="203" t="str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/>
      </c>
      <c r="N93" s="203" t="str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/>
      </c>
      <c r="O93" s="203" t="str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/>
      </c>
      <c r="P93" s="203" t="str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/>
      </c>
      <c r="Q93" s="203" t="str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/>
      </c>
      <c r="R93" s="203" t="str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/>
      </c>
      <c r="S93" s="203" t="str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/>
      </c>
      <c r="T93" s="203" t="str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/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148</v>
      </c>
      <c r="B94" s="203" t="s">
        <v>31</v>
      </c>
      <c r="C94" s="203" t="str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/>
      </c>
      <c r="D94" s="203" t="str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/>
      </c>
      <c r="E94" s="203" t="str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/>
      </c>
      <c r="F94" s="203" t="str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/>
      </c>
      <c r="G94" s="203" t="str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/>
      </c>
      <c r="H94" s="203" t="str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/>
      </c>
      <c r="I94" s="203" t="str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/>
      </c>
      <c r="J94" s="203" t="str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/>
      </c>
      <c r="K94" s="203" t="str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/>
      </c>
      <c r="L94" s="203" t="str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/>
      </c>
      <c r="M94" s="203" t="str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/>
      </c>
      <c r="N94" s="203" t="str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/>
      </c>
      <c r="O94" s="203" t="str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/>
      </c>
      <c r="P94" s="203" t="str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/>
      </c>
      <c r="Q94" s="203" t="str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/>
      </c>
      <c r="R94" s="203" t="str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/>
      </c>
      <c r="S94" s="203" t="str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/>
      </c>
      <c r="T94" s="203" t="str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/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151</v>
      </c>
      <c r="B95" s="203" t="s">
        <v>31</v>
      </c>
      <c r="C95" s="203" t="str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/>
      </c>
      <c r="D95" s="203" t="str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/>
      </c>
      <c r="E95" s="203" t="str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/>
      </c>
      <c r="F95" s="203" t="str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/>
      </c>
      <c r="G95" s="203" t="str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/>
      </c>
      <c r="H95" s="203" t="str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/>
      </c>
      <c r="I95" s="203" t="str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/>
      </c>
      <c r="J95" s="203" t="str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/>
      </c>
      <c r="K95" s="203" t="str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/>
      </c>
      <c r="L95" s="203" t="str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/>
      </c>
      <c r="M95" s="203" t="str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/>
      </c>
      <c r="N95" s="203" t="str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/>
      </c>
      <c r="O95" s="203" t="str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/>
      </c>
      <c r="P95" s="203" t="str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/>
      </c>
      <c r="Q95" s="203" t="str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/>
      </c>
      <c r="R95" s="203" t="str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/>
      </c>
      <c r="S95" s="203" t="str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/>
      </c>
      <c r="T95" s="203" t="str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/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154</v>
      </c>
      <c r="B96" s="203" t="s">
        <v>31</v>
      </c>
      <c r="C96" s="203" t="str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/>
      </c>
      <c r="D96" s="203" t="str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/>
      </c>
      <c r="E96" s="203" t="str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/>
      </c>
      <c r="F96" s="203" t="str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/>
      </c>
      <c r="G96" s="203" t="str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/>
      </c>
      <c r="H96" s="203" t="str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/>
      </c>
      <c r="I96" s="203" t="str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/>
      </c>
      <c r="J96" s="203" t="str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/>
      </c>
      <c r="K96" s="203" t="str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/>
      </c>
      <c r="L96" s="203" t="str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/>
      </c>
      <c r="M96" s="203" t="str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/>
      </c>
      <c r="N96" s="203" t="str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/>
      </c>
      <c r="O96" s="203" t="str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/>
      </c>
      <c r="P96" s="203" t="str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/>
      </c>
      <c r="Q96" s="203" t="str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/>
      </c>
      <c r="R96" s="203" t="str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/>
      </c>
      <c r="S96" s="203" t="str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/>
      </c>
      <c r="T96" s="203" t="str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/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86</v>
      </c>
      <c r="B97" s="203" t="s">
        <v>31</v>
      </c>
      <c r="C97" s="203" t="str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/>
      </c>
      <c r="D97" s="203" t="str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/>
      </c>
      <c r="E97" s="203" t="str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/>
      </c>
      <c r="F97" s="203" t="str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/>
      </c>
      <c r="G97" s="203" t="str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/>
      </c>
      <c r="H97" s="203" t="str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/>
      </c>
      <c r="I97" s="203" t="str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/>
      </c>
      <c r="J97" s="203" t="str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/>
      </c>
      <c r="K97" s="203" t="str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/>
      </c>
      <c r="L97" s="203" t="str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/>
      </c>
      <c r="M97" s="203" t="str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/>
      </c>
      <c r="N97" s="203" t="str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/>
      </c>
      <c r="O97" s="203" t="str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/>
      </c>
      <c r="P97" s="203" t="str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/>
      </c>
      <c r="Q97" s="203" t="str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/>
      </c>
      <c r="R97" s="203" t="str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/>
      </c>
      <c r="S97" s="203" t="str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/>
      </c>
      <c r="T97" s="203" t="str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/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192</v>
      </c>
      <c r="B98" s="203" t="s">
        <v>32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72</v>
      </c>
      <c r="B99" s="203" t="s">
        <v>32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139</v>
      </c>
      <c r="B100" s="203" t="s">
        <v>32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142</v>
      </c>
      <c r="B101" s="203" t="s">
        <v>32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145</v>
      </c>
      <c r="B102" s="203" t="s">
        <v>32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83</v>
      </c>
      <c r="B103" s="203" t="s">
        <v>32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193</v>
      </c>
      <c r="B104" s="203" t="s">
        <v>32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75</v>
      </c>
      <c r="B105" s="203" t="s">
        <v>32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148</v>
      </c>
      <c r="B106" s="203" t="s">
        <v>32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151</v>
      </c>
      <c r="B107" s="203" t="s">
        <v>32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154</v>
      </c>
      <c r="B108" s="203" t="s">
        <v>32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86</v>
      </c>
      <c r="B109" s="203" t="s">
        <v>32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192</v>
      </c>
      <c r="B110" s="203" t="s">
        <v>33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72</v>
      </c>
      <c r="B111" s="203" t="s">
        <v>33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139</v>
      </c>
      <c r="B112" s="203" t="s">
        <v>33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142</v>
      </c>
      <c r="B113" s="203" t="s">
        <v>33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145</v>
      </c>
      <c r="B114" s="203" t="s">
        <v>33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83</v>
      </c>
      <c r="B115" s="203" t="s">
        <v>33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193</v>
      </c>
      <c r="B116" s="203" t="s">
        <v>33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75</v>
      </c>
      <c r="B117" s="203" t="s">
        <v>33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148</v>
      </c>
      <c r="B118" s="203" t="s">
        <v>33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151</v>
      </c>
      <c r="B119" s="203" t="s">
        <v>33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154</v>
      </c>
      <c r="B120" s="203" t="s">
        <v>33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86</v>
      </c>
      <c r="B121" s="203" t="s">
        <v>33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4" width="3.7109375" style="70" customWidth="1"/>
    <col min="25" max="26" width="3.7109375" style="357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36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 t="s">
        <v>695</v>
      </c>
      <c r="R1" s="52">
        <v>12</v>
      </c>
      <c r="S1" s="52">
        <v>13</v>
      </c>
      <c r="T1" s="52">
        <v>14</v>
      </c>
      <c r="U1" s="52">
        <v>15</v>
      </c>
      <c r="V1" s="52">
        <v>16</v>
      </c>
      <c r="W1" s="140">
        <v>17</v>
      </c>
      <c r="X1" s="52">
        <v>18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96" t="s">
        <v>22</v>
      </c>
      <c r="AH1" s="497"/>
      <c r="AI1" s="487" t="s">
        <v>477</v>
      </c>
    </row>
    <row r="2" spans="1:35" ht="15" customHeight="1" x14ac:dyDescent="0.25">
      <c r="A2" s="4" t="s">
        <v>35</v>
      </c>
      <c r="E2" s="34" t="s">
        <v>23</v>
      </c>
      <c r="F2" s="367">
        <v>3</v>
      </c>
      <c r="G2" s="368">
        <v>3</v>
      </c>
      <c r="H2" s="368">
        <v>3</v>
      </c>
      <c r="I2" s="368">
        <v>3</v>
      </c>
      <c r="J2" s="368">
        <v>4</v>
      </c>
      <c r="K2" s="368">
        <v>3</v>
      </c>
      <c r="L2" s="368">
        <v>3</v>
      </c>
      <c r="M2" s="368">
        <v>3</v>
      </c>
      <c r="N2" s="368">
        <v>4</v>
      </c>
      <c r="O2" s="368">
        <v>4</v>
      </c>
      <c r="P2" s="368">
        <v>4</v>
      </c>
      <c r="Q2" s="368">
        <v>3</v>
      </c>
      <c r="R2" s="368">
        <v>3</v>
      </c>
      <c r="S2" s="368">
        <v>3</v>
      </c>
      <c r="T2" s="368">
        <v>3</v>
      </c>
      <c r="U2" s="368">
        <v>3</v>
      </c>
      <c r="V2" s="368">
        <v>3</v>
      </c>
      <c r="W2" s="369">
        <v>3</v>
      </c>
      <c r="X2" s="368">
        <v>3</v>
      </c>
      <c r="Y2" s="368" t="s">
        <v>53</v>
      </c>
      <c r="Z2" s="368" t="s">
        <v>53</v>
      </c>
      <c r="AA2" s="14" t="s">
        <v>53</v>
      </c>
      <c r="AB2" s="14" t="s">
        <v>53</v>
      </c>
      <c r="AC2" s="14" t="s">
        <v>53</v>
      </c>
      <c r="AD2" s="14" t="s">
        <v>53</v>
      </c>
      <c r="AE2" s="14" t="s">
        <v>53</v>
      </c>
      <c r="AF2" s="31" t="s">
        <v>53</v>
      </c>
      <c r="AG2" s="498">
        <v>61</v>
      </c>
      <c r="AH2" s="499"/>
      <c r="AI2" s="488"/>
    </row>
    <row r="3" spans="1:35" ht="15" customHeight="1" x14ac:dyDescent="0.25">
      <c r="A3" s="4" t="s">
        <v>35</v>
      </c>
      <c r="E3" s="13" t="s">
        <v>24</v>
      </c>
      <c r="F3" s="361">
        <v>3.6111111111111112</v>
      </c>
      <c r="G3" s="362">
        <v>3.6111111111111112</v>
      </c>
      <c r="H3" s="362">
        <v>4.333333333333333</v>
      </c>
      <c r="I3" s="362">
        <v>4.0555555555555554</v>
      </c>
      <c r="J3" s="362">
        <v>5.166666666666667</v>
      </c>
      <c r="K3" s="362">
        <v>3.9411764705882355</v>
      </c>
      <c r="L3" s="362">
        <v>3.9411764705882355</v>
      </c>
      <c r="M3" s="362">
        <v>3.4705882352941178</v>
      </c>
      <c r="N3" s="362">
        <v>5.2352941176470589</v>
      </c>
      <c r="O3" s="362">
        <v>5.2941176470588234</v>
      </c>
      <c r="P3" s="362">
        <v>6.0588235294117645</v>
      </c>
      <c r="Q3" s="362">
        <v>4.117647058823529</v>
      </c>
      <c r="R3" s="362">
        <v>3.5882352941176472</v>
      </c>
      <c r="S3" s="362">
        <v>3.8823529411764706</v>
      </c>
      <c r="T3" s="362">
        <v>3.8823529411764706</v>
      </c>
      <c r="U3" s="362">
        <v>3.2352941176470589</v>
      </c>
      <c r="V3" s="362">
        <v>3.8235294117647061</v>
      </c>
      <c r="W3" s="362">
        <v>3.5555555555555554</v>
      </c>
      <c r="X3" s="362">
        <v>3.8888888888888888</v>
      </c>
      <c r="Y3" s="362" t="s">
        <v>53</v>
      </c>
      <c r="Z3" s="362" t="s">
        <v>53</v>
      </c>
      <c r="AA3" s="36" t="s">
        <v>53</v>
      </c>
      <c r="AB3" s="36" t="s">
        <v>53</v>
      </c>
      <c r="AC3" s="36" t="s">
        <v>53</v>
      </c>
      <c r="AD3" s="36" t="s">
        <v>53</v>
      </c>
      <c r="AE3" s="36" t="s">
        <v>53</v>
      </c>
      <c r="AF3" s="36" t="s">
        <v>53</v>
      </c>
      <c r="AG3" s="500">
        <v>78.692810457516345</v>
      </c>
      <c r="AH3" s="501"/>
      <c r="AI3" s="488"/>
    </row>
    <row r="4" spans="1:35" ht="15" customHeight="1" x14ac:dyDescent="0.25">
      <c r="A4" s="4" t="s">
        <v>35</v>
      </c>
      <c r="B4" s="490" t="s">
        <v>693</v>
      </c>
      <c r="C4" s="491"/>
      <c r="E4" s="13" t="s">
        <v>47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 t="s">
        <v>53</v>
      </c>
      <c r="Z4" s="56" t="s">
        <v>53</v>
      </c>
      <c r="AA4" s="7" t="s">
        <v>53</v>
      </c>
      <c r="AB4" s="7" t="s">
        <v>53</v>
      </c>
      <c r="AC4" s="7" t="s">
        <v>53</v>
      </c>
      <c r="AD4" s="7" t="s">
        <v>53</v>
      </c>
      <c r="AE4" s="7" t="s">
        <v>53</v>
      </c>
      <c r="AF4" s="7" t="s">
        <v>53</v>
      </c>
      <c r="AG4" s="500">
        <v>0</v>
      </c>
      <c r="AH4" s="501"/>
      <c r="AI4" s="488"/>
    </row>
    <row r="5" spans="1:35" ht="15" customHeight="1" x14ac:dyDescent="0.25">
      <c r="A5" s="4" t="s">
        <v>35</v>
      </c>
      <c r="B5" s="490"/>
      <c r="C5" s="491"/>
      <c r="E5" s="13" t="s">
        <v>45</v>
      </c>
      <c r="F5" s="363">
        <v>3</v>
      </c>
      <c r="G5" s="56">
        <v>0</v>
      </c>
      <c r="H5" s="56">
        <v>1</v>
      </c>
      <c r="I5" s="56">
        <v>1</v>
      </c>
      <c r="J5" s="56">
        <v>0</v>
      </c>
      <c r="K5" s="56">
        <v>0</v>
      </c>
      <c r="L5" s="56">
        <v>1</v>
      </c>
      <c r="M5" s="56">
        <v>2</v>
      </c>
      <c r="N5" s="56">
        <v>0</v>
      </c>
      <c r="O5" s="56">
        <v>0</v>
      </c>
      <c r="P5" s="56">
        <v>0</v>
      </c>
      <c r="Q5" s="56">
        <v>0</v>
      </c>
      <c r="R5" s="56">
        <v>2</v>
      </c>
      <c r="S5" s="56">
        <v>0</v>
      </c>
      <c r="T5" s="56">
        <v>0</v>
      </c>
      <c r="U5" s="56">
        <v>1</v>
      </c>
      <c r="V5" s="56">
        <v>0</v>
      </c>
      <c r="W5" s="364">
        <v>7</v>
      </c>
      <c r="X5" s="56">
        <v>0</v>
      </c>
      <c r="Y5" s="56" t="s">
        <v>53</v>
      </c>
      <c r="Z5" s="56" t="s">
        <v>53</v>
      </c>
      <c r="AA5" s="56" t="s">
        <v>53</v>
      </c>
      <c r="AB5" s="56" t="s">
        <v>53</v>
      </c>
      <c r="AC5" s="56" t="s">
        <v>53</v>
      </c>
      <c r="AD5" s="56" t="s">
        <v>53</v>
      </c>
      <c r="AE5" s="56" t="s">
        <v>53</v>
      </c>
      <c r="AF5" s="57" t="s">
        <v>53</v>
      </c>
      <c r="AG5" s="500">
        <v>18</v>
      </c>
      <c r="AH5" s="501"/>
      <c r="AI5" s="488"/>
    </row>
    <row r="6" spans="1:35" ht="15" customHeight="1" x14ac:dyDescent="0.25">
      <c r="A6" s="4" t="s">
        <v>35</v>
      </c>
      <c r="B6" s="492" t="s">
        <v>694</v>
      </c>
      <c r="C6" s="493"/>
      <c r="E6" s="13" t="s">
        <v>27</v>
      </c>
      <c r="F6" s="363">
        <v>4</v>
      </c>
      <c r="G6" s="56">
        <v>6</v>
      </c>
      <c r="H6" s="56">
        <v>8</v>
      </c>
      <c r="I6" s="56">
        <v>6</v>
      </c>
      <c r="J6" s="56">
        <v>6</v>
      </c>
      <c r="K6" s="56">
        <v>8</v>
      </c>
      <c r="L6" s="56">
        <v>5</v>
      </c>
      <c r="M6" s="56">
        <v>8</v>
      </c>
      <c r="N6" s="56">
        <v>2</v>
      </c>
      <c r="O6" s="56">
        <v>7</v>
      </c>
      <c r="P6" s="56">
        <v>2</v>
      </c>
      <c r="Q6" s="56">
        <v>4</v>
      </c>
      <c r="R6" s="56">
        <v>7</v>
      </c>
      <c r="S6" s="56">
        <v>5</v>
      </c>
      <c r="T6" s="56">
        <v>7</v>
      </c>
      <c r="U6" s="56">
        <v>5</v>
      </c>
      <c r="V6" s="56">
        <v>9</v>
      </c>
      <c r="W6" s="364">
        <v>6</v>
      </c>
      <c r="X6" s="56">
        <v>10</v>
      </c>
      <c r="Y6" s="56" t="s">
        <v>53</v>
      </c>
      <c r="Z6" s="56" t="s">
        <v>53</v>
      </c>
      <c r="AA6" s="7" t="s">
        <v>53</v>
      </c>
      <c r="AB6" s="7" t="s">
        <v>53</v>
      </c>
      <c r="AC6" s="7" t="s">
        <v>53</v>
      </c>
      <c r="AD6" s="7" t="s">
        <v>53</v>
      </c>
      <c r="AE6" s="7" t="s">
        <v>53</v>
      </c>
      <c r="AF6" s="33" t="s">
        <v>53</v>
      </c>
      <c r="AG6" s="500">
        <v>115</v>
      </c>
      <c r="AH6" s="501"/>
      <c r="AI6" s="488"/>
    </row>
    <row r="7" spans="1:35" ht="15" customHeight="1" thickBot="1" x14ac:dyDescent="0.3">
      <c r="A7" s="4" t="s">
        <v>35</v>
      </c>
      <c r="B7" s="494"/>
      <c r="C7" s="495"/>
      <c r="E7" s="30" t="s">
        <v>46</v>
      </c>
      <c r="F7" s="365">
        <v>4</v>
      </c>
      <c r="G7" s="370">
        <v>2</v>
      </c>
      <c r="H7" s="370">
        <v>7</v>
      </c>
      <c r="I7" s="370">
        <v>5</v>
      </c>
      <c r="J7" s="370">
        <v>6</v>
      </c>
      <c r="K7" s="370">
        <v>4</v>
      </c>
      <c r="L7" s="370">
        <v>5</v>
      </c>
      <c r="M7" s="370">
        <v>1</v>
      </c>
      <c r="N7" s="370">
        <v>8</v>
      </c>
      <c r="O7" s="370">
        <v>6</v>
      </c>
      <c r="P7" s="370">
        <v>12</v>
      </c>
      <c r="Q7" s="370">
        <v>6</v>
      </c>
      <c r="R7" s="370">
        <v>2</v>
      </c>
      <c r="S7" s="370">
        <v>5</v>
      </c>
      <c r="T7" s="370">
        <v>4</v>
      </c>
      <c r="U7" s="370">
        <v>0</v>
      </c>
      <c r="V7" s="370">
        <v>2</v>
      </c>
      <c r="W7" s="371">
        <v>4</v>
      </c>
      <c r="X7" s="370">
        <v>3</v>
      </c>
      <c r="Y7" s="370" t="s">
        <v>53</v>
      </c>
      <c r="Z7" s="370" t="s">
        <v>53</v>
      </c>
      <c r="AA7" s="18" t="s">
        <v>53</v>
      </c>
      <c r="AB7" s="18" t="s">
        <v>53</v>
      </c>
      <c r="AC7" s="18" t="s">
        <v>53</v>
      </c>
      <c r="AD7" s="18" t="s">
        <v>53</v>
      </c>
      <c r="AE7" s="18" t="s">
        <v>53</v>
      </c>
      <c r="AF7" s="19" t="s">
        <v>53</v>
      </c>
      <c r="AG7" s="502">
        <v>86</v>
      </c>
      <c r="AH7" s="503"/>
      <c r="AI7" s="489"/>
    </row>
    <row r="8" spans="1:35" ht="15" customHeight="1" thickBot="1" x14ac:dyDescent="0.3">
      <c r="A8" s="4" t="s">
        <v>35</v>
      </c>
      <c r="B8" s="20" t="s">
        <v>56</v>
      </c>
      <c r="C8" s="21" t="s">
        <v>48</v>
      </c>
      <c r="D8" s="22"/>
      <c r="E8" s="29" t="s">
        <v>34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8">
        <v>1</v>
      </c>
      <c r="B9" s="481">
        <v>1</v>
      </c>
      <c r="C9" s="484" t="s">
        <v>705</v>
      </c>
      <c r="D9" s="23" t="s">
        <v>705</v>
      </c>
      <c r="E9" s="24" t="s">
        <v>29</v>
      </c>
      <c r="F9" s="358">
        <v>4</v>
      </c>
      <c r="G9" s="222">
        <v>3</v>
      </c>
      <c r="H9" s="236">
        <v>4</v>
      </c>
      <c r="I9" s="236">
        <v>4</v>
      </c>
      <c r="J9" s="222">
        <v>4</v>
      </c>
      <c r="K9" s="222">
        <v>3</v>
      </c>
      <c r="L9" s="222">
        <v>3</v>
      </c>
      <c r="M9" s="222">
        <v>3</v>
      </c>
      <c r="N9" s="222">
        <v>4</v>
      </c>
      <c r="O9" s="222">
        <v>4</v>
      </c>
      <c r="P9" s="222">
        <v>4</v>
      </c>
      <c r="Q9" s="222">
        <v>3</v>
      </c>
      <c r="R9" s="222">
        <v>3</v>
      </c>
      <c r="S9" s="236">
        <v>4</v>
      </c>
      <c r="T9" s="222">
        <v>3</v>
      </c>
      <c r="U9" s="241">
        <v>2</v>
      </c>
      <c r="V9" s="222">
        <v>3</v>
      </c>
      <c r="W9" s="387">
        <v>2</v>
      </c>
      <c r="X9" s="222">
        <v>3</v>
      </c>
      <c r="Y9" s="226"/>
      <c r="Z9" s="226"/>
      <c r="AA9" s="226"/>
      <c r="AB9" s="226"/>
      <c r="AC9" s="226"/>
      <c r="AD9" s="226"/>
      <c r="AE9" s="226"/>
      <c r="AF9" s="227"/>
      <c r="AG9" s="188">
        <v>63</v>
      </c>
      <c r="AH9" s="189">
        <v>63</v>
      </c>
      <c r="AI9" s="189">
        <v>1</v>
      </c>
    </row>
    <row r="10" spans="1:35" ht="15" customHeight="1" thickBot="1" x14ac:dyDescent="0.3">
      <c r="A10" s="479"/>
      <c r="B10" s="482"/>
      <c r="C10" s="485"/>
      <c r="D10" s="25" t="s">
        <v>705</v>
      </c>
      <c r="E10" s="26" t="s">
        <v>30</v>
      </c>
      <c r="F10" s="224">
        <v>3</v>
      </c>
      <c r="G10" s="225">
        <v>3</v>
      </c>
      <c r="H10" s="237">
        <v>4</v>
      </c>
      <c r="I10" s="225">
        <v>3</v>
      </c>
      <c r="J10" s="225">
        <v>4</v>
      </c>
      <c r="K10" s="237">
        <v>4</v>
      </c>
      <c r="L10" s="225">
        <v>3</v>
      </c>
      <c r="M10" s="225">
        <v>3</v>
      </c>
      <c r="N10" s="237">
        <v>5</v>
      </c>
      <c r="O10" s="225">
        <v>4</v>
      </c>
      <c r="P10" s="239">
        <v>6</v>
      </c>
      <c r="Q10" s="225">
        <v>3</v>
      </c>
      <c r="R10" s="225">
        <v>3</v>
      </c>
      <c r="S10" s="225">
        <v>3</v>
      </c>
      <c r="T10" s="237">
        <v>4</v>
      </c>
      <c r="U10" s="225">
        <v>3</v>
      </c>
      <c r="V10" s="225">
        <v>3</v>
      </c>
      <c r="W10" s="378">
        <v>4</v>
      </c>
      <c r="X10" s="225">
        <v>3</v>
      </c>
      <c r="Y10" s="228"/>
      <c r="Z10" s="228"/>
      <c r="AA10" s="228"/>
      <c r="AB10" s="228"/>
      <c r="AC10" s="228"/>
      <c r="AD10" s="228"/>
      <c r="AE10" s="228"/>
      <c r="AF10" s="229"/>
      <c r="AG10" s="190">
        <v>68</v>
      </c>
      <c r="AH10" s="191">
        <v>131</v>
      </c>
      <c r="AI10" s="191">
        <v>1</v>
      </c>
    </row>
    <row r="11" spans="1:35" ht="15" hidden="1" customHeight="1" x14ac:dyDescent="0.25">
      <c r="A11" s="479"/>
      <c r="B11" s="482"/>
      <c r="C11" s="485"/>
      <c r="D11" s="25" t="s">
        <v>705</v>
      </c>
      <c r="E11" s="26" t="s">
        <v>31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2"/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0</v>
      </c>
      <c r="AH11" s="191">
        <v>131</v>
      </c>
      <c r="AI11" s="191">
        <v>1</v>
      </c>
    </row>
    <row r="12" spans="1:35" ht="15.75" hidden="1" customHeight="1" x14ac:dyDescent="0.25">
      <c r="A12" s="479"/>
      <c r="B12" s="482"/>
      <c r="C12" s="485"/>
      <c r="D12" s="25" t="s">
        <v>705</v>
      </c>
      <c r="E12" s="26" t="s">
        <v>32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0</v>
      </c>
      <c r="AH12" s="191">
        <v>131</v>
      </c>
      <c r="AI12" s="191">
        <v>1</v>
      </c>
    </row>
    <row r="13" spans="1:35" ht="15.75" hidden="1" customHeight="1" thickBot="1" x14ac:dyDescent="0.3">
      <c r="A13" s="480"/>
      <c r="B13" s="483"/>
      <c r="C13" s="486"/>
      <c r="D13" s="27" t="s">
        <v>705</v>
      </c>
      <c r="E13" s="28" t="s">
        <v>33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131</v>
      </c>
      <c r="AI13" s="193">
        <v>1</v>
      </c>
    </row>
    <row r="14" spans="1:35" ht="15" customHeight="1" x14ac:dyDescent="0.25">
      <c r="A14" s="478">
        <v>2</v>
      </c>
      <c r="B14" s="481">
        <v>2</v>
      </c>
      <c r="C14" s="484" t="s">
        <v>207</v>
      </c>
      <c r="D14" s="23" t="s">
        <v>207</v>
      </c>
      <c r="E14" s="24" t="s">
        <v>29</v>
      </c>
      <c r="F14" s="223">
        <v>3</v>
      </c>
      <c r="G14" s="222">
        <v>3</v>
      </c>
      <c r="H14" s="238">
        <v>5</v>
      </c>
      <c r="I14" s="236">
        <v>4</v>
      </c>
      <c r="J14" s="238">
        <v>6</v>
      </c>
      <c r="K14" s="236">
        <v>4</v>
      </c>
      <c r="L14" s="241">
        <v>2</v>
      </c>
      <c r="M14" s="236">
        <v>4</v>
      </c>
      <c r="N14" s="222">
        <v>4</v>
      </c>
      <c r="O14" s="222">
        <v>4</v>
      </c>
      <c r="P14" s="238">
        <v>6</v>
      </c>
      <c r="Q14" s="236">
        <v>4</v>
      </c>
      <c r="R14" s="241">
        <v>2</v>
      </c>
      <c r="S14" s="222">
        <v>3</v>
      </c>
      <c r="T14" s="222">
        <v>3</v>
      </c>
      <c r="U14" s="222">
        <v>3</v>
      </c>
      <c r="V14" s="222">
        <v>3</v>
      </c>
      <c r="W14" s="387">
        <v>2</v>
      </c>
      <c r="X14" s="236">
        <v>4</v>
      </c>
      <c r="Y14" s="226"/>
      <c r="Z14" s="226"/>
      <c r="AA14" s="226"/>
      <c r="AB14" s="226"/>
      <c r="AC14" s="226"/>
      <c r="AD14" s="226"/>
      <c r="AE14" s="226"/>
      <c r="AF14" s="227"/>
      <c r="AG14" s="188">
        <v>69</v>
      </c>
      <c r="AH14" s="189">
        <v>69</v>
      </c>
      <c r="AI14" s="189">
        <v>3</v>
      </c>
    </row>
    <row r="15" spans="1:35" ht="15" customHeight="1" thickBot="1" x14ac:dyDescent="0.3">
      <c r="A15" s="479"/>
      <c r="B15" s="482"/>
      <c r="C15" s="485"/>
      <c r="D15" s="25" t="s">
        <v>207</v>
      </c>
      <c r="E15" s="26" t="s">
        <v>30</v>
      </c>
      <c r="F15" s="224">
        <v>3</v>
      </c>
      <c r="G15" s="225">
        <v>3</v>
      </c>
      <c r="H15" s="237">
        <v>4</v>
      </c>
      <c r="I15" s="239">
        <v>5</v>
      </c>
      <c r="J15" s="225">
        <v>4</v>
      </c>
      <c r="K15" s="225">
        <v>3</v>
      </c>
      <c r="L15" s="237">
        <v>4</v>
      </c>
      <c r="M15" s="225">
        <v>3</v>
      </c>
      <c r="N15" s="225">
        <v>4</v>
      </c>
      <c r="O15" s="225">
        <v>4</v>
      </c>
      <c r="P15" s="225">
        <v>4</v>
      </c>
      <c r="Q15" s="225">
        <v>3</v>
      </c>
      <c r="R15" s="225">
        <v>3</v>
      </c>
      <c r="S15" s="225">
        <v>3</v>
      </c>
      <c r="T15" s="237">
        <v>4</v>
      </c>
      <c r="U15" s="225">
        <v>3</v>
      </c>
      <c r="V15" s="225">
        <v>3</v>
      </c>
      <c r="W15" s="380">
        <v>2</v>
      </c>
      <c r="X15" s="239">
        <v>5</v>
      </c>
      <c r="Y15" s="228"/>
      <c r="Z15" s="228"/>
      <c r="AA15" s="228"/>
      <c r="AB15" s="228"/>
      <c r="AC15" s="228"/>
      <c r="AD15" s="228"/>
      <c r="AE15" s="228"/>
      <c r="AF15" s="229"/>
      <c r="AG15" s="190">
        <v>67</v>
      </c>
      <c r="AH15" s="191">
        <v>136</v>
      </c>
      <c r="AI15" s="191">
        <v>2</v>
      </c>
    </row>
    <row r="16" spans="1:35" ht="15" hidden="1" customHeight="1" x14ac:dyDescent="0.25">
      <c r="A16" s="479"/>
      <c r="B16" s="482"/>
      <c r="C16" s="485"/>
      <c r="D16" s="25" t="s">
        <v>207</v>
      </c>
      <c r="E16" s="26" t="s">
        <v>31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2"/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0</v>
      </c>
      <c r="AH16" s="191">
        <v>136</v>
      </c>
      <c r="AI16" s="191">
        <v>2</v>
      </c>
    </row>
    <row r="17" spans="1:38" ht="15.75" hidden="1" customHeight="1" x14ac:dyDescent="0.25">
      <c r="A17" s="479"/>
      <c r="B17" s="482"/>
      <c r="C17" s="485"/>
      <c r="D17" s="25" t="s">
        <v>207</v>
      </c>
      <c r="E17" s="26" t="s">
        <v>32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0</v>
      </c>
      <c r="AH17" s="191">
        <v>136</v>
      </c>
      <c r="AI17" s="191">
        <v>2</v>
      </c>
    </row>
    <row r="18" spans="1:38" ht="15.75" hidden="1" customHeight="1" thickBot="1" x14ac:dyDescent="0.3">
      <c r="A18" s="480"/>
      <c r="B18" s="483"/>
      <c r="C18" s="486"/>
      <c r="D18" s="27" t="s">
        <v>207</v>
      </c>
      <c r="E18" s="28" t="s">
        <v>33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136</v>
      </c>
      <c r="AI18" s="193">
        <v>2</v>
      </c>
    </row>
    <row r="19" spans="1:38" ht="15" customHeight="1" x14ac:dyDescent="0.25">
      <c r="A19" s="478">
        <v>3</v>
      </c>
      <c r="B19" s="481">
        <v>3</v>
      </c>
      <c r="C19" s="484" t="s">
        <v>420</v>
      </c>
      <c r="D19" s="23" t="s">
        <v>420</v>
      </c>
      <c r="E19" s="24" t="s">
        <v>29</v>
      </c>
      <c r="F19" s="245">
        <v>2</v>
      </c>
      <c r="G19" s="222">
        <v>3</v>
      </c>
      <c r="H19" s="236">
        <v>4</v>
      </c>
      <c r="I19" s="236">
        <v>4</v>
      </c>
      <c r="J19" s="236">
        <v>5</v>
      </c>
      <c r="K19" s="222">
        <v>3</v>
      </c>
      <c r="L19" s="236">
        <v>4</v>
      </c>
      <c r="M19" s="222">
        <v>3</v>
      </c>
      <c r="N19" s="222">
        <v>4</v>
      </c>
      <c r="O19" s="236">
        <v>5</v>
      </c>
      <c r="P19" s="222">
        <v>4</v>
      </c>
      <c r="Q19" s="222">
        <v>3</v>
      </c>
      <c r="R19" s="236">
        <v>4</v>
      </c>
      <c r="S19" s="222">
        <v>3</v>
      </c>
      <c r="T19" s="222">
        <v>3</v>
      </c>
      <c r="U19" s="222">
        <v>3</v>
      </c>
      <c r="V19" s="222">
        <v>3</v>
      </c>
      <c r="W19" s="387">
        <v>2</v>
      </c>
      <c r="X19" s="222">
        <v>3</v>
      </c>
      <c r="Y19" s="226"/>
      <c r="Z19" s="226"/>
      <c r="AA19" s="226"/>
      <c r="AB19" s="226"/>
      <c r="AC19" s="226"/>
      <c r="AD19" s="226"/>
      <c r="AE19" s="226"/>
      <c r="AF19" s="227"/>
      <c r="AG19" s="188">
        <v>65</v>
      </c>
      <c r="AH19" s="189">
        <v>65</v>
      </c>
      <c r="AI19" s="189">
        <v>2</v>
      </c>
      <c r="AL19" s="202"/>
    </row>
    <row r="20" spans="1:38" ht="15" customHeight="1" thickBot="1" x14ac:dyDescent="0.3">
      <c r="A20" s="479"/>
      <c r="B20" s="482"/>
      <c r="C20" s="485"/>
      <c r="D20" s="25" t="s">
        <v>420</v>
      </c>
      <c r="E20" s="26" t="s">
        <v>30</v>
      </c>
      <c r="F20" s="359">
        <v>4</v>
      </c>
      <c r="G20" s="225">
        <v>3</v>
      </c>
      <c r="H20" s="239">
        <v>5</v>
      </c>
      <c r="I20" s="225">
        <v>3</v>
      </c>
      <c r="J20" s="237">
        <v>5</v>
      </c>
      <c r="K20" s="237">
        <v>4</v>
      </c>
      <c r="L20" s="239">
        <v>5</v>
      </c>
      <c r="M20" s="225">
        <v>3</v>
      </c>
      <c r="N20" s="225">
        <v>4</v>
      </c>
      <c r="O20" s="239">
        <v>6</v>
      </c>
      <c r="P20" s="239">
        <v>7</v>
      </c>
      <c r="Q20" s="225">
        <v>3</v>
      </c>
      <c r="R20" s="237">
        <v>4</v>
      </c>
      <c r="S20" s="225">
        <v>3</v>
      </c>
      <c r="T20" s="237">
        <v>4</v>
      </c>
      <c r="U20" s="225">
        <v>3</v>
      </c>
      <c r="V20" s="237">
        <v>4</v>
      </c>
      <c r="W20" s="378">
        <v>4</v>
      </c>
      <c r="X20" s="237">
        <v>4</v>
      </c>
      <c r="Y20" s="228"/>
      <c r="Z20" s="228"/>
      <c r="AA20" s="228"/>
      <c r="AB20" s="228"/>
      <c r="AC20" s="228"/>
      <c r="AD20" s="228"/>
      <c r="AE20" s="228"/>
      <c r="AF20" s="229"/>
      <c r="AG20" s="190">
        <v>78</v>
      </c>
      <c r="AH20" s="191">
        <v>143</v>
      </c>
      <c r="AI20" s="191">
        <v>3</v>
      </c>
    </row>
    <row r="21" spans="1:38" ht="15" hidden="1" customHeight="1" x14ac:dyDescent="0.25">
      <c r="A21" s="479"/>
      <c r="B21" s="482"/>
      <c r="C21" s="485"/>
      <c r="D21" s="25" t="s">
        <v>420</v>
      </c>
      <c r="E21" s="26" t="s">
        <v>31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2"/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0</v>
      </c>
      <c r="AH21" s="191">
        <v>143</v>
      </c>
      <c r="AI21" s="191">
        <v>3</v>
      </c>
    </row>
    <row r="22" spans="1:38" ht="15.75" hidden="1" customHeight="1" x14ac:dyDescent="0.25">
      <c r="A22" s="479"/>
      <c r="B22" s="482"/>
      <c r="C22" s="485"/>
      <c r="D22" s="25" t="s">
        <v>420</v>
      </c>
      <c r="E22" s="26" t="s">
        <v>32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0</v>
      </c>
      <c r="AH22" s="191">
        <v>143</v>
      </c>
      <c r="AI22" s="191">
        <v>3</v>
      </c>
    </row>
    <row r="23" spans="1:38" ht="15.75" hidden="1" customHeight="1" thickBot="1" x14ac:dyDescent="0.3">
      <c r="A23" s="480"/>
      <c r="B23" s="483"/>
      <c r="C23" s="486"/>
      <c r="D23" s="27" t="s">
        <v>420</v>
      </c>
      <c r="E23" s="28" t="s">
        <v>33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143</v>
      </c>
      <c r="AI23" s="193">
        <v>3</v>
      </c>
    </row>
    <row r="24" spans="1:38" ht="15" customHeight="1" x14ac:dyDescent="0.25">
      <c r="A24" s="478">
        <v>4</v>
      </c>
      <c r="B24" s="481">
        <v>4</v>
      </c>
      <c r="C24" s="484" t="s">
        <v>212</v>
      </c>
      <c r="D24" s="23" t="s">
        <v>212</v>
      </c>
      <c r="E24" s="24" t="s">
        <v>29</v>
      </c>
      <c r="F24" s="245">
        <v>2</v>
      </c>
      <c r="G24" s="222">
        <v>3</v>
      </c>
      <c r="H24" s="222">
        <v>3</v>
      </c>
      <c r="I24" s="236">
        <v>4</v>
      </c>
      <c r="J24" s="222">
        <v>4</v>
      </c>
      <c r="K24" s="236">
        <v>4</v>
      </c>
      <c r="L24" s="222">
        <v>3</v>
      </c>
      <c r="M24" s="236">
        <v>4</v>
      </c>
      <c r="N24" s="222">
        <v>4</v>
      </c>
      <c r="O24" s="236">
        <v>5</v>
      </c>
      <c r="P24" s="238">
        <v>6</v>
      </c>
      <c r="Q24" s="222">
        <v>3</v>
      </c>
      <c r="R24" s="236">
        <v>4</v>
      </c>
      <c r="S24" s="236">
        <v>4</v>
      </c>
      <c r="T24" s="236">
        <v>4</v>
      </c>
      <c r="U24" s="222">
        <v>3</v>
      </c>
      <c r="V24" s="236">
        <v>4</v>
      </c>
      <c r="W24" s="387">
        <v>2</v>
      </c>
      <c r="X24" s="236">
        <v>4</v>
      </c>
      <c r="Y24" s="226"/>
      <c r="Z24" s="226"/>
      <c r="AA24" s="226"/>
      <c r="AB24" s="226"/>
      <c r="AC24" s="226"/>
      <c r="AD24" s="226"/>
      <c r="AE24" s="226"/>
      <c r="AF24" s="227"/>
      <c r="AG24" s="188">
        <v>70</v>
      </c>
      <c r="AH24" s="189">
        <v>70</v>
      </c>
      <c r="AI24" s="189">
        <v>4</v>
      </c>
    </row>
    <row r="25" spans="1:38" ht="15" customHeight="1" thickBot="1" x14ac:dyDescent="0.3">
      <c r="A25" s="479"/>
      <c r="B25" s="482"/>
      <c r="C25" s="485"/>
      <c r="D25" s="25" t="s">
        <v>212</v>
      </c>
      <c r="E25" s="26" t="s">
        <v>30</v>
      </c>
      <c r="F25" s="360">
        <v>5</v>
      </c>
      <c r="G25" s="225">
        <v>3</v>
      </c>
      <c r="H25" s="237">
        <v>4</v>
      </c>
      <c r="I25" s="225">
        <v>3</v>
      </c>
      <c r="J25" s="225">
        <v>4</v>
      </c>
      <c r="K25" s="225">
        <v>3</v>
      </c>
      <c r="L25" s="225">
        <v>3</v>
      </c>
      <c r="M25" s="237">
        <v>4</v>
      </c>
      <c r="N25" s="239">
        <v>6</v>
      </c>
      <c r="O25" s="237">
        <v>5</v>
      </c>
      <c r="P25" s="239">
        <v>7</v>
      </c>
      <c r="Q25" s="239">
        <v>5</v>
      </c>
      <c r="R25" s="239">
        <v>6</v>
      </c>
      <c r="S25" s="237">
        <v>4</v>
      </c>
      <c r="T25" s="225">
        <v>3</v>
      </c>
      <c r="U25" s="225">
        <v>3</v>
      </c>
      <c r="V25" s="237">
        <v>4</v>
      </c>
      <c r="W25" s="378">
        <v>4</v>
      </c>
      <c r="X25" s="225">
        <v>3</v>
      </c>
      <c r="Y25" s="228"/>
      <c r="Z25" s="228"/>
      <c r="AA25" s="228"/>
      <c r="AB25" s="228"/>
      <c r="AC25" s="228"/>
      <c r="AD25" s="228"/>
      <c r="AE25" s="228"/>
      <c r="AF25" s="229"/>
      <c r="AG25" s="190">
        <v>79</v>
      </c>
      <c r="AH25" s="191">
        <v>149</v>
      </c>
      <c r="AI25" s="191">
        <v>4</v>
      </c>
    </row>
    <row r="26" spans="1:38" ht="15" hidden="1" customHeight="1" x14ac:dyDescent="0.25">
      <c r="A26" s="479"/>
      <c r="B26" s="482"/>
      <c r="C26" s="485"/>
      <c r="D26" s="25" t="s">
        <v>212</v>
      </c>
      <c r="E26" s="26" t="s">
        <v>31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2"/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0</v>
      </c>
      <c r="AH26" s="191">
        <v>149</v>
      </c>
      <c r="AI26" s="191">
        <v>4</v>
      </c>
    </row>
    <row r="27" spans="1:38" ht="15.75" hidden="1" customHeight="1" x14ac:dyDescent="0.25">
      <c r="A27" s="479"/>
      <c r="B27" s="482"/>
      <c r="C27" s="485"/>
      <c r="D27" s="25" t="s">
        <v>212</v>
      </c>
      <c r="E27" s="26" t="s">
        <v>32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149</v>
      </c>
      <c r="AI27" s="191">
        <v>4</v>
      </c>
    </row>
    <row r="28" spans="1:38" ht="15.75" hidden="1" customHeight="1" thickBot="1" x14ac:dyDescent="0.3">
      <c r="A28" s="480"/>
      <c r="B28" s="483"/>
      <c r="C28" s="486"/>
      <c r="D28" s="27" t="s">
        <v>212</v>
      </c>
      <c r="E28" s="28" t="s">
        <v>33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149</v>
      </c>
      <c r="AI28" s="193">
        <v>4</v>
      </c>
    </row>
    <row r="29" spans="1:38" ht="15" customHeight="1" x14ac:dyDescent="0.25">
      <c r="A29" s="478">
        <v>5</v>
      </c>
      <c r="B29" s="481">
        <v>5</v>
      </c>
      <c r="C29" s="484" t="s">
        <v>716</v>
      </c>
      <c r="D29" s="23" t="s">
        <v>716</v>
      </c>
      <c r="E29" s="24" t="s">
        <v>29</v>
      </c>
      <c r="F29" s="358">
        <v>4</v>
      </c>
      <c r="G29" s="236">
        <v>4</v>
      </c>
      <c r="H29" s="236">
        <v>4</v>
      </c>
      <c r="I29" s="241">
        <v>2</v>
      </c>
      <c r="J29" s="236">
        <v>5</v>
      </c>
      <c r="K29" s="236">
        <v>4</v>
      </c>
      <c r="L29" s="222">
        <v>3</v>
      </c>
      <c r="M29" s="236">
        <v>4</v>
      </c>
      <c r="N29" s="238">
        <v>6</v>
      </c>
      <c r="O29" s="236">
        <v>5</v>
      </c>
      <c r="P29" s="236">
        <v>5</v>
      </c>
      <c r="Q29" s="236">
        <v>4</v>
      </c>
      <c r="R29" s="241">
        <v>2</v>
      </c>
      <c r="S29" s="238">
        <v>5</v>
      </c>
      <c r="T29" s="238">
        <v>5</v>
      </c>
      <c r="U29" s="236">
        <v>4</v>
      </c>
      <c r="V29" s="236">
        <v>4</v>
      </c>
      <c r="W29" s="382">
        <v>6</v>
      </c>
      <c r="X29" s="236">
        <v>4</v>
      </c>
      <c r="Y29" s="226"/>
      <c r="Z29" s="226"/>
      <c r="AA29" s="226"/>
      <c r="AB29" s="226"/>
      <c r="AC29" s="226"/>
      <c r="AD29" s="226"/>
      <c r="AE29" s="226"/>
      <c r="AF29" s="227"/>
      <c r="AG29" s="188">
        <v>80</v>
      </c>
      <c r="AH29" s="189">
        <v>80</v>
      </c>
      <c r="AI29" s="189">
        <v>7</v>
      </c>
    </row>
    <row r="30" spans="1:38" ht="15" customHeight="1" thickBot="1" x14ac:dyDescent="0.3">
      <c r="A30" s="479"/>
      <c r="B30" s="482"/>
      <c r="C30" s="485"/>
      <c r="D30" s="25" t="s">
        <v>716</v>
      </c>
      <c r="E30" s="26" t="s">
        <v>30</v>
      </c>
      <c r="F30" s="224">
        <v>3</v>
      </c>
      <c r="G30" s="225">
        <v>3</v>
      </c>
      <c r="H30" s="235">
        <v>2</v>
      </c>
      <c r="I30" s="225">
        <v>3</v>
      </c>
      <c r="J30" s="239">
        <v>6</v>
      </c>
      <c r="K30" s="237">
        <v>4</v>
      </c>
      <c r="L30" s="239">
        <v>5</v>
      </c>
      <c r="M30" s="235">
        <v>2</v>
      </c>
      <c r="N30" s="239">
        <v>6</v>
      </c>
      <c r="O30" s="237">
        <v>5</v>
      </c>
      <c r="P30" s="237">
        <v>5</v>
      </c>
      <c r="Q30" s="225">
        <v>3</v>
      </c>
      <c r="R30" s="225">
        <v>3</v>
      </c>
      <c r="S30" s="225">
        <v>3</v>
      </c>
      <c r="T30" s="225">
        <v>3</v>
      </c>
      <c r="U30" s="225">
        <v>3</v>
      </c>
      <c r="V30" s="225">
        <v>3</v>
      </c>
      <c r="W30" s="379">
        <v>6</v>
      </c>
      <c r="X30" s="237">
        <v>4</v>
      </c>
      <c r="Y30" s="228"/>
      <c r="Z30" s="228"/>
      <c r="AA30" s="228"/>
      <c r="AB30" s="228"/>
      <c r="AC30" s="228"/>
      <c r="AD30" s="228"/>
      <c r="AE30" s="228"/>
      <c r="AF30" s="229"/>
      <c r="AG30" s="190">
        <v>72</v>
      </c>
      <c r="AH30" s="191">
        <v>152</v>
      </c>
      <c r="AI30" s="191">
        <v>5</v>
      </c>
    </row>
    <row r="31" spans="1:38" ht="15" hidden="1" customHeight="1" x14ac:dyDescent="0.25">
      <c r="A31" s="479"/>
      <c r="B31" s="482"/>
      <c r="C31" s="485"/>
      <c r="D31" s="25" t="s">
        <v>716</v>
      </c>
      <c r="E31" s="26" t="s">
        <v>31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2"/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0</v>
      </c>
      <c r="AH31" s="191">
        <v>152</v>
      </c>
      <c r="AI31" s="191">
        <v>5</v>
      </c>
    </row>
    <row r="32" spans="1:38" ht="15.75" hidden="1" customHeight="1" x14ac:dyDescent="0.25">
      <c r="A32" s="479"/>
      <c r="B32" s="482"/>
      <c r="C32" s="485"/>
      <c r="D32" s="25" t="s">
        <v>716</v>
      </c>
      <c r="E32" s="26" t="s">
        <v>32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152</v>
      </c>
      <c r="AI32" s="191">
        <v>5</v>
      </c>
    </row>
    <row r="33" spans="1:35" ht="15.75" hidden="1" customHeight="1" thickBot="1" x14ac:dyDescent="0.3">
      <c r="A33" s="480"/>
      <c r="B33" s="483"/>
      <c r="C33" s="486"/>
      <c r="D33" s="27" t="s">
        <v>716</v>
      </c>
      <c r="E33" s="28" t="s">
        <v>33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152</v>
      </c>
      <c r="AI33" s="193">
        <v>5</v>
      </c>
    </row>
    <row r="34" spans="1:35" ht="15" customHeight="1" x14ac:dyDescent="0.25">
      <c r="A34" s="478">
        <v>6</v>
      </c>
      <c r="B34" s="481">
        <v>6</v>
      </c>
      <c r="C34" s="484" t="s">
        <v>719</v>
      </c>
      <c r="D34" s="23" t="s">
        <v>719</v>
      </c>
      <c r="E34" s="24" t="s">
        <v>29</v>
      </c>
      <c r="F34" s="223">
        <v>3</v>
      </c>
      <c r="G34" s="236">
        <v>4</v>
      </c>
      <c r="H34" s="238">
        <v>5</v>
      </c>
      <c r="I34" s="238">
        <v>7</v>
      </c>
      <c r="J34" s="236">
        <v>5</v>
      </c>
      <c r="K34" s="238">
        <v>5</v>
      </c>
      <c r="L34" s="222">
        <v>3</v>
      </c>
      <c r="M34" s="222">
        <v>3</v>
      </c>
      <c r="N34" s="222">
        <v>4</v>
      </c>
      <c r="O34" s="238">
        <v>6</v>
      </c>
      <c r="P34" s="238">
        <v>6</v>
      </c>
      <c r="Q34" s="236">
        <v>4</v>
      </c>
      <c r="R34" s="222">
        <v>3</v>
      </c>
      <c r="S34" s="236">
        <v>4</v>
      </c>
      <c r="T34" s="222">
        <v>3</v>
      </c>
      <c r="U34" s="222">
        <v>3</v>
      </c>
      <c r="V34" s="236">
        <v>4</v>
      </c>
      <c r="W34" s="387">
        <v>2</v>
      </c>
      <c r="X34" s="236">
        <v>4</v>
      </c>
      <c r="Y34" s="226"/>
      <c r="Z34" s="226"/>
      <c r="AA34" s="226"/>
      <c r="AB34" s="226"/>
      <c r="AC34" s="226"/>
      <c r="AD34" s="226"/>
      <c r="AE34" s="226"/>
      <c r="AF34" s="227"/>
      <c r="AG34" s="188">
        <v>78</v>
      </c>
      <c r="AH34" s="189">
        <v>78</v>
      </c>
      <c r="AI34" s="189">
        <v>5</v>
      </c>
    </row>
    <row r="35" spans="1:35" ht="15" customHeight="1" thickBot="1" x14ac:dyDescent="0.3">
      <c r="A35" s="479"/>
      <c r="B35" s="482"/>
      <c r="C35" s="485"/>
      <c r="D35" s="25" t="s">
        <v>719</v>
      </c>
      <c r="E35" s="26" t="s">
        <v>30</v>
      </c>
      <c r="F35" s="224">
        <v>3</v>
      </c>
      <c r="G35" s="225">
        <v>3</v>
      </c>
      <c r="H35" s="239">
        <v>6</v>
      </c>
      <c r="I35" s="237">
        <v>4</v>
      </c>
      <c r="J35" s="237">
        <v>5</v>
      </c>
      <c r="K35" s="237">
        <v>4</v>
      </c>
      <c r="L35" s="239">
        <v>6</v>
      </c>
      <c r="M35" s="237">
        <v>4</v>
      </c>
      <c r="N35" s="239">
        <v>7</v>
      </c>
      <c r="O35" s="239">
        <v>6</v>
      </c>
      <c r="P35" s="239">
        <v>7</v>
      </c>
      <c r="Q35" s="239">
        <v>5</v>
      </c>
      <c r="R35" s="237">
        <v>4</v>
      </c>
      <c r="S35" s="225">
        <v>3</v>
      </c>
      <c r="T35" s="237">
        <v>4</v>
      </c>
      <c r="U35" s="225">
        <v>3</v>
      </c>
      <c r="V35" s="237">
        <v>4</v>
      </c>
      <c r="W35" s="378">
        <v>4</v>
      </c>
      <c r="X35" s="237">
        <v>4</v>
      </c>
      <c r="Y35" s="228"/>
      <c r="Z35" s="228"/>
      <c r="AA35" s="228"/>
      <c r="AB35" s="228"/>
      <c r="AC35" s="228"/>
      <c r="AD35" s="228"/>
      <c r="AE35" s="228"/>
      <c r="AF35" s="229"/>
      <c r="AG35" s="190">
        <v>86</v>
      </c>
      <c r="AH35" s="191">
        <v>164</v>
      </c>
      <c r="AI35" s="191">
        <v>6</v>
      </c>
    </row>
    <row r="36" spans="1:35" ht="15" hidden="1" customHeight="1" x14ac:dyDescent="0.25">
      <c r="A36" s="479"/>
      <c r="B36" s="482"/>
      <c r="C36" s="485"/>
      <c r="D36" s="25" t="s">
        <v>719</v>
      </c>
      <c r="E36" s="26" t="s">
        <v>31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2"/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0</v>
      </c>
      <c r="AH36" s="191">
        <v>164</v>
      </c>
      <c r="AI36" s="191">
        <v>6</v>
      </c>
    </row>
    <row r="37" spans="1:35" ht="15.75" hidden="1" customHeight="1" x14ac:dyDescent="0.25">
      <c r="A37" s="479"/>
      <c r="B37" s="482"/>
      <c r="C37" s="485"/>
      <c r="D37" s="25" t="s">
        <v>719</v>
      </c>
      <c r="E37" s="26" t="s">
        <v>32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164</v>
      </c>
      <c r="AI37" s="191">
        <v>6</v>
      </c>
    </row>
    <row r="38" spans="1:35" ht="15.75" hidden="1" customHeight="1" thickBot="1" x14ac:dyDescent="0.3">
      <c r="A38" s="480"/>
      <c r="B38" s="483"/>
      <c r="C38" s="486"/>
      <c r="D38" s="27" t="s">
        <v>719</v>
      </c>
      <c r="E38" s="28" t="s">
        <v>33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164</v>
      </c>
      <c r="AI38" s="193">
        <v>6</v>
      </c>
    </row>
    <row r="39" spans="1:35" ht="15" customHeight="1" x14ac:dyDescent="0.25">
      <c r="A39" s="478">
        <v>7</v>
      </c>
      <c r="B39" s="481">
        <v>7</v>
      </c>
      <c r="C39" s="484" t="s">
        <v>370</v>
      </c>
      <c r="D39" s="23" t="s">
        <v>370</v>
      </c>
      <c r="E39" s="24" t="s">
        <v>29</v>
      </c>
      <c r="F39" s="223">
        <v>3</v>
      </c>
      <c r="G39" s="236">
        <v>4</v>
      </c>
      <c r="H39" s="238">
        <v>5</v>
      </c>
      <c r="I39" s="222">
        <v>3</v>
      </c>
      <c r="J39" s="222">
        <v>4</v>
      </c>
      <c r="K39" s="238">
        <v>5</v>
      </c>
      <c r="L39" s="236">
        <v>4</v>
      </c>
      <c r="M39" s="241">
        <v>2</v>
      </c>
      <c r="N39" s="238">
        <v>6</v>
      </c>
      <c r="O39" s="236">
        <v>5</v>
      </c>
      <c r="P39" s="238">
        <v>7</v>
      </c>
      <c r="Q39" s="238">
        <v>5</v>
      </c>
      <c r="R39" s="236">
        <v>4</v>
      </c>
      <c r="S39" s="236">
        <v>4</v>
      </c>
      <c r="T39" s="238">
        <v>5</v>
      </c>
      <c r="U39" s="236">
        <v>4</v>
      </c>
      <c r="V39" s="236">
        <v>4</v>
      </c>
      <c r="W39" s="382">
        <v>5</v>
      </c>
      <c r="X39" s="236">
        <v>4</v>
      </c>
      <c r="Y39" s="226"/>
      <c r="Z39" s="226"/>
      <c r="AA39" s="226"/>
      <c r="AB39" s="226"/>
      <c r="AC39" s="226"/>
      <c r="AD39" s="226"/>
      <c r="AE39" s="226"/>
      <c r="AF39" s="227"/>
      <c r="AG39" s="188">
        <v>83</v>
      </c>
      <c r="AH39" s="189">
        <v>83</v>
      </c>
      <c r="AI39" s="189">
        <v>8</v>
      </c>
    </row>
    <row r="40" spans="1:35" ht="15" customHeight="1" thickBot="1" x14ac:dyDescent="0.3">
      <c r="A40" s="479"/>
      <c r="B40" s="482"/>
      <c r="C40" s="485"/>
      <c r="D40" s="25" t="s">
        <v>370</v>
      </c>
      <c r="E40" s="26" t="s">
        <v>30</v>
      </c>
      <c r="F40" s="240">
        <v>2</v>
      </c>
      <c r="G40" s="237">
        <v>4</v>
      </c>
      <c r="H40" s="237">
        <v>4</v>
      </c>
      <c r="I40" s="237">
        <v>4</v>
      </c>
      <c r="J40" s="239">
        <v>7</v>
      </c>
      <c r="K40" s="239">
        <v>5</v>
      </c>
      <c r="L40" s="239">
        <v>6</v>
      </c>
      <c r="M40" s="237">
        <v>4</v>
      </c>
      <c r="N40" s="239">
        <v>7</v>
      </c>
      <c r="O40" s="239">
        <v>7</v>
      </c>
      <c r="P40" s="239">
        <v>6</v>
      </c>
      <c r="Q40" s="237">
        <v>4</v>
      </c>
      <c r="R40" s="239">
        <v>5</v>
      </c>
      <c r="S40" s="239">
        <v>5</v>
      </c>
      <c r="T40" s="239">
        <v>5</v>
      </c>
      <c r="U40" s="237">
        <v>4</v>
      </c>
      <c r="V40" s="239">
        <v>5</v>
      </c>
      <c r="W40" s="379">
        <v>6</v>
      </c>
      <c r="X40" s="237">
        <v>4</v>
      </c>
      <c r="Y40" s="228"/>
      <c r="Z40" s="228"/>
      <c r="AA40" s="228"/>
      <c r="AB40" s="228"/>
      <c r="AC40" s="228"/>
      <c r="AD40" s="228"/>
      <c r="AE40" s="228"/>
      <c r="AF40" s="229"/>
      <c r="AG40" s="190">
        <v>94</v>
      </c>
      <c r="AH40" s="191">
        <v>177</v>
      </c>
      <c r="AI40" s="191">
        <v>7</v>
      </c>
    </row>
    <row r="41" spans="1:35" ht="15" hidden="1" customHeight="1" x14ac:dyDescent="0.25">
      <c r="A41" s="479"/>
      <c r="B41" s="482"/>
      <c r="C41" s="485"/>
      <c r="D41" s="25" t="s">
        <v>370</v>
      </c>
      <c r="E41" s="26" t="s">
        <v>31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2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177</v>
      </c>
      <c r="AI41" s="191">
        <v>7</v>
      </c>
    </row>
    <row r="42" spans="1:35" ht="15.75" hidden="1" customHeight="1" x14ac:dyDescent="0.25">
      <c r="A42" s="479"/>
      <c r="B42" s="482"/>
      <c r="C42" s="485"/>
      <c r="D42" s="25" t="s">
        <v>370</v>
      </c>
      <c r="E42" s="26" t="s">
        <v>32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177</v>
      </c>
      <c r="AI42" s="191">
        <v>7</v>
      </c>
    </row>
    <row r="43" spans="1:35" ht="15.75" hidden="1" customHeight="1" thickBot="1" x14ac:dyDescent="0.3">
      <c r="A43" s="480"/>
      <c r="B43" s="483"/>
      <c r="C43" s="486"/>
      <c r="D43" s="27" t="s">
        <v>370</v>
      </c>
      <c r="E43" s="28" t="s">
        <v>33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177</v>
      </c>
      <c r="AI43" s="193">
        <v>7</v>
      </c>
    </row>
    <row r="44" spans="1:35" ht="15" customHeight="1" x14ac:dyDescent="0.25">
      <c r="A44" s="478">
        <v>8</v>
      </c>
      <c r="B44" s="481">
        <v>8</v>
      </c>
      <c r="C44" s="484" t="s">
        <v>720</v>
      </c>
      <c r="D44" s="23" t="s">
        <v>720</v>
      </c>
      <c r="E44" s="24" t="s">
        <v>29</v>
      </c>
      <c r="F44" s="386">
        <v>6</v>
      </c>
      <c r="G44" s="238">
        <v>5</v>
      </c>
      <c r="H44" s="238">
        <v>5</v>
      </c>
      <c r="I44" s="238">
        <v>5</v>
      </c>
      <c r="J44" s="238">
        <v>6</v>
      </c>
      <c r="K44" s="236">
        <v>4</v>
      </c>
      <c r="L44" s="238">
        <v>5</v>
      </c>
      <c r="M44" s="236">
        <v>4</v>
      </c>
      <c r="N44" s="238">
        <v>7</v>
      </c>
      <c r="O44" s="238">
        <v>6</v>
      </c>
      <c r="P44" s="238">
        <v>7</v>
      </c>
      <c r="Q44" s="238">
        <v>6</v>
      </c>
      <c r="R44" s="236">
        <v>4</v>
      </c>
      <c r="S44" s="238">
        <v>5</v>
      </c>
      <c r="T44" s="236">
        <v>4</v>
      </c>
      <c r="U44" s="236">
        <v>4</v>
      </c>
      <c r="V44" s="236">
        <v>4</v>
      </c>
      <c r="W44" s="387">
        <v>2</v>
      </c>
      <c r="X44" s="238">
        <v>5</v>
      </c>
      <c r="Y44" s="226"/>
      <c r="Z44" s="226"/>
      <c r="AA44" s="226"/>
      <c r="AB44" s="226"/>
      <c r="AC44" s="226"/>
      <c r="AD44" s="226"/>
      <c r="AE44" s="226"/>
      <c r="AF44" s="227"/>
      <c r="AG44" s="188">
        <v>94</v>
      </c>
      <c r="AH44" s="189">
        <v>94</v>
      </c>
      <c r="AI44" s="189">
        <v>9</v>
      </c>
    </row>
    <row r="45" spans="1:35" ht="15" customHeight="1" thickBot="1" x14ac:dyDescent="0.3">
      <c r="A45" s="479"/>
      <c r="B45" s="482"/>
      <c r="C45" s="485"/>
      <c r="D45" s="25" t="s">
        <v>720</v>
      </c>
      <c r="E45" s="26" t="s">
        <v>30</v>
      </c>
      <c r="F45" s="360">
        <v>5</v>
      </c>
      <c r="G45" s="239">
        <v>6</v>
      </c>
      <c r="H45" s="239">
        <v>7</v>
      </c>
      <c r="I45" s="239">
        <v>6</v>
      </c>
      <c r="J45" s="239">
        <v>7</v>
      </c>
      <c r="K45" s="239">
        <v>5</v>
      </c>
      <c r="L45" s="237">
        <v>4</v>
      </c>
      <c r="M45" s="239">
        <v>5</v>
      </c>
      <c r="N45" s="239">
        <v>6</v>
      </c>
      <c r="O45" s="239">
        <v>8</v>
      </c>
      <c r="P45" s="239">
        <v>10</v>
      </c>
      <c r="Q45" s="239">
        <v>6</v>
      </c>
      <c r="R45" s="237">
        <v>4</v>
      </c>
      <c r="S45" s="239">
        <v>5</v>
      </c>
      <c r="T45" s="239">
        <v>5</v>
      </c>
      <c r="U45" s="237">
        <v>4</v>
      </c>
      <c r="V45" s="239">
        <v>6</v>
      </c>
      <c r="W45" s="377">
        <v>3</v>
      </c>
      <c r="X45" s="239">
        <v>5</v>
      </c>
      <c r="Y45" s="228"/>
      <c r="Z45" s="228"/>
      <c r="AA45" s="228"/>
      <c r="AB45" s="228"/>
      <c r="AC45" s="228"/>
      <c r="AD45" s="228"/>
      <c r="AE45" s="228"/>
      <c r="AF45" s="229"/>
      <c r="AG45" s="190">
        <v>107</v>
      </c>
      <c r="AH45" s="191">
        <v>201</v>
      </c>
      <c r="AI45" s="191">
        <v>8</v>
      </c>
    </row>
    <row r="46" spans="1:35" ht="15" hidden="1" customHeight="1" x14ac:dyDescent="0.25">
      <c r="A46" s="479"/>
      <c r="B46" s="482"/>
      <c r="C46" s="485"/>
      <c r="D46" s="25" t="s">
        <v>720</v>
      </c>
      <c r="E46" s="26" t="s">
        <v>31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2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201</v>
      </c>
      <c r="AI46" s="191">
        <v>8</v>
      </c>
    </row>
    <row r="47" spans="1:35" ht="15.75" hidden="1" customHeight="1" x14ac:dyDescent="0.25">
      <c r="A47" s="479"/>
      <c r="B47" s="482"/>
      <c r="C47" s="485"/>
      <c r="D47" s="25" t="s">
        <v>720</v>
      </c>
      <c r="E47" s="26" t="s">
        <v>32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201</v>
      </c>
      <c r="AI47" s="191">
        <v>8</v>
      </c>
    </row>
    <row r="48" spans="1:35" ht="15.75" hidden="1" customHeight="1" thickBot="1" x14ac:dyDescent="0.3">
      <c r="A48" s="480"/>
      <c r="B48" s="483"/>
      <c r="C48" s="486"/>
      <c r="D48" s="27" t="s">
        <v>720</v>
      </c>
      <c r="E48" s="28" t="s">
        <v>33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201</v>
      </c>
      <c r="AI48" s="193">
        <v>8</v>
      </c>
    </row>
    <row r="49" spans="1:35" ht="15" hidden="1" customHeight="1" x14ac:dyDescent="0.25">
      <c r="A49" s="478">
        <v>9</v>
      </c>
      <c r="B49" s="481" t="e">
        <v>#N/A</v>
      </c>
      <c r="C49" s="484" t="e">
        <v>#N/A</v>
      </c>
      <c r="D49" s="23" t="e">
        <v>#N/A</v>
      </c>
      <c r="E49" s="24" t="s">
        <v>29</v>
      </c>
      <c r="F49" s="243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4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thickBot="1" x14ac:dyDescent="0.3">
      <c r="A50" s="479"/>
      <c r="B50" s="482"/>
      <c r="C50" s="485"/>
      <c r="D50" s="25" t="e">
        <v>#N/A</v>
      </c>
      <c r="E50" s="26" t="s">
        <v>30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2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79"/>
      <c r="B51" s="482"/>
      <c r="C51" s="485"/>
      <c r="D51" s="25" t="e">
        <v>#N/A</v>
      </c>
      <c r="E51" s="26" t="s">
        <v>31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x14ac:dyDescent="0.25">
      <c r="A52" s="479"/>
      <c r="B52" s="482"/>
      <c r="C52" s="485"/>
      <c r="D52" s="25" t="e">
        <v>#N/A</v>
      </c>
      <c r="E52" s="26" t="s">
        <v>32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80"/>
      <c r="B53" s="483"/>
      <c r="C53" s="486"/>
      <c r="D53" s="27" t="e">
        <v>#N/A</v>
      </c>
      <c r="E53" s="28" t="s">
        <v>33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78">
        <v>10</v>
      </c>
      <c r="B54" s="481" t="e">
        <v>#N/A</v>
      </c>
      <c r="C54" s="484" t="e">
        <v>#N/A</v>
      </c>
      <c r="D54" s="23" t="e">
        <v>#N/A</v>
      </c>
      <c r="E54" s="24" t="s">
        <v>29</v>
      </c>
      <c r="F54" s="243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thickBot="1" x14ac:dyDescent="0.3">
      <c r="A55" s="479"/>
      <c r="B55" s="482"/>
      <c r="C55" s="485"/>
      <c r="D55" s="25" t="e">
        <v>#N/A</v>
      </c>
      <c r="E55" s="26" t="s">
        <v>30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79"/>
      <c r="B56" s="482"/>
      <c r="C56" s="485"/>
      <c r="D56" s="25" t="e">
        <v>#N/A</v>
      </c>
      <c r="E56" s="26" t="s">
        <v>31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x14ac:dyDescent="0.25">
      <c r="A57" s="479"/>
      <c r="B57" s="482"/>
      <c r="C57" s="485"/>
      <c r="D57" s="25" t="e">
        <v>#N/A</v>
      </c>
      <c r="E57" s="26" t="s">
        <v>32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80"/>
      <c r="B58" s="483"/>
      <c r="C58" s="486"/>
      <c r="D58" s="27" t="e">
        <v>#N/A</v>
      </c>
      <c r="E58" s="28" t="s">
        <v>33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78">
        <v>11</v>
      </c>
      <c r="B59" s="481" t="e">
        <v>#N/A</v>
      </c>
      <c r="C59" s="484" t="e">
        <v>#N/A</v>
      </c>
      <c r="D59" s="23" t="e">
        <v>#N/A</v>
      </c>
      <c r="E59" s="24" t="s">
        <v>29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thickBot="1" x14ac:dyDescent="0.3">
      <c r="A60" s="479"/>
      <c r="B60" s="482"/>
      <c r="C60" s="485"/>
      <c r="D60" s="25" t="e">
        <v>#N/A</v>
      </c>
      <c r="E60" s="26" t="s">
        <v>30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79"/>
      <c r="B61" s="482"/>
      <c r="C61" s="485"/>
      <c r="D61" s="25" t="e">
        <v>#N/A</v>
      </c>
      <c r="E61" s="26" t="s">
        <v>31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x14ac:dyDescent="0.25">
      <c r="A62" s="479"/>
      <c r="B62" s="482"/>
      <c r="C62" s="485"/>
      <c r="D62" s="25" t="e">
        <v>#N/A</v>
      </c>
      <c r="E62" s="26" t="s">
        <v>32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80"/>
      <c r="B63" s="483"/>
      <c r="C63" s="486"/>
      <c r="D63" s="27" t="e">
        <v>#N/A</v>
      </c>
      <c r="E63" s="28" t="s">
        <v>33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78">
        <v>12</v>
      </c>
      <c r="B64" s="481" t="e">
        <v>#N/A</v>
      </c>
      <c r="C64" s="484" t="e">
        <v>#N/A</v>
      </c>
      <c r="D64" s="23" t="e">
        <v>#N/A</v>
      </c>
      <c r="E64" s="24" t="s">
        <v>29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thickBot="1" x14ac:dyDescent="0.3">
      <c r="A65" s="479"/>
      <c r="B65" s="482"/>
      <c r="C65" s="485"/>
      <c r="D65" s="25" t="e">
        <v>#N/A</v>
      </c>
      <c r="E65" s="26" t="s">
        <v>30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79"/>
      <c r="B66" s="482"/>
      <c r="C66" s="485"/>
      <c r="D66" s="25" t="e">
        <v>#N/A</v>
      </c>
      <c r="E66" s="26" t="s">
        <v>31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x14ac:dyDescent="0.25">
      <c r="A67" s="479"/>
      <c r="B67" s="482"/>
      <c r="C67" s="485"/>
      <c r="D67" s="25" t="e">
        <v>#N/A</v>
      </c>
      <c r="E67" s="26" t="s">
        <v>32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80"/>
      <c r="B68" s="483"/>
      <c r="C68" s="486"/>
      <c r="D68" s="27" t="e">
        <v>#N/A</v>
      </c>
      <c r="E68" s="28" t="s">
        <v>33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78">
        <v>13</v>
      </c>
      <c r="B69" s="481" t="e">
        <v>#N/A</v>
      </c>
      <c r="C69" s="484" t="e">
        <v>#N/A</v>
      </c>
      <c r="D69" s="23" t="e">
        <v>#N/A</v>
      </c>
      <c r="E69" s="24" t="s">
        <v>29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thickBot="1" x14ac:dyDescent="0.3">
      <c r="A70" s="479"/>
      <c r="B70" s="482"/>
      <c r="C70" s="485"/>
      <c r="D70" s="25" t="e">
        <v>#N/A</v>
      </c>
      <c r="E70" s="26" t="s">
        <v>30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79"/>
      <c r="B71" s="482"/>
      <c r="C71" s="485"/>
      <c r="D71" s="25" t="e">
        <v>#N/A</v>
      </c>
      <c r="E71" s="26" t="s">
        <v>31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x14ac:dyDescent="0.25">
      <c r="A72" s="479"/>
      <c r="B72" s="482"/>
      <c r="C72" s="485"/>
      <c r="D72" s="25" t="e">
        <v>#N/A</v>
      </c>
      <c r="E72" s="26" t="s">
        <v>32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80"/>
      <c r="B73" s="483"/>
      <c r="C73" s="486"/>
      <c r="D73" s="27" t="e">
        <v>#N/A</v>
      </c>
      <c r="E73" s="28" t="s">
        <v>33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78">
        <v>14</v>
      </c>
      <c r="B74" s="481" t="e">
        <v>#N/A</v>
      </c>
      <c r="C74" s="484" t="e">
        <v>#N/A</v>
      </c>
      <c r="D74" s="23" t="e">
        <v>#N/A</v>
      </c>
      <c r="E74" s="24" t="s">
        <v>29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thickBot="1" x14ac:dyDescent="0.3">
      <c r="A75" s="479"/>
      <c r="B75" s="482"/>
      <c r="C75" s="485"/>
      <c r="D75" s="25" t="e">
        <v>#N/A</v>
      </c>
      <c r="E75" s="26" t="s">
        <v>30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79"/>
      <c r="B76" s="482"/>
      <c r="C76" s="485"/>
      <c r="D76" s="25" t="e">
        <v>#N/A</v>
      </c>
      <c r="E76" s="26" t="s">
        <v>31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x14ac:dyDescent="0.25">
      <c r="A77" s="479"/>
      <c r="B77" s="482"/>
      <c r="C77" s="485"/>
      <c r="D77" s="25" t="e">
        <v>#N/A</v>
      </c>
      <c r="E77" s="26" t="s">
        <v>32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80"/>
      <c r="B78" s="483"/>
      <c r="C78" s="486"/>
      <c r="D78" s="27" t="e">
        <v>#N/A</v>
      </c>
      <c r="E78" s="28" t="s">
        <v>33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78">
        <v>15</v>
      </c>
      <c r="B79" s="481" t="e">
        <v>#N/A</v>
      </c>
      <c r="C79" s="484" t="e">
        <v>#N/A</v>
      </c>
      <c r="D79" s="23" t="e">
        <v>#N/A</v>
      </c>
      <c r="E79" s="24" t="s">
        <v>29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thickBot="1" x14ac:dyDescent="0.3">
      <c r="A80" s="479"/>
      <c r="B80" s="482"/>
      <c r="C80" s="485"/>
      <c r="D80" s="25" t="e">
        <v>#N/A</v>
      </c>
      <c r="E80" s="26" t="s">
        <v>30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79"/>
      <c r="B81" s="482"/>
      <c r="C81" s="485"/>
      <c r="D81" s="25" t="e">
        <v>#N/A</v>
      </c>
      <c r="E81" s="26" t="s">
        <v>31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x14ac:dyDescent="0.25">
      <c r="A82" s="479"/>
      <c r="B82" s="482"/>
      <c r="C82" s="485"/>
      <c r="D82" s="25" t="e">
        <v>#N/A</v>
      </c>
      <c r="E82" s="26" t="s">
        <v>32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80"/>
      <c r="B83" s="483"/>
      <c r="C83" s="486"/>
      <c r="D83" s="27" t="e">
        <v>#N/A</v>
      </c>
      <c r="E83" s="28" t="s">
        <v>33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78">
        <v>16</v>
      </c>
      <c r="B84" s="481" t="e">
        <v>#N/A</v>
      </c>
      <c r="C84" s="484" t="e">
        <v>#N/A</v>
      </c>
      <c r="D84" s="23" t="e">
        <v>#N/A</v>
      </c>
      <c r="E84" s="24" t="s">
        <v>29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thickBot="1" x14ac:dyDescent="0.3">
      <c r="A85" s="479"/>
      <c r="B85" s="482"/>
      <c r="C85" s="485"/>
      <c r="D85" s="25" t="e">
        <v>#N/A</v>
      </c>
      <c r="E85" s="26" t="s">
        <v>30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79"/>
      <c r="B86" s="482"/>
      <c r="C86" s="485"/>
      <c r="D86" s="25" t="e">
        <v>#N/A</v>
      </c>
      <c r="E86" s="26" t="s">
        <v>31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x14ac:dyDescent="0.25">
      <c r="A87" s="479"/>
      <c r="B87" s="482"/>
      <c r="C87" s="485"/>
      <c r="D87" s="25" t="e">
        <v>#N/A</v>
      </c>
      <c r="E87" s="26" t="s">
        <v>32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80"/>
      <c r="B88" s="483"/>
      <c r="C88" s="486"/>
      <c r="D88" s="27" t="e">
        <v>#N/A</v>
      </c>
      <c r="E88" s="28" t="s">
        <v>33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78">
        <v>17</v>
      </c>
      <c r="B89" s="481" t="e">
        <v>#N/A</v>
      </c>
      <c r="C89" s="484" t="e">
        <v>#N/A</v>
      </c>
      <c r="D89" s="23" t="e">
        <v>#N/A</v>
      </c>
      <c r="E89" s="24" t="s">
        <v>29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thickBot="1" x14ac:dyDescent="0.3">
      <c r="A90" s="479"/>
      <c r="B90" s="482"/>
      <c r="C90" s="485"/>
      <c r="D90" s="25" t="e">
        <v>#N/A</v>
      </c>
      <c r="E90" s="26" t="s">
        <v>30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79"/>
      <c r="B91" s="482"/>
      <c r="C91" s="485"/>
      <c r="D91" s="25" t="e">
        <v>#N/A</v>
      </c>
      <c r="E91" s="26" t="s">
        <v>31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x14ac:dyDescent="0.25">
      <c r="A92" s="479"/>
      <c r="B92" s="482"/>
      <c r="C92" s="485"/>
      <c r="D92" s="25" t="e">
        <v>#N/A</v>
      </c>
      <c r="E92" s="26" t="s">
        <v>32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80"/>
      <c r="B93" s="483"/>
      <c r="C93" s="486"/>
      <c r="D93" s="27" t="e">
        <v>#N/A</v>
      </c>
      <c r="E93" s="28" t="s">
        <v>33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78">
        <v>18</v>
      </c>
      <c r="B94" s="481" t="e">
        <v>#N/A</v>
      </c>
      <c r="C94" s="484" t="e">
        <v>#N/A</v>
      </c>
      <c r="D94" s="23" t="e">
        <v>#N/A</v>
      </c>
      <c r="E94" s="24" t="s">
        <v>29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thickBot="1" x14ac:dyDescent="0.3">
      <c r="A95" s="479"/>
      <c r="B95" s="482"/>
      <c r="C95" s="485"/>
      <c r="D95" s="25" t="e">
        <v>#N/A</v>
      </c>
      <c r="E95" s="26" t="s">
        <v>30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79"/>
      <c r="B96" s="482"/>
      <c r="C96" s="485"/>
      <c r="D96" s="25" t="e">
        <v>#N/A</v>
      </c>
      <c r="E96" s="26" t="s">
        <v>31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x14ac:dyDescent="0.25">
      <c r="A97" s="479"/>
      <c r="B97" s="482"/>
      <c r="C97" s="485"/>
      <c r="D97" s="25" t="e">
        <v>#N/A</v>
      </c>
      <c r="E97" s="26" t="s">
        <v>32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80"/>
      <c r="B98" s="483"/>
      <c r="C98" s="486"/>
      <c r="D98" s="27" t="e">
        <v>#N/A</v>
      </c>
      <c r="E98" s="28" t="s">
        <v>33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78">
        <v>19</v>
      </c>
      <c r="B99" s="481" t="e">
        <v>#N/A</v>
      </c>
      <c r="C99" s="484" t="e">
        <v>#N/A</v>
      </c>
      <c r="D99" s="23" t="e">
        <v>#N/A</v>
      </c>
      <c r="E99" s="24" t="s">
        <v>29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thickBot="1" x14ac:dyDescent="0.3">
      <c r="A100" s="479"/>
      <c r="B100" s="482"/>
      <c r="C100" s="485"/>
      <c r="D100" s="25" t="e">
        <v>#N/A</v>
      </c>
      <c r="E100" s="26" t="s">
        <v>30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79"/>
      <c r="B101" s="482"/>
      <c r="C101" s="485"/>
      <c r="D101" s="25" t="e">
        <v>#N/A</v>
      </c>
      <c r="E101" s="26" t="s">
        <v>31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x14ac:dyDescent="0.25">
      <c r="A102" s="479"/>
      <c r="B102" s="482"/>
      <c r="C102" s="485"/>
      <c r="D102" s="25" t="e">
        <v>#N/A</v>
      </c>
      <c r="E102" s="26" t="s">
        <v>32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80"/>
      <c r="B103" s="483"/>
      <c r="C103" s="486"/>
      <c r="D103" s="27" t="e">
        <v>#N/A</v>
      </c>
      <c r="E103" s="28" t="s">
        <v>33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78">
        <v>20</v>
      </c>
      <c r="B104" s="481" t="e">
        <v>#N/A</v>
      </c>
      <c r="C104" s="484" t="e">
        <v>#N/A</v>
      </c>
      <c r="D104" s="23" t="e">
        <v>#N/A</v>
      </c>
      <c r="E104" s="24" t="s">
        <v>29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thickBot="1" x14ac:dyDescent="0.3">
      <c r="A105" s="479"/>
      <c r="B105" s="482"/>
      <c r="C105" s="485"/>
      <c r="D105" s="25" t="e">
        <v>#N/A</v>
      </c>
      <c r="E105" s="26" t="s">
        <v>30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79"/>
      <c r="B106" s="482"/>
      <c r="C106" s="485"/>
      <c r="D106" s="25" t="e">
        <v>#N/A</v>
      </c>
      <c r="E106" s="26" t="s">
        <v>31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x14ac:dyDescent="0.25">
      <c r="A107" s="479"/>
      <c r="B107" s="482"/>
      <c r="C107" s="485"/>
      <c r="D107" s="25" t="e">
        <v>#N/A</v>
      </c>
      <c r="E107" s="26" t="s">
        <v>32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80"/>
      <c r="B108" s="483"/>
      <c r="C108" s="486"/>
      <c r="D108" s="27" t="e">
        <v>#N/A</v>
      </c>
      <c r="E108" s="28" t="s">
        <v>33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78">
        <v>21</v>
      </c>
      <c r="B109" s="481" t="e">
        <v>#N/A</v>
      </c>
      <c r="C109" s="484" t="e">
        <v>#N/A</v>
      </c>
      <c r="D109" s="23" t="e">
        <v>#N/A</v>
      </c>
      <c r="E109" s="24" t="s">
        <v>29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thickBot="1" x14ac:dyDescent="0.3">
      <c r="A110" s="479"/>
      <c r="B110" s="482"/>
      <c r="C110" s="485"/>
      <c r="D110" s="25" t="e">
        <v>#N/A</v>
      </c>
      <c r="E110" s="26" t="s">
        <v>30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79"/>
      <c r="B111" s="482"/>
      <c r="C111" s="485"/>
      <c r="D111" s="25" t="e">
        <v>#N/A</v>
      </c>
      <c r="E111" s="26" t="s">
        <v>31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x14ac:dyDescent="0.25">
      <c r="A112" s="479"/>
      <c r="B112" s="482"/>
      <c r="C112" s="485"/>
      <c r="D112" s="25" t="e">
        <v>#N/A</v>
      </c>
      <c r="E112" s="26" t="s">
        <v>32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80"/>
      <c r="B113" s="483"/>
      <c r="C113" s="486"/>
      <c r="D113" s="27" t="e">
        <v>#N/A</v>
      </c>
      <c r="E113" s="28" t="s">
        <v>33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78">
        <v>22</v>
      </c>
      <c r="B114" s="481" t="e">
        <v>#N/A</v>
      </c>
      <c r="C114" s="484" t="e">
        <v>#N/A</v>
      </c>
      <c r="D114" s="23" t="e">
        <v>#N/A</v>
      </c>
      <c r="E114" s="24" t="s">
        <v>29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thickBot="1" x14ac:dyDescent="0.3">
      <c r="A115" s="479"/>
      <c r="B115" s="482"/>
      <c r="C115" s="485"/>
      <c r="D115" s="25" t="e">
        <v>#N/A</v>
      </c>
      <c r="E115" s="26" t="s">
        <v>30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79"/>
      <c r="B116" s="482"/>
      <c r="C116" s="485"/>
      <c r="D116" s="25" t="e">
        <v>#N/A</v>
      </c>
      <c r="E116" s="26" t="s">
        <v>31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x14ac:dyDescent="0.25">
      <c r="A117" s="479"/>
      <c r="B117" s="482"/>
      <c r="C117" s="485"/>
      <c r="D117" s="25" t="e">
        <v>#N/A</v>
      </c>
      <c r="E117" s="26" t="s">
        <v>32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80"/>
      <c r="B118" s="483"/>
      <c r="C118" s="486"/>
      <c r="D118" s="27" t="e">
        <v>#N/A</v>
      </c>
      <c r="E118" s="28" t="s">
        <v>33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78">
        <v>23</v>
      </c>
      <c r="B119" s="481" t="e">
        <v>#N/A</v>
      </c>
      <c r="C119" s="484" t="e">
        <v>#N/A</v>
      </c>
      <c r="D119" s="23" t="e">
        <v>#N/A</v>
      </c>
      <c r="E119" s="24" t="s">
        <v>29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thickBot="1" x14ac:dyDescent="0.3">
      <c r="A120" s="479"/>
      <c r="B120" s="482"/>
      <c r="C120" s="485"/>
      <c r="D120" s="25" t="e">
        <v>#N/A</v>
      </c>
      <c r="E120" s="26" t="s">
        <v>30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79"/>
      <c r="B121" s="482"/>
      <c r="C121" s="485"/>
      <c r="D121" s="25" t="e">
        <v>#N/A</v>
      </c>
      <c r="E121" s="26" t="s">
        <v>31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x14ac:dyDescent="0.25">
      <c r="A122" s="479"/>
      <c r="B122" s="482"/>
      <c r="C122" s="485"/>
      <c r="D122" s="25" t="e">
        <v>#N/A</v>
      </c>
      <c r="E122" s="26" t="s">
        <v>32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80"/>
      <c r="B123" s="483"/>
      <c r="C123" s="486"/>
      <c r="D123" s="27" t="e">
        <v>#N/A</v>
      </c>
      <c r="E123" s="28" t="s">
        <v>33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78">
        <v>24</v>
      </c>
      <c r="B124" s="481" t="e">
        <v>#N/A</v>
      </c>
      <c r="C124" s="484" t="e">
        <v>#N/A</v>
      </c>
      <c r="D124" s="23" t="e">
        <v>#N/A</v>
      </c>
      <c r="E124" s="24" t="s">
        <v>29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thickBot="1" x14ac:dyDescent="0.3">
      <c r="A125" s="479"/>
      <c r="B125" s="482"/>
      <c r="C125" s="485"/>
      <c r="D125" s="25" t="e">
        <v>#N/A</v>
      </c>
      <c r="E125" s="26" t="s">
        <v>30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79"/>
      <c r="B126" s="482"/>
      <c r="C126" s="485"/>
      <c r="D126" s="25" t="e">
        <v>#N/A</v>
      </c>
      <c r="E126" s="26" t="s">
        <v>31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x14ac:dyDescent="0.25">
      <c r="A127" s="479"/>
      <c r="B127" s="482"/>
      <c r="C127" s="485"/>
      <c r="D127" s="25" t="e">
        <v>#N/A</v>
      </c>
      <c r="E127" s="26" t="s">
        <v>32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80"/>
      <c r="B128" s="483"/>
      <c r="C128" s="486"/>
      <c r="D128" s="27" t="e">
        <v>#N/A</v>
      </c>
      <c r="E128" s="28" t="s">
        <v>33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78">
        <v>25</v>
      </c>
      <c r="B129" s="481" t="e">
        <v>#N/A</v>
      </c>
      <c r="C129" s="484" t="e">
        <v>#N/A</v>
      </c>
      <c r="D129" s="23" t="e">
        <v>#N/A</v>
      </c>
      <c r="E129" s="24" t="s">
        <v>29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thickBot="1" x14ac:dyDescent="0.3">
      <c r="A130" s="479"/>
      <c r="B130" s="482"/>
      <c r="C130" s="485"/>
      <c r="D130" s="25" t="e">
        <v>#N/A</v>
      </c>
      <c r="E130" s="26" t="s">
        <v>30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79"/>
      <c r="B131" s="482"/>
      <c r="C131" s="485"/>
      <c r="D131" s="25" t="e">
        <v>#N/A</v>
      </c>
      <c r="E131" s="26" t="s">
        <v>31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x14ac:dyDescent="0.25">
      <c r="A132" s="479"/>
      <c r="B132" s="482"/>
      <c r="C132" s="485"/>
      <c r="D132" s="25" t="e">
        <v>#N/A</v>
      </c>
      <c r="E132" s="26" t="s">
        <v>32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80"/>
      <c r="B133" s="483"/>
      <c r="C133" s="486"/>
      <c r="D133" s="27" t="e">
        <v>#N/A</v>
      </c>
      <c r="E133" s="28" t="s">
        <v>33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78">
        <v>26</v>
      </c>
      <c r="B134" s="481" t="e">
        <v>#N/A</v>
      </c>
      <c r="C134" s="484" t="e">
        <v>#N/A</v>
      </c>
      <c r="D134" s="23" t="e">
        <v>#N/A</v>
      </c>
      <c r="E134" s="24" t="s">
        <v>29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thickBot="1" x14ac:dyDescent="0.3">
      <c r="A135" s="479"/>
      <c r="B135" s="482"/>
      <c r="C135" s="485"/>
      <c r="D135" s="25" t="e">
        <v>#N/A</v>
      </c>
      <c r="E135" s="26" t="s">
        <v>30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79"/>
      <c r="B136" s="482"/>
      <c r="C136" s="485"/>
      <c r="D136" s="25" t="e">
        <v>#N/A</v>
      </c>
      <c r="E136" s="26" t="s">
        <v>31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x14ac:dyDescent="0.25">
      <c r="A137" s="479"/>
      <c r="B137" s="482"/>
      <c r="C137" s="485"/>
      <c r="D137" s="25" t="e">
        <v>#N/A</v>
      </c>
      <c r="E137" s="26" t="s">
        <v>32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80"/>
      <c r="B138" s="483"/>
      <c r="C138" s="486"/>
      <c r="D138" s="27" t="e">
        <v>#N/A</v>
      </c>
      <c r="E138" s="28" t="s">
        <v>33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78">
        <v>27</v>
      </c>
      <c r="B139" s="481" t="e">
        <v>#N/A</v>
      </c>
      <c r="C139" s="484" t="e">
        <v>#N/A</v>
      </c>
      <c r="D139" s="23" t="e">
        <v>#N/A</v>
      </c>
      <c r="E139" s="24" t="s">
        <v>29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thickBot="1" x14ac:dyDescent="0.3">
      <c r="A140" s="479"/>
      <c r="B140" s="482"/>
      <c r="C140" s="485"/>
      <c r="D140" s="25" t="e">
        <v>#N/A</v>
      </c>
      <c r="E140" s="26" t="s">
        <v>30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79"/>
      <c r="B141" s="482"/>
      <c r="C141" s="485"/>
      <c r="D141" s="25" t="e">
        <v>#N/A</v>
      </c>
      <c r="E141" s="26" t="s">
        <v>31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x14ac:dyDescent="0.25">
      <c r="A142" s="479"/>
      <c r="B142" s="482"/>
      <c r="C142" s="485"/>
      <c r="D142" s="25" t="e">
        <v>#N/A</v>
      </c>
      <c r="E142" s="26" t="s">
        <v>32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80"/>
      <c r="B143" s="483"/>
      <c r="C143" s="486"/>
      <c r="D143" s="27" t="e">
        <v>#N/A</v>
      </c>
      <c r="E143" s="28" t="s">
        <v>33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78">
        <v>28</v>
      </c>
      <c r="B144" s="481" t="e">
        <v>#N/A</v>
      </c>
      <c r="C144" s="484" t="e">
        <v>#N/A</v>
      </c>
      <c r="D144" s="23" t="e">
        <v>#N/A</v>
      </c>
      <c r="E144" s="24" t="s">
        <v>29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thickBot="1" x14ac:dyDescent="0.3">
      <c r="A145" s="479"/>
      <c r="B145" s="482"/>
      <c r="C145" s="485"/>
      <c r="D145" s="25" t="e">
        <v>#N/A</v>
      </c>
      <c r="E145" s="26" t="s">
        <v>30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79"/>
      <c r="B146" s="482"/>
      <c r="C146" s="485"/>
      <c r="D146" s="25" t="e">
        <v>#N/A</v>
      </c>
      <c r="E146" s="26" t="s">
        <v>31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x14ac:dyDescent="0.25">
      <c r="A147" s="479"/>
      <c r="B147" s="482"/>
      <c r="C147" s="485"/>
      <c r="D147" s="25" t="e">
        <v>#N/A</v>
      </c>
      <c r="E147" s="26" t="s">
        <v>32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80"/>
      <c r="B148" s="483"/>
      <c r="C148" s="486"/>
      <c r="D148" s="27" t="e">
        <v>#N/A</v>
      </c>
      <c r="E148" s="28" t="s">
        <v>33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78">
        <v>29</v>
      </c>
      <c r="B149" s="481" t="e">
        <v>#N/A</v>
      </c>
      <c r="C149" s="484" t="e">
        <v>#N/A</v>
      </c>
      <c r="D149" s="23" t="e">
        <v>#N/A</v>
      </c>
      <c r="E149" s="24" t="s">
        <v>29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thickBot="1" x14ac:dyDescent="0.3">
      <c r="A150" s="479"/>
      <c r="B150" s="482"/>
      <c r="C150" s="485"/>
      <c r="D150" s="25" t="e">
        <v>#N/A</v>
      </c>
      <c r="E150" s="26" t="s">
        <v>30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79"/>
      <c r="B151" s="482"/>
      <c r="C151" s="485"/>
      <c r="D151" s="25" t="e">
        <v>#N/A</v>
      </c>
      <c r="E151" s="26" t="s">
        <v>31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x14ac:dyDescent="0.25">
      <c r="A152" s="479"/>
      <c r="B152" s="482"/>
      <c r="C152" s="485"/>
      <c r="D152" s="25" t="e">
        <v>#N/A</v>
      </c>
      <c r="E152" s="26" t="s">
        <v>32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80"/>
      <c r="B153" s="483"/>
      <c r="C153" s="486"/>
      <c r="D153" s="27" t="e">
        <v>#N/A</v>
      </c>
      <c r="E153" s="28" t="s">
        <v>33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78">
        <v>30</v>
      </c>
      <c r="B154" s="481" t="e">
        <v>#N/A</v>
      </c>
      <c r="C154" s="484" t="e">
        <v>#N/A</v>
      </c>
      <c r="D154" s="23" t="e">
        <v>#N/A</v>
      </c>
      <c r="E154" s="24" t="s">
        <v>29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thickBot="1" x14ac:dyDescent="0.3">
      <c r="A155" s="479"/>
      <c r="B155" s="482"/>
      <c r="C155" s="485"/>
      <c r="D155" s="25" t="e">
        <v>#N/A</v>
      </c>
      <c r="E155" s="26" t="s">
        <v>30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79"/>
      <c r="B156" s="482"/>
      <c r="C156" s="485"/>
      <c r="D156" s="25" t="e">
        <v>#N/A</v>
      </c>
      <c r="E156" s="26" t="s">
        <v>31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x14ac:dyDescent="0.25">
      <c r="A157" s="479"/>
      <c r="B157" s="482"/>
      <c r="C157" s="485"/>
      <c r="D157" s="25" t="e">
        <v>#N/A</v>
      </c>
      <c r="E157" s="26" t="s">
        <v>32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80"/>
      <c r="B158" s="483"/>
      <c r="C158" s="486"/>
      <c r="D158" s="27" t="e">
        <v>#N/A</v>
      </c>
      <c r="E158" s="28" t="s">
        <v>33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78">
        <v>31</v>
      </c>
      <c r="B159" s="481" t="e">
        <v>#N/A</v>
      </c>
      <c r="C159" s="484" t="e">
        <v>#N/A</v>
      </c>
      <c r="D159" s="23" t="e">
        <v>#N/A</v>
      </c>
      <c r="E159" s="24" t="s">
        <v>29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thickBot="1" x14ac:dyDescent="0.3">
      <c r="A160" s="479"/>
      <c r="B160" s="482"/>
      <c r="C160" s="485"/>
      <c r="D160" s="25" t="e">
        <v>#N/A</v>
      </c>
      <c r="E160" s="26" t="s">
        <v>30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79"/>
      <c r="B161" s="482"/>
      <c r="C161" s="485"/>
      <c r="D161" s="25" t="e">
        <v>#N/A</v>
      </c>
      <c r="E161" s="26" t="s">
        <v>31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x14ac:dyDescent="0.25">
      <c r="A162" s="479"/>
      <c r="B162" s="482"/>
      <c r="C162" s="485"/>
      <c r="D162" s="25" t="e">
        <v>#N/A</v>
      </c>
      <c r="E162" s="26" t="s">
        <v>32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80"/>
      <c r="B163" s="483"/>
      <c r="C163" s="486"/>
      <c r="D163" s="27" t="e">
        <v>#N/A</v>
      </c>
      <c r="E163" s="28" t="s">
        <v>33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78">
        <v>32</v>
      </c>
      <c r="B164" s="481" t="e">
        <v>#N/A</v>
      </c>
      <c r="C164" s="484" t="e">
        <v>#N/A</v>
      </c>
      <c r="D164" s="23" t="e">
        <v>#N/A</v>
      </c>
      <c r="E164" s="24" t="s">
        <v>29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thickBot="1" x14ac:dyDescent="0.3">
      <c r="A165" s="479"/>
      <c r="B165" s="482"/>
      <c r="C165" s="485"/>
      <c r="D165" s="25" t="e">
        <v>#N/A</v>
      </c>
      <c r="E165" s="26" t="s">
        <v>30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79"/>
      <c r="B166" s="482"/>
      <c r="C166" s="485"/>
      <c r="D166" s="25" t="e">
        <v>#N/A</v>
      </c>
      <c r="E166" s="26" t="s">
        <v>31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x14ac:dyDescent="0.25">
      <c r="A167" s="479"/>
      <c r="B167" s="482"/>
      <c r="C167" s="485"/>
      <c r="D167" s="25" t="e">
        <v>#N/A</v>
      </c>
      <c r="E167" s="26" t="s">
        <v>32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80"/>
      <c r="B168" s="483"/>
      <c r="C168" s="486"/>
      <c r="D168" s="27" t="e">
        <v>#N/A</v>
      </c>
      <c r="E168" s="28" t="s">
        <v>33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78">
        <v>33</v>
      </c>
      <c r="B169" s="481" t="e">
        <v>#N/A</v>
      </c>
      <c r="C169" s="484" t="e">
        <v>#N/A</v>
      </c>
      <c r="D169" s="23" t="e">
        <v>#N/A</v>
      </c>
      <c r="E169" s="24" t="s">
        <v>29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thickBot="1" x14ac:dyDescent="0.3">
      <c r="A170" s="479"/>
      <c r="B170" s="482"/>
      <c r="C170" s="485"/>
      <c r="D170" s="25" t="e">
        <v>#N/A</v>
      </c>
      <c r="E170" s="26" t="s">
        <v>30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79"/>
      <c r="B171" s="482"/>
      <c r="C171" s="485"/>
      <c r="D171" s="25" t="e">
        <v>#N/A</v>
      </c>
      <c r="E171" s="26" t="s">
        <v>31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x14ac:dyDescent="0.25">
      <c r="A172" s="479"/>
      <c r="B172" s="482"/>
      <c r="C172" s="485"/>
      <c r="D172" s="25" t="e">
        <v>#N/A</v>
      </c>
      <c r="E172" s="26" t="s">
        <v>32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80"/>
      <c r="B173" s="483"/>
      <c r="C173" s="486"/>
      <c r="D173" s="27" t="e">
        <v>#N/A</v>
      </c>
      <c r="E173" s="28" t="s">
        <v>33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78">
        <v>34</v>
      </c>
      <c r="B174" s="481" t="e">
        <v>#N/A</v>
      </c>
      <c r="C174" s="484" t="e">
        <v>#N/A</v>
      </c>
      <c r="D174" s="23" t="e">
        <v>#N/A</v>
      </c>
      <c r="E174" s="24" t="s">
        <v>29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thickBot="1" x14ac:dyDescent="0.3">
      <c r="A175" s="479"/>
      <c r="B175" s="482"/>
      <c r="C175" s="485"/>
      <c r="D175" s="25" t="e">
        <v>#N/A</v>
      </c>
      <c r="E175" s="26" t="s">
        <v>30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79"/>
      <c r="B176" s="482"/>
      <c r="C176" s="485"/>
      <c r="D176" s="25" t="e">
        <v>#N/A</v>
      </c>
      <c r="E176" s="26" t="s">
        <v>31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x14ac:dyDescent="0.25">
      <c r="A177" s="479"/>
      <c r="B177" s="482"/>
      <c r="C177" s="485"/>
      <c r="D177" s="25" t="e">
        <v>#N/A</v>
      </c>
      <c r="E177" s="26" t="s">
        <v>32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80"/>
      <c r="B178" s="483"/>
      <c r="C178" s="486"/>
      <c r="D178" s="27" t="e">
        <v>#N/A</v>
      </c>
      <c r="E178" s="28" t="s">
        <v>33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78">
        <v>35</v>
      </c>
      <c r="B179" s="481" t="e">
        <v>#N/A</v>
      </c>
      <c r="C179" s="484" t="e">
        <v>#N/A</v>
      </c>
      <c r="D179" s="23" t="e">
        <v>#N/A</v>
      </c>
      <c r="E179" s="24" t="s">
        <v>29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thickBot="1" x14ac:dyDescent="0.3">
      <c r="A180" s="479"/>
      <c r="B180" s="482"/>
      <c r="C180" s="485"/>
      <c r="D180" s="25" t="e">
        <v>#N/A</v>
      </c>
      <c r="E180" s="26" t="s">
        <v>30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79"/>
      <c r="B181" s="482"/>
      <c r="C181" s="485"/>
      <c r="D181" s="25" t="e">
        <v>#N/A</v>
      </c>
      <c r="E181" s="26" t="s">
        <v>31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x14ac:dyDescent="0.25">
      <c r="A182" s="479"/>
      <c r="B182" s="482"/>
      <c r="C182" s="485"/>
      <c r="D182" s="25" t="e">
        <v>#N/A</v>
      </c>
      <c r="E182" s="26" t="s">
        <v>32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80"/>
      <c r="B183" s="483"/>
      <c r="C183" s="486"/>
      <c r="D183" s="27" t="e">
        <v>#N/A</v>
      </c>
      <c r="E183" s="28" t="s">
        <v>33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78">
        <v>36</v>
      </c>
      <c r="B184" s="481" t="e">
        <v>#N/A</v>
      </c>
      <c r="C184" s="484" t="e">
        <v>#N/A</v>
      </c>
      <c r="D184" s="23" t="e">
        <v>#N/A</v>
      </c>
      <c r="E184" s="24" t="s">
        <v>29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thickBot="1" x14ac:dyDescent="0.3">
      <c r="A185" s="479"/>
      <c r="B185" s="482"/>
      <c r="C185" s="485"/>
      <c r="D185" s="25" t="e">
        <v>#N/A</v>
      </c>
      <c r="E185" s="26" t="s">
        <v>30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79"/>
      <c r="B186" s="482"/>
      <c r="C186" s="485"/>
      <c r="D186" s="25" t="e">
        <v>#N/A</v>
      </c>
      <c r="E186" s="26" t="s">
        <v>31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x14ac:dyDescent="0.25">
      <c r="A187" s="479"/>
      <c r="B187" s="482"/>
      <c r="C187" s="485"/>
      <c r="D187" s="25" t="e">
        <v>#N/A</v>
      </c>
      <c r="E187" s="26" t="s">
        <v>32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80"/>
      <c r="B188" s="483"/>
      <c r="C188" s="486"/>
      <c r="D188" s="27" t="e">
        <v>#N/A</v>
      </c>
      <c r="E188" s="28" t="s">
        <v>33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78">
        <v>37</v>
      </c>
      <c r="B189" s="481" t="e">
        <v>#N/A</v>
      </c>
      <c r="C189" s="484" t="e">
        <v>#N/A</v>
      </c>
      <c r="D189" s="23" t="e">
        <v>#N/A</v>
      </c>
      <c r="E189" s="24" t="s">
        <v>29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thickBot="1" x14ac:dyDescent="0.3">
      <c r="A190" s="479"/>
      <c r="B190" s="482"/>
      <c r="C190" s="485"/>
      <c r="D190" s="25" t="e">
        <v>#N/A</v>
      </c>
      <c r="E190" s="26" t="s">
        <v>30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79"/>
      <c r="B191" s="482"/>
      <c r="C191" s="485"/>
      <c r="D191" s="25" t="e">
        <v>#N/A</v>
      </c>
      <c r="E191" s="26" t="s">
        <v>31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x14ac:dyDescent="0.25">
      <c r="A192" s="479"/>
      <c r="B192" s="482"/>
      <c r="C192" s="485"/>
      <c r="D192" s="25" t="e">
        <v>#N/A</v>
      </c>
      <c r="E192" s="26" t="s">
        <v>32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80"/>
      <c r="B193" s="483"/>
      <c r="C193" s="486"/>
      <c r="D193" s="27" t="e">
        <v>#N/A</v>
      </c>
      <c r="E193" s="28" t="s">
        <v>33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78">
        <v>38</v>
      </c>
      <c r="B194" s="481" t="e">
        <v>#N/A</v>
      </c>
      <c r="C194" s="484" t="e">
        <v>#N/A</v>
      </c>
      <c r="D194" s="23" t="e">
        <v>#N/A</v>
      </c>
      <c r="E194" s="24" t="s">
        <v>29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thickBot="1" x14ac:dyDescent="0.3">
      <c r="A195" s="479"/>
      <c r="B195" s="482"/>
      <c r="C195" s="485"/>
      <c r="D195" s="25" t="e">
        <v>#N/A</v>
      </c>
      <c r="E195" s="26" t="s">
        <v>30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79"/>
      <c r="B196" s="482"/>
      <c r="C196" s="485"/>
      <c r="D196" s="25" t="e">
        <v>#N/A</v>
      </c>
      <c r="E196" s="26" t="s">
        <v>31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x14ac:dyDescent="0.25">
      <c r="A197" s="479"/>
      <c r="B197" s="482"/>
      <c r="C197" s="485"/>
      <c r="D197" s="25" t="e">
        <v>#N/A</v>
      </c>
      <c r="E197" s="26" t="s">
        <v>32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80"/>
      <c r="B198" s="483"/>
      <c r="C198" s="486"/>
      <c r="D198" s="27" t="e">
        <v>#N/A</v>
      </c>
      <c r="E198" s="28" t="s">
        <v>33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78">
        <v>39</v>
      </c>
      <c r="B199" s="481" t="e">
        <v>#N/A</v>
      </c>
      <c r="C199" s="484" t="e">
        <v>#N/A</v>
      </c>
      <c r="D199" s="23" t="e">
        <v>#N/A</v>
      </c>
      <c r="E199" s="24" t="s">
        <v>29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thickBot="1" x14ac:dyDescent="0.3">
      <c r="A200" s="479"/>
      <c r="B200" s="482"/>
      <c r="C200" s="485"/>
      <c r="D200" s="25" t="e">
        <v>#N/A</v>
      </c>
      <c r="E200" s="26" t="s">
        <v>30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79"/>
      <c r="B201" s="482"/>
      <c r="C201" s="485"/>
      <c r="D201" s="25" t="e">
        <v>#N/A</v>
      </c>
      <c r="E201" s="26" t="s">
        <v>31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x14ac:dyDescent="0.25">
      <c r="A202" s="479"/>
      <c r="B202" s="482"/>
      <c r="C202" s="485"/>
      <c r="D202" s="25" t="e">
        <v>#N/A</v>
      </c>
      <c r="E202" s="26" t="s">
        <v>32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80"/>
      <c r="B203" s="483"/>
      <c r="C203" s="486"/>
      <c r="D203" s="27" t="e">
        <v>#N/A</v>
      </c>
      <c r="E203" s="28" t="s">
        <v>33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78">
        <v>40</v>
      </c>
      <c r="B204" s="481" t="e">
        <v>#N/A</v>
      </c>
      <c r="C204" s="484" t="e">
        <v>#N/A</v>
      </c>
      <c r="D204" s="23" t="e">
        <v>#N/A</v>
      </c>
      <c r="E204" s="24" t="s">
        <v>29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thickBot="1" x14ac:dyDescent="0.3">
      <c r="A205" s="479"/>
      <c r="B205" s="482"/>
      <c r="C205" s="485"/>
      <c r="D205" s="25" t="e">
        <v>#N/A</v>
      </c>
      <c r="E205" s="26" t="s">
        <v>30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79"/>
      <c r="B206" s="482"/>
      <c r="C206" s="485"/>
      <c r="D206" s="25" t="e">
        <v>#N/A</v>
      </c>
      <c r="E206" s="26" t="s">
        <v>31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x14ac:dyDescent="0.25">
      <c r="A207" s="479"/>
      <c r="B207" s="482"/>
      <c r="C207" s="485"/>
      <c r="D207" s="25" t="e">
        <v>#N/A</v>
      </c>
      <c r="E207" s="26" t="s">
        <v>32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80"/>
      <c r="B208" s="483"/>
      <c r="C208" s="486"/>
      <c r="D208" s="27" t="e">
        <v>#N/A</v>
      </c>
      <c r="E208" s="28" t="s">
        <v>33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78">
        <v>41</v>
      </c>
      <c r="B209" s="481" t="e">
        <v>#N/A</v>
      </c>
      <c r="C209" s="484" t="e">
        <v>#N/A</v>
      </c>
      <c r="D209" s="23" t="e">
        <v>#N/A</v>
      </c>
      <c r="E209" s="24" t="s">
        <v>29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thickBot="1" x14ac:dyDescent="0.3">
      <c r="A210" s="479"/>
      <c r="B210" s="482"/>
      <c r="C210" s="485"/>
      <c r="D210" s="25" t="e">
        <v>#N/A</v>
      </c>
      <c r="E210" s="26" t="s">
        <v>30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79"/>
      <c r="B211" s="482"/>
      <c r="C211" s="485"/>
      <c r="D211" s="25" t="e">
        <v>#N/A</v>
      </c>
      <c r="E211" s="26" t="s">
        <v>31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x14ac:dyDescent="0.25">
      <c r="A212" s="479"/>
      <c r="B212" s="482"/>
      <c r="C212" s="485"/>
      <c r="D212" s="25" t="e">
        <v>#N/A</v>
      </c>
      <c r="E212" s="26" t="s">
        <v>32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80"/>
      <c r="B213" s="483"/>
      <c r="C213" s="486"/>
      <c r="D213" s="27" t="e">
        <v>#N/A</v>
      </c>
      <c r="E213" s="28" t="s">
        <v>33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78">
        <v>42</v>
      </c>
      <c r="B214" s="481" t="e">
        <v>#N/A</v>
      </c>
      <c r="C214" s="484" t="e">
        <v>#N/A</v>
      </c>
      <c r="D214" s="23" t="e">
        <v>#N/A</v>
      </c>
      <c r="E214" s="24" t="s">
        <v>29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thickBot="1" x14ac:dyDescent="0.3">
      <c r="A215" s="479"/>
      <c r="B215" s="482"/>
      <c r="C215" s="485"/>
      <c r="D215" s="25" t="e">
        <v>#N/A</v>
      </c>
      <c r="E215" s="26" t="s">
        <v>30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79"/>
      <c r="B216" s="482"/>
      <c r="C216" s="485"/>
      <c r="D216" s="25" t="e">
        <v>#N/A</v>
      </c>
      <c r="E216" s="26" t="s">
        <v>31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x14ac:dyDescent="0.25">
      <c r="A217" s="479"/>
      <c r="B217" s="482"/>
      <c r="C217" s="485"/>
      <c r="D217" s="25" t="e">
        <v>#N/A</v>
      </c>
      <c r="E217" s="26" t="s">
        <v>32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80"/>
      <c r="B218" s="483"/>
      <c r="C218" s="486"/>
      <c r="D218" s="27" t="e">
        <v>#N/A</v>
      </c>
      <c r="E218" s="28" t="s">
        <v>33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78">
        <v>43</v>
      </c>
      <c r="B219" s="481" t="e">
        <v>#N/A</v>
      </c>
      <c r="C219" s="484" t="e">
        <v>#N/A</v>
      </c>
      <c r="D219" s="23" t="e">
        <v>#N/A</v>
      </c>
      <c r="E219" s="24" t="s">
        <v>29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thickBot="1" x14ac:dyDescent="0.3">
      <c r="A220" s="479"/>
      <c r="B220" s="482"/>
      <c r="C220" s="485"/>
      <c r="D220" s="25" t="e">
        <v>#N/A</v>
      </c>
      <c r="E220" s="26" t="s">
        <v>30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79"/>
      <c r="B221" s="482"/>
      <c r="C221" s="485"/>
      <c r="D221" s="25" t="e">
        <v>#N/A</v>
      </c>
      <c r="E221" s="26" t="s">
        <v>31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x14ac:dyDescent="0.25">
      <c r="A222" s="479"/>
      <c r="B222" s="482"/>
      <c r="C222" s="485"/>
      <c r="D222" s="25" t="e">
        <v>#N/A</v>
      </c>
      <c r="E222" s="26" t="s">
        <v>32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80"/>
      <c r="B223" s="483"/>
      <c r="C223" s="486"/>
      <c r="D223" s="27" t="e">
        <v>#N/A</v>
      </c>
      <c r="E223" s="28" t="s">
        <v>33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78">
        <v>44</v>
      </c>
      <c r="B224" s="481" t="e">
        <v>#N/A</v>
      </c>
      <c r="C224" s="484" t="e">
        <v>#N/A</v>
      </c>
      <c r="D224" s="23" t="e">
        <v>#N/A</v>
      </c>
      <c r="E224" s="24" t="s">
        <v>29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thickBot="1" x14ac:dyDescent="0.3">
      <c r="A225" s="479"/>
      <c r="B225" s="482"/>
      <c r="C225" s="485"/>
      <c r="D225" s="25" t="e">
        <v>#N/A</v>
      </c>
      <c r="E225" s="26" t="s">
        <v>30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79"/>
      <c r="B226" s="482"/>
      <c r="C226" s="485"/>
      <c r="D226" s="25" t="e">
        <v>#N/A</v>
      </c>
      <c r="E226" s="26" t="s">
        <v>31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x14ac:dyDescent="0.25">
      <c r="A227" s="479"/>
      <c r="B227" s="482"/>
      <c r="C227" s="485"/>
      <c r="D227" s="25" t="e">
        <v>#N/A</v>
      </c>
      <c r="E227" s="26" t="s">
        <v>32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80"/>
      <c r="B228" s="483"/>
      <c r="C228" s="486"/>
      <c r="D228" s="27" t="e">
        <v>#N/A</v>
      </c>
      <c r="E228" s="28" t="s">
        <v>33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78">
        <v>45</v>
      </c>
      <c r="B229" s="481" t="e">
        <v>#N/A</v>
      </c>
      <c r="C229" s="484" t="e">
        <v>#N/A</v>
      </c>
      <c r="D229" s="23" t="e">
        <v>#N/A</v>
      </c>
      <c r="E229" s="24" t="s">
        <v>29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thickBot="1" x14ac:dyDescent="0.3">
      <c r="A230" s="479"/>
      <c r="B230" s="482"/>
      <c r="C230" s="485"/>
      <c r="D230" s="25" t="e">
        <v>#N/A</v>
      </c>
      <c r="E230" s="26" t="s">
        <v>30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79"/>
      <c r="B231" s="482"/>
      <c r="C231" s="485"/>
      <c r="D231" s="25" t="e">
        <v>#N/A</v>
      </c>
      <c r="E231" s="26" t="s">
        <v>31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x14ac:dyDescent="0.25">
      <c r="A232" s="479"/>
      <c r="B232" s="482"/>
      <c r="C232" s="485"/>
      <c r="D232" s="25" t="e">
        <v>#N/A</v>
      </c>
      <c r="E232" s="26" t="s">
        <v>32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80"/>
      <c r="B233" s="483"/>
      <c r="C233" s="486"/>
      <c r="D233" s="27" t="e">
        <v>#N/A</v>
      </c>
      <c r="E233" s="28" t="s">
        <v>33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78">
        <v>46</v>
      </c>
      <c r="B234" s="481" t="e">
        <v>#N/A</v>
      </c>
      <c r="C234" s="484" t="e">
        <v>#N/A</v>
      </c>
      <c r="D234" s="23" t="e">
        <v>#N/A</v>
      </c>
      <c r="E234" s="24" t="s">
        <v>29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thickBot="1" x14ac:dyDescent="0.3">
      <c r="A235" s="479"/>
      <c r="B235" s="482"/>
      <c r="C235" s="485"/>
      <c r="D235" s="25" t="e">
        <v>#N/A</v>
      </c>
      <c r="E235" s="26" t="s">
        <v>30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79"/>
      <c r="B236" s="482"/>
      <c r="C236" s="485"/>
      <c r="D236" s="25" t="e">
        <v>#N/A</v>
      </c>
      <c r="E236" s="26" t="s">
        <v>31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x14ac:dyDescent="0.25">
      <c r="A237" s="479"/>
      <c r="B237" s="482"/>
      <c r="C237" s="485"/>
      <c r="D237" s="25" t="e">
        <v>#N/A</v>
      </c>
      <c r="E237" s="26" t="s">
        <v>32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80"/>
      <c r="B238" s="483"/>
      <c r="C238" s="486"/>
      <c r="D238" s="27" t="e">
        <v>#N/A</v>
      </c>
      <c r="E238" s="28" t="s">
        <v>33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78">
        <v>47</v>
      </c>
      <c r="B239" s="481" t="e">
        <v>#N/A</v>
      </c>
      <c r="C239" s="484" t="e">
        <v>#N/A</v>
      </c>
      <c r="D239" s="23" t="e">
        <v>#N/A</v>
      </c>
      <c r="E239" s="24" t="s">
        <v>29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thickBot="1" x14ac:dyDescent="0.3">
      <c r="A240" s="479"/>
      <c r="B240" s="482"/>
      <c r="C240" s="485"/>
      <c r="D240" s="25" t="e">
        <v>#N/A</v>
      </c>
      <c r="E240" s="26" t="s">
        <v>30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79"/>
      <c r="B241" s="482"/>
      <c r="C241" s="485"/>
      <c r="D241" s="25" t="e">
        <v>#N/A</v>
      </c>
      <c r="E241" s="26" t="s">
        <v>31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x14ac:dyDescent="0.25">
      <c r="A242" s="479"/>
      <c r="B242" s="482"/>
      <c r="C242" s="485"/>
      <c r="D242" s="25" t="e">
        <v>#N/A</v>
      </c>
      <c r="E242" s="26" t="s">
        <v>32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80"/>
      <c r="B243" s="483"/>
      <c r="C243" s="486"/>
      <c r="D243" s="27" t="e">
        <v>#N/A</v>
      </c>
      <c r="E243" s="28" t="s">
        <v>33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78">
        <v>48</v>
      </c>
      <c r="B244" s="481" t="e">
        <v>#N/A</v>
      </c>
      <c r="C244" s="484" t="e">
        <v>#N/A</v>
      </c>
      <c r="D244" s="23" t="e">
        <v>#N/A</v>
      </c>
      <c r="E244" s="24" t="s">
        <v>29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thickBot="1" x14ac:dyDescent="0.3">
      <c r="A245" s="479"/>
      <c r="B245" s="482"/>
      <c r="C245" s="485"/>
      <c r="D245" s="25" t="e">
        <v>#N/A</v>
      </c>
      <c r="E245" s="26" t="s">
        <v>30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79"/>
      <c r="B246" s="482"/>
      <c r="C246" s="485"/>
      <c r="D246" s="25" t="e">
        <v>#N/A</v>
      </c>
      <c r="E246" s="26" t="s">
        <v>31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x14ac:dyDescent="0.25">
      <c r="A247" s="479"/>
      <c r="B247" s="482"/>
      <c r="C247" s="485"/>
      <c r="D247" s="25" t="e">
        <v>#N/A</v>
      </c>
      <c r="E247" s="26" t="s">
        <v>32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80"/>
      <c r="B248" s="483"/>
      <c r="C248" s="486"/>
      <c r="D248" s="27" t="e">
        <v>#N/A</v>
      </c>
      <c r="E248" s="28" t="s">
        <v>33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78">
        <v>49</v>
      </c>
      <c r="B249" s="481" t="e">
        <v>#N/A</v>
      </c>
      <c r="C249" s="484" t="e">
        <v>#N/A</v>
      </c>
      <c r="D249" s="23" t="e">
        <v>#N/A</v>
      </c>
      <c r="E249" s="24" t="s">
        <v>29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thickBot="1" x14ac:dyDescent="0.3">
      <c r="A250" s="479"/>
      <c r="B250" s="482"/>
      <c r="C250" s="485"/>
      <c r="D250" s="25" t="e">
        <v>#N/A</v>
      </c>
      <c r="E250" s="26" t="s">
        <v>30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79"/>
      <c r="B251" s="482"/>
      <c r="C251" s="485"/>
      <c r="D251" s="25" t="e">
        <v>#N/A</v>
      </c>
      <c r="E251" s="26" t="s">
        <v>31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x14ac:dyDescent="0.25">
      <c r="A252" s="479"/>
      <c r="B252" s="482"/>
      <c r="C252" s="485"/>
      <c r="D252" s="25" t="e">
        <v>#N/A</v>
      </c>
      <c r="E252" s="26" t="s">
        <v>32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80"/>
      <c r="B253" s="483"/>
      <c r="C253" s="486"/>
      <c r="D253" s="27" t="e">
        <v>#N/A</v>
      </c>
      <c r="E253" s="28" t="s">
        <v>33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78">
        <v>50</v>
      </c>
      <c r="B254" s="481" t="e">
        <v>#N/A</v>
      </c>
      <c r="C254" s="484" t="e">
        <v>#N/A</v>
      </c>
      <c r="D254" s="23" t="e">
        <v>#N/A</v>
      </c>
      <c r="E254" s="24" t="s">
        <v>29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thickBot="1" x14ac:dyDescent="0.3">
      <c r="A255" s="479"/>
      <c r="B255" s="482"/>
      <c r="C255" s="485"/>
      <c r="D255" s="25" t="e">
        <v>#N/A</v>
      </c>
      <c r="E255" s="26" t="s">
        <v>30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79"/>
      <c r="B256" s="482"/>
      <c r="C256" s="485"/>
      <c r="D256" s="25" t="e">
        <v>#N/A</v>
      </c>
      <c r="E256" s="26" t="s">
        <v>31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x14ac:dyDescent="0.25">
      <c r="A257" s="479"/>
      <c r="B257" s="482"/>
      <c r="C257" s="485"/>
      <c r="D257" s="25" t="e">
        <v>#N/A</v>
      </c>
      <c r="E257" s="26" t="s">
        <v>32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80"/>
      <c r="B258" s="483"/>
      <c r="C258" s="486"/>
      <c r="D258" s="27" t="e">
        <v>#N/A</v>
      </c>
      <c r="E258" s="28" t="s">
        <v>33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78">
        <v>51</v>
      </c>
      <c r="B259" s="481" t="e">
        <v>#N/A</v>
      </c>
      <c r="C259" s="484" t="e">
        <v>#N/A</v>
      </c>
      <c r="D259" s="23" t="e">
        <v>#N/A</v>
      </c>
      <c r="E259" s="24" t="s">
        <v>29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thickBot="1" x14ac:dyDescent="0.3">
      <c r="A260" s="479"/>
      <c r="B260" s="482"/>
      <c r="C260" s="485"/>
      <c r="D260" s="25" t="e">
        <v>#N/A</v>
      </c>
      <c r="E260" s="26" t="s">
        <v>30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79"/>
      <c r="B261" s="482"/>
      <c r="C261" s="485"/>
      <c r="D261" s="25" t="e">
        <v>#N/A</v>
      </c>
      <c r="E261" s="26" t="s">
        <v>31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x14ac:dyDescent="0.25">
      <c r="A262" s="479"/>
      <c r="B262" s="482"/>
      <c r="C262" s="485"/>
      <c r="D262" s="25" t="e">
        <v>#N/A</v>
      </c>
      <c r="E262" s="26" t="s">
        <v>32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80"/>
      <c r="B263" s="483"/>
      <c r="C263" s="486"/>
      <c r="D263" s="27" t="e">
        <v>#N/A</v>
      </c>
      <c r="E263" s="28" t="s">
        <v>33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78">
        <v>52</v>
      </c>
      <c r="B264" s="481" t="e">
        <v>#N/A</v>
      </c>
      <c r="C264" s="484" t="e">
        <v>#N/A</v>
      </c>
      <c r="D264" s="23" t="e">
        <v>#N/A</v>
      </c>
      <c r="E264" s="24" t="s">
        <v>29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thickBot="1" x14ac:dyDescent="0.3">
      <c r="A265" s="479"/>
      <c r="B265" s="482"/>
      <c r="C265" s="485"/>
      <c r="D265" s="25" t="e">
        <v>#N/A</v>
      </c>
      <c r="E265" s="26" t="s">
        <v>30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79"/>
      <c r="B266" s="482"/>
      <c r="C266" s="485"/>
      <c r="D266" s="25" t="e">
        <v>#N/A</v>
      </c>
      <c r="E266" s="26" t="s">
        <v>31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x14ac:dyDescent="0.25">
      <c r="A267" s="479"/>
      <c r="B267" s="482"/>
      <c r="C267" s="485"/>
      <c r="D267" s="25" t="e">
        <v>#N/A</v>
      </c>
      <c r="E267" s="26" t="s">
        <v>32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80"/>
      <c r="B268" s="483"/>
      <c r="C268" s="486"/>
      <c r="D268" s="27" t="e">
        <v>#N/A</v>
      </c>
      <c r="E268" s="28" t="s">
        <v>33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78">
        <v>53</v>
      </c>
      <c r="B269" s="481" t="e">
        <v>#N/A</v>
      </c>
      <c r="C269" s="484" t="e">
        <v>#N/A</v>
      </c>
      <c r="D269" s="23" t="e">
        <v>#N/A</v>
      </c>
      <c r="E269" s="24" t="s">
        <v>29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thickBot="1" x14ac:dyDescent="0.3">
      <c r="A270" s="479"/>
      <c r="B270" s="482"/>
      <c r="C270" s="485"/>
      <c r="D270" s="25" t="e">
        <v>#N/A</v>
      </c>
      <c r="E270" s="26" t="s">
        <v>30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79"/>
      <c r="B271" s="482"/>
      <c r="C271" s="485"/>
      <c r="D271" s="25" t="e">
        <v>#N/A</v>
      </c>
      <c r="E271" s="26" t="s">
        <v>31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x14ac:dyDescent="0.25">
      <c r="A272" s="479"/>
      <c r="B272" s="482"/>
      <c r="C272" s="485"/>
      <c r="D272" s="25" t="e">
        <v>#N/A</v>
      </c>
      <c r="E272" s="26" t="s">
        <v>32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80"/>
      <c r="B273" s="483"/>
      <c r="C273" s="486"/>
      <c r="D273" s="27" t="e">
        <v>#N/A</v>
      </c>
      <c r="E273" s="28" t="s">
        <v>33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78">
        <v>54</v>
      </c>
      <c r="B274" s="481" t="e">
        <v>#N/A</v>
      </c>
      <c r="C274" s="484" t="e">
        <v>#N/A</v>
      </c>
      <c r="D274" s="23" t="e">
        <v>#N/A</v>
      </c>
      <c r="E274" s="24" t="s">
        <v>29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thickBot="1" x14ac:dyDescent="0.3">
      <c r="A275" s="479"/>
      <c r="B275" s="482"/>
      <c r="C275" s="485"/>
      <c r="D275" s="25" t="e">
        <v>#N/A</v>
      </c>
      <c r="E275" s="26" t="s">
        <v>30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79"/>
      <c r="B276" s="482"/>
      <c r="C276" s="485"/>
      <c r="D276" s="25" t="e">
        <v>#N/A</v>
      </c>
      <c r="E276" s="26" t="s">
        <v>31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x14ac:dyDescent="0.25">
      <c r="A277" s="479"/>
      <c r="B277" s="482"/>
      <c r="C277" s="485"/>
      <c r="D277" s="25" t="e">
        <v>#N/A</v>
      </c>
      <c r="E277" s="26" t="s">
        <v>32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80"/>
      <c r="B278" s="483"/>
      <c r="C278" s="486"/>
      <c r="D278" s="27" t="e">
        <v>#N/A</v>
      </c>
      <c r="E278" s="28" t="s">
        <v>33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78">
        <v>55</v>
      </c>
      <c r="B279" s="481" t="e">
        <v>#N/A</v>
      </c>
      <c r="C279" s="484" t="e">
        <v>#N/A</v>
      </c>
      <c r="D279" s="23" t="e">
        <v>#N/A</v>
      </c>
      <c r="E279" s="24" t="s">
        <v>29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thickBot="1" x14ac:dyDescent="0.3">
      <c r="A280" s="479"/>
      <c r="B280" s="482"/>
      <c r="C280" s="485"/>
      <c r="D280" s="25" t="e">
        <v>#N/A</v>
      </c>
      <c r="E280" s="26" t="s">
        <v>30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79"/>
      <c r="B281" s="482"/>
      <c r="C281" s="485"/>
      <c r="D281" s="25" t="e">
        <v>#N/A</v>
      </c>
      <c r="E281" s="26" t="s">
        <v>31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x14ac:dyDescent="0.25">
      <c r="A282" s="479"/>
      <c r="B282" s="482"/>
      <c r="C282" s="485"/>
      <c r="D282" s="25" t="e">
        <v>#N/A</v>
      </c>
      <c r="E282" s="26" t="s">
        <v>32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80"/>
      <c r="B283" s="483"/>
      <c r="C283" s="486"/>
      <c r="D283" s="27" t="e">
        <v>#N/A</v>
      </c>
      <c r="E283" s="28" t="s">
        <v>33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78">
        <v>56</v>
      </c>
      <c r="B284" s="481" t="e">
        <v>#N/A</v>
      </c>
      <c r="C284" s="484" t="e">
        <v>#N/A</v>
      </c>
      <c r="D284" s="23" t="e">
        <v>#N/A</v>
      </c>
      <c r="E284" s="24" t="s">
        <v>29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thickBot="1" x14ac:dyDescent="0.3">
      <c r="A285" s="479"/>
      <c r="B285" s="482"/>
      <c r="C285" s="485"/>
      <c r="D285" s="25" t="e">
        <v>#N/A</v>
      </c>
      <c r="E285" s="26" t="s">
        <v>30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79"/>
      <c r="B286" s="482"/>
      <c r="C286" s="485"/>
      <c r="D286" s="25" t="e">
        <v>#N/A</v>
      </c>
      <c r="E286" s="26" t="s">
        <v>31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x14ac:dyDescent="0.25">
      <c r="A287" s="479"/>
      <c r="B287" s="482"/>
      <c r="C287" s="485"/>
      <c r="D287" s="25" t="e">
        <v>#N/A</v>
      </c>
      <c r="E287" s="26" t="s">
        <v>32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80"/>
      <c r="B288" s="483"/>
      <c r="C288" s="486"/>
      <c r="D288" s="27" t="e">
        <v>#N/A</v>
      </c>
      <c r="E288" s="28" t="s">
        <v>33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78">
        <v>57</v>
      </c>
      <c r="B289" s="481" t="e">
        <v>#N/A</v>
      </c>
      <c r="C289" s="484" t="e">
        <v>#N/A</v>
      </c>
      <c r="D289" s="23" t="e">
        <v>#N/A</v>
      </c>
      <c r="E289" s="24" t="s">
        <v>29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thickBot="1" x14ac:dyDescent="0.3">
      <c r="A290" s="479"/>
      <c r="B290" s="482"/>
      <c r="C290" s="485"/>
      <c r="D290" s="25" t="e">
        <v>#N/A</v>
      </c>
      <c r="E290" s="26" t="s">
        <v>30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79"/>
      <c r="B291" s="482"/>
      <c r="C291" s="485"/>
      <c r="D291" s="25" t="e">
        <v>#N/A</v>
      </c>
      <c r="E291" s="26" t="s">
        <v>31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x14ac:dyDescent="0.25">
      <c r="A292" s="479"/>
      <c r="B292" s="482"/>
      <c r="C292" s="485"/>
      <c r="D292" s="25" t="e">
        <v>#N/A</v>
      </c>
      <c r="E292" s="26" t="s">
        <v>32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80"/>
      <c r="B293" s="483"/>
      <c r="C293" s="486"/>
      <c r="D293" s="27" t="e">
        <v>#N/A</v>
      </c>
      <c r="E293" s="28" t="s">
        <v>33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78">
        <v>58</v>
      </c>
      <c r="B294" s="481" t="e">
        <v>#N/A</v>
      </c>
      <c r="C294" s="484" t="e">
        <v>#N/A</v>
      </c>
      <c r="D294" s="23" t="e">
        <v>#N/A</v>
      </c>
      <c r="E294" s="24" t="s">
        <v>29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thickBot="1" x14ac:dyDescent="0.3">
      <c r="A295" s="479"/>
      <c r="B295" s="482"/>
      <c r="C295" s="485"/>
      <c r="D295" s="25" t="e">
        <v>#N/A</v>
      </c>
      <c r="E295" s="26" t="s">
        <v>30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79"/>
      <c r="B296" s="482"/>
      <c r="C296" s="485"/>
      <c r="D296" s="25" t="e">
        <v>#N/A</v>
      </c>
      <c r="E296" s="26" t="s">
        <v>31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x14ac:dyDescent="0.25">
      <c r="A297" s="479"/>
      <c r="B297" s="482"/>
      <c r="C297" s="485"/>
      <c r="D297" s="25" t="e">
        <v>#N/A</v>
      </c>
      <c r="E297" s="26" t="s">
        <v>32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80"/>
      <c r="B298" s="483"/>
      <c r="C298" s="486"/>
      <c r="D298" s="27" t="e">
        <v>#N/A</v>
      </c>
      <c r="E298" s="28" t="s">
        <v>33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78">
        <v>59</v>
      </c>
      <c r="B299" s="481" t="e">
        <v>#N/A</v>
      </c>
      <c r="C299" s="484" t="e">
        <v>#N/A</v>
      </c>
      <c r="D299" s="23" t="e">
        <v>#N/A</v>
      </c>
      <c r="E299" s="24" t="s">
        <v>29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thickBot="1" x14ac:dyDescent="0.3">
      <c r="A300" s="479"/>
      <c r="B300" s="482"/>
      <c r="C300" s="485"/>
      <c r="D300" s="25" t="e">
        <v>#N/A</v>
      </c>
      <c r="E300" s="26" t="s">
        <v>30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79"/>
      <c r="B301" s="482"/>
      <c r="C301" s="485"/>
      <c r="D301" s="25" t="e">
        <v>#N/A</v>
      </c>
      <c r="E301" s="26" t="s">
        <v>31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x14ac:dyDescent="0.25">
      <c r="A302" s="479"/>
      <c r="B302" s="482"/>
      <c r="C302" s="485"/>
      <c r="D302" s="25" t="e">
        <v>#N/A</v>
      </c>
      <c r="E302" s="26" t="s">
        <v>32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80"/>
      <c r="B303" s="483"/>
      <c r="C303" s="486"/>
      <c r="D303" s="27" t="e">
        <v>#N/A</v>
      </c>
      <c r="E303" s="28" t="s">
        <v>33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78">
        <v>60</v>
      </c>
      <c r="B304" s="481" t="e">
        <v>#N/A</v>
      </c>
      <c r="C304" s="484" t="e">
        <v>#N/A</v>
      </c>
      <c r="D304" s="23" t="e">
        <v>#N/A</v>
      </c>
      <c r="E304" s="24" t="s">
        <v>29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thickBot="1" x14ac:dyDescent="0.3">
      <c r="A305" s="479"/>
      <c r="B305" s="482"/>
      <c r="C305" s="485"/>
      <c r="D305" s="25" t="e">
        <v>#N/A</v>
      </c>
      <c r="E305" s="26" t="s">
        <v>30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79"/>
      <c r="B306" s="482"/>
      <c r="C306" s="485"/>
      <c r="D306" s="25" t="e">
        <v>#N/A</v>
      </c>
      <c r="E306" s="26" t="s">
        <v>31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x14ac:dyDescent="0.25">
      <c r="A307" s="479"/>
      <c r="B307" s="482"/>
      <c r="C307" s="485"/>
      <c r="D307" s="25" t="e">
        <v>#N/A</v>
      </c>
      <c r="E307" s="26" t="s">
        <v>32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80"/>
      <c r="B308" s="483"/>
      <c r="C308" s="486"/>
      <c r="D308" s="27" t="e">
        <v>#N/A</v>
      </c>
      <c r="E308" s="28" t="s">
        <v>33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78">
        <v>61</v>
      </c>
      <c r="B309" s="481" t="e">
        <v>#N/A</v>
      </c>
      <c r="C309" s="484" t="e">
        <v>#N/A</v>
      </c>
      <c r="D309" s="23" t="e">
        <v>#N/A</v>
      </c>
      <c r="E309" s="24" t="s">
        <v>29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thickBot="1" x14ac:dyDescent="0.3">
      <c r="A310" s="479"/>
      <c r="B310" s="482"/>
      <c r="C310" s="485"/>
      <c r="D310" s="25" t="e">
        <v>#N/A</v>
      </c>
      <c r="E310" s="26" t="s">
        <v>30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79"/>
      <c r="B311" s="482"/>
      <c r="C311" s="485"/>
      <c r="D311" s="25" t="e">
        <v>#N/A</v>
      </c>
      <c r="E311" s="26" t="s">
        <v>31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x14ac:dyDescent="0.25">
      <c r="A312" s="479"/>
      <c r="B312" s="482"/>
      <c r="C312" s="485"/>
      <c r="D312" s="25" t="e">
        <v>#N/A</v>
      </c>
      <c r="E312" s="26" t="s">
        <v>32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80"/>
      <c r="B313" s="483"/>
      <c r="C313" s="486"/>
      <c r="D313" s="27" t="e">
        <v>#N/A</v>
      </c>
      <c r="E313" s="28" t="s">
        <v>33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78">
        <v>62</v>
      </c>
      <c r="B314" s="481" t="e">
        <v>#N/A</v>
      </c>
      <c r="C314" s="484" t="e">
        <v>#N/A</v>
      </c>
      <c r="D314" s="23" t="e">
        <v>#N/A</v>
      </c>
      <c r="E314" s="24" t="s">
        <v>29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thickBot="1" x14ac:dyDescent="0.3">
      <c r="A315" s="479"/>
      <c r="B315" s="482"/>
      <c r="C315" s="485"/>
      <c r="D315" s="25" t="e">
        <v>#N/A</v>
      </c>
      <c r="E315" s="26" t="s">
        <v>30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79"/>
      <c r="B316" s="482"/>
      <c r="C316" s="485"/>
      <c r="D316" s="25" t="e">
        <v>#N/A</v>
      </c>
      <c r="E316" s="26" t="s">
        <v>31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x14ac:dyDescent="0.25">
      <c r="A317" s="479"/>
      <c r="B317" s="482"/>
      <c r="C317" s="485"/>
      <c r="D317" s="25" t="e">
        <v>#N/A</v>
      </c>
      <c r="E317" s="26" t="s">
        <v>32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80"/>
      <c r="B318" s="483"/>
      <c r="C318" s="486"/>
      <c r="D318" s="27" t="e">
        <v>#N/A</v>
      </c>
      <c r="E318" s="28" t="s">
        <v>33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78">
        <v>63</v>
      </c>
      <c r="B319" s="481" t="e">
        <v>#N/A</v>
      </c>
      <c r="C319" s="484" t="e">
        <v>#N/A</v>
      </c>
      <c r="D319" s="23" t="e">
        <v>#N/A</v>
      </c>
      <c r="E319" s="24" t="s">
        <v>29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thickBot="1" x14ac:dyDescent="0.3">
      <c r="A320" s="479"/>
      <c r="B320" s="482"/>
      <c r="C320" s="485"/>
      <c r="D320" s="25" t="e">
        <v>#N/A</v>
      </c>
      <c r="E320" s="26" t="s">
        <v>30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79"/>
      <c r="B321" s="482"/>
      <c r="C321" s="485"/>
      <c r="D321" s="25" t="e">
        <v>#N/A</v>
      </c>
      <c r="E321" s="26" t="s">
        <v>31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x14ac:dyDescent="0.25">
      <c r="A322" s="479"/>
      <c r="B322" s="482"/>
      <c r="C322" s="485"/>
      <c r="D322" s="25" t="e">
        <v>#N/A</v>
      </c>
      <c r="E322" s="26" t="s">
        <v>32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80"/>
      <c r="B323" s="483"/>
      <c r="C323" s="486"/>
      <c r="D323" s="27" t="e">
        <v>#N/A</v>
      </c>
      <c r="E323" s="28" t="s">
        <v>33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78">
        <v>64</v>
      </c>
      <c r="B324" s="481" t="e">
        <v>#N/A</v>
      </c>
      <c r="C324" s="484" t="e">
        <v>#N/A</v>
      </c>
      <c r="D324" s="23" t="e">
        <v>#N/A</v>
      </c>
      <c r="E324" s="24" t="s">
        <v>29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thickBot="1" x14ac:dyDescent="0.3">
      <c r="A325" s="479"/>
      <c r="B325" s="482"/>
      <c r="C325" s="485"/>
      <c r="D325" s="25" t="e">
        <v>#N/A</v>
      </c>
      <c r="E325" s="26" t="s">
        <v>30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79"/>
      <c r="B326" s="482"/>
      <c r="C326" s="485"/>
      <c r="D326" s="25" t="e">
        <v>#N/A</v>
      </c>
      <c r="E326" s="26" t="s">
        <v>31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x14ac:dyDescent="0.25">
      <c r="A327" s="479"/>
      <c r="B327" s="482"/>
      <c r="C327" s="485"/>
      <c r="D327" s="25" t="e">
        <v>#N/A</v>
      </c>
      <c r="E327" s="26" t="s">
        <v>32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80"/>
      <c r="B328" s="483"/>
      <c r="C328" s="486"/>
      <c r="D328" s="27" t="e">
        <v>#N/A</v>
      </c>
      <c r="E328" s="28" t="s">
        <v>33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78">
        <v>65</v>
      </c>
      <c r="B329" s="481" t="e">
        <v>#N/A</v>
      </c>
      <c r="C329" s="484" t="e">
        <v>#N/A</v>
      </c>
      <c r="D329" s="23" t="e">
        <v>#N/A</v>
      </c>
      <c r="E329" s="24" t="s">
        <v>29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thickBot="1" x14ac:dyDescent="0.3">
      <c r="A330" s="479"/>
      <c r="B330" s="482"/>
      <c r="C330" s="485"/>
      <c r="D330" s="25" t="e">
        <v>#N/A</v>
      </c>
      <c r="E330" s="26" t="s">
        <v>30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79"/>
      <c r="B331" s="482"/>
      <c r="C331" s="485"/>
      <c r="D331" s="25" t="e">
        <v>#N/A</v>
      </c>
      <c r="E331" s="26" t="s">
        <v>31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x14ac:dyDescent="0.25">
      <c r="A332" s="479"/>
      <c r="B332" s="482"/>
      <c r="C332" s="485"/>
      <c r="D332" s="25" t="e">
        <v>#N/A</v>
      </c>
      <c r="E332" s="26" t="s">
        <v>32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80"/>
      <c r="B333" s="483"/>
      <c r="C333" s="486"/>
      <c r="D333" s="27" t="e">
        <v>#N/A</v>
      </c>
      <c r="E333" s="28" t="s">
        <v>33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78">
        <v>66</v>
      </c>
      <c r="B334" s="481" t="e">
        <v>#N/A</v>
      </c>
      <c r="C334" s="484" t="e">
        <v>#N/A</v>
      </c>
      <c r="D334" s="23" t="e">
        <v>#N/A</v>
      </c>
      <c r="E334" s="24" t="s">
        <v>29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thickBot="1" x14ac:dyDescent="0.3">
      <c r="A335" s="479"/>
      <c r="B335" s="482"/>
      <c r="C335" s="485"/>
      <c r="D335" s="25" t="e">
        <v>#N/A</v>
      </c>
      <c r="E335" s="26" t="s">
        <v>30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79"/>
      <c r="B336" s="482"/>
      <c r="C336" s="485"/>
      <c r="D336" s="25" t="e">
        <v>#N/A</v>
      </c>
      <c r="E336" s="26" t="s">
        <v>31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x14ac:dyDescent="0.25">
      <c r="A337" s="479"/>
      <c r="B337" s="482"/>
      <c r="C337" s="485"/>
      <c r="D337" s="25" t="e">
        <v>#N/A</v>
      </c>
      <c r="E337" s="26" t="s">
        <v>32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80"/>
      <c r="B338" s="483"/>
      <c r="C338" s="486"/>
      <c r="D338" s="27" t="e">
        <v>#N/A</v>
      </c>
      <c r="E338" s="28" t="s">
        <v>33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78">
        <v>67</v>
      </c>
      <c r="B339" s="481" t="e">
        <v>#N/A</v>
      </c>
      <c r="C339" s="484" t="e">
        <v>#N/A</v>
      </c>
      <c r="D339" s="23" t="e">
        <v>#N/A</v>
      </c>
      <c r="E339" s="24" t="s">
        <v>29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thickBot="1" x14ac:dyDescent="0.3">
      <c r="A340" s="479"/>
      <c r="B340" s="482"/>
      <c r="C340" s="485"/>
      <c r="D340" s="25" t="e">
        <v>#N/A</v>
      </c>
      <c r="E340" s="26" t="s">
        <v>30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79"/>
      <c r="B341" s="482"/>
      <c r="C341" s="485"/>
      <c r="D341" s="25" t="e">
        <v>#N/A</v>
      </c>
      <c r="E341" s="26" t="s">
        <v>31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x14ac:dyDescent="0.25">
      <c r="A342" s="479"/>
      <c r="B342" s="482"/>
      <c r="C342" s="485"/>
      <c r="D342" s="25" t="e">
        <v>#N/A</v>
      </c>
      <c r="E342" s="26" t="s">
        <v>32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80"/>
      <c r="B343" s="483"/>
      <c r="C343" s="486"/>
      <c r="D343" s="27" t="e">
        <v>#N/A</v>
      </c>
      <c r="E343" s="28" t="s">
        <v>33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78">
        <v>68</v>
      </c>
      <c r="B344" s="481" t="e">
        <v>#N/A</v>
      </c>
      <c r="C344" s="484" t="e">
        <v>#N/A</v>
      </c>
      <c r="D344" s="23" t="e">
        <v>#N/A</v>
      </c>
      <c r="E344" s="24" t="s">
        <v>29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thickBot="1" x14ac:dyDescent="0.3">
      <c r="A345" s="479"/>
      <c r="B345" s="482"/>
      <c r="C345" s="485"/>
      <c r="D345" s="25" t="e">
        <v>#N/A</v>
      </c>
      <c r="E345" s="26" t="s">
        <v>30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79"/>
      <c r="B346" s="482"/>
      <c r="C346" s="485"/>
      <c r="D346" s="25" t="e">
        <v>#N/A</v>
      </c>
      <c r="E346" s="26" t="s">
        <v>31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x14ac:dyDescent="0.25">
      <c r="A347" s="479"/>
      <c r="B347" s="482"/>
      <c r="C347" s="485"/>
      <c r="D347" s="25" t="e">
        <v>#N/A</v>
      </c>
      <c r="E347" s="26" t="s">
        <v>32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80"/>
      <c r="B348" s="483"/>
      <c r="C348" s="486"/>
      <c r="D348" s="27" t="e">
        <v>#N/A</v>
      </c>
      <c r="E348" s="28" t="s">
        <v>33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78">
        <v>69</v>
      </c>
      <c r="B349" s="481" t="e">
        <v>#N/A</v>
      </c>
      <c r="C349" s="484" t="e">
        <v>#N/A</v>
      </c>
      <c r="D349" s="23" t="e">
        <v>#N/A</v>
      </c>
      <c r="E349" s="24" t="s">
        <v>29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thickBot="1" x14ac:dyDescent="0.3">
      <c r="A350" s="479"/>
      <c r="B350" s="482"/>
      <c r="C350" s="485"/>
      <c r="D350" s="25" t="e">
        <v>#N/A</v>
      </c>
      <c r="E350" s="26" t="s">
        <v>30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79"/>
      <c r="B351" s="482"/>
      <c r="C351" s="485"/>
      <c r="D351" s="25" t="e">
        <v>#N/A</v>
      </c>
      <c r="E351" s="26" t="s">
        <v>31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x14ac:dyDescent="0.25">
      <c r="A352" s="479"/>
      <c r="B352" s="482"/>
      <c r="C352" s="485"/>
      <c r="D352" s="25" t="e">
        <v>#N/A</v>
      </c>
      <c r="E352" s="26" t="s">
        <v>32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80"/>
      <c r="B353" s="483"/>
      <c r="C353" s="486"/>
      <c r="D353" s="27" t="e">
        <v>#N/A</v>
      </c>
      <c r="E353" s="28" t="s">
        <v>33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78">
        <v>70</v>
      </c>
      <c r="B354" s="481" t="e">
        <v>#N/A</v>
      </c>
      <c r="C354" s="484" t="e">
        <v>#N/A</v>
      </c>
      <c r="D354" s="23" t="e">
        <v>#N/A</v>
      </c>
      <c r="E354" s="24" t="s">
        <v>29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thickBot="1" x14ac:dyDescent="0.3">
      <c r="A355" s="479"/>
      <c r="B355" s="482"/>
      <c r="C355" s="485"/>
      <c r="D355" s="25" t="e">
        <v>#N/A</v>
      </c>
      <c r="E355" s="26" t="s">
        <v>30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79"/>
      <c r="B356" s="482"/>
      <c r="C356" s="485"/>
      <c r="D356" s="25" t="e">
        <v>#N/A</v>
      </c>
      <c r="E356" s="26" t="s">
        <v>31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x14ac:dyDescent="0.25">
      <c r="A357" s="479"/>
      <c r="B357" s="482"/>
      <c r="C357" s="485"/>
      <c r="D357" s="25" t="e">
        <v>#N/A</v>
      </c>
      <c r="E357" s="26" t="s">
        <v>32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80"/>
      <c r="B358" s="483"/>
      <c r="C358" s="486"/>
      <c r="D358" s="27" t="e">
        <v>#N/A</v>
      </c>
      <c r="E358" s="28" t="s">
        <v>33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78">
        <v>71</v>
      </c>
      <c r="B359" s="481" t="e">
        <v>#N/A</v>
      </c>
      <c r="C359" s="484" t="e">
        <v>#N/A</v>
      </c>
      <c r="D359" s="23" t="e">
        <v>#N/A</v>
      </c>
      <c r="E359" s="24" t="s">
        <v>29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thickBot="1" x14ac:dyDescent="0.3">
      <c r="A360" s="479"/>
      <c r="B360" s="482"/>
      <c r="C360" s="485"/>
      <c r="D360" s="25" t="e">
        <v>#N/A</v>
      </c>
      <c r="E360" s="26" t="s">
        <v>30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79"/>
      <c r="B361" s="482"/>
      <c r="C361" s="485"/>
      <c r="D361" s="25" t="e">
        <v>#N/A</v>
      </c>
      <c r="E361" s="26" t="s">
        <v>31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x14ac:dyDescent="0.25">
      <c r="A362" s="479"/>
      <c r="B362" s="482"/>
      <c r="C362" s="485"/>
      <c r="D362" s="25" t="e">
        <v>#N/A</v>
      </c>
      <c r="E362" s="26" t="s">
        <v>32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80"/>
      <c r="B363" s="483"/>
      <c r="C363" s="486"/>
      <c r="D363" s="27" t="e">
        <v>#N/A</v>
      </c>
      <c r="E363" s="28" t="s">
        <v>33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78">
        <v>72</v>
      </c>
      <c r="B364" s="481" t="e">
        <v>#N/A</v>
      </c>
      <c r="C364" s="484" t="e">
        <v>#N/A</v>
      </c>
      <c r="D364" s="23" t="e">
        <v>#N/A</v>
      </c>
      <c r="E364" s="24" t="s">
        <v>29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thickBot="1" x14ac:dyDescent="0.3">
      <c r="A365" s="479"/>
      <c r="B365" s="482"/>
      <c r="C365" s="485"/>
      <c r="D365" s="25" t="e">
        <v>#N/A</v>
      </c>
      <c r="E365" s="26" t="s">
        <v>30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79"/>
      <c r="B366" s="482"/>
      <c r="C366" s="485"/>
      <c r="D366" s="25" t="e">
        <v>#N/A</v>
      </c>
      <c r="E366" s="26" t="s">
        <v>31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x14ac:dyDescent="0.25">
      <c r="A367" s="479"/>
      <c r="B367" s="482"/>
      <c r="C367" s="485"/>
      <c r="D367" s="25" t="e">
        <v>#N/A</v>
      </c>
      <c r="E367" s="26" t="s">
        <v>32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80"/>
      <c r="B368" s="483"/>
      <c r="C368" s="486"/>
      <c r="D368" s="27" t="e">
        <v>#N/A</v>
      </c>
      <c r="E368" s="28" t="s">
        <v>33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78">
        <v>73</v>
      </c>
      <c r="B369" s="481" t="e">
        <v>#N/A</v>
      </c>
      <c r="C369" s="484" t="e">
        <v>#N/A</v>
      </c>
      <c r="D369" s="23" t="e">
        <v>#N/A</v>
      </c>
      <c r="E369" s="24" t="s">
        <v>29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thickBot="1" x14ac:dyDescent="0.3">
      <c r="A370" s="479"/>
      <c r="B370" s="482"/>
      <c r="C370" s="485"/>
      <c r="D370" s="25" t="e">
        <v>#N/A</v>
      </c>
      <c r="E370" s="26" t="s">
        <v>30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79"/>
      <c r="B371" s="482"/>
      <c r="C371" s="485"/>
      <c r="D371" s="25" t="e">
        <v>#N/A</v>
      </c>
      <c r="E371" s="26" t="s">
        <v>31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x14ac:dyDescent="0.25">
      <c r="A372" s="479"/>
      <c r="B372" s="482"/>
      <c r="C372" s="485"/>
      <c r="D372" s="25" t="e">
        <v>#N/A</v>
      </c>
      <c r="E372" s="26" t="s">
        <v>32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80"/>
      <c r="B373" s="483"/>
      <c r="C373" s="486"/>
      <c r="D373" s="27" t="e">
        <v>#N/A</v>
      </c>
      <c r="E373" s="28" t="s">
        <v>33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78">
        <v>74</v>
      </c>
      <c r="B374" s="481" t="e">
        <v>#N/A</v>
      </c>
      <c r="C374" s="484" t="e">
        <v>#N/A</v>
      </c>
      <c r="D374" s="23" t="e">
        <v>#N/A</v>
      </c>
      <c r="E374" s="24" t="s">
        <v>29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thickBot="1" x14ac:dyDescent="0.3">
      <c r="A375" s="479"/>
      <c r="B375" s="482"/>
      <c r="C375" s="485"/>
      <c r="D375" s="25" t="e">
        <v>#N/A</v>
      </c>
      <c r="E375" s="26" t="s">
        <v>30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79"/>
      <c r="B376" s="482"/>
      <c r="C376" s="485"/>
      <c r="D376" s="25" t="e">
        <v>#N/A</v>
      </c>
      <c r="E376" s="26" t="s">
        <v>31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x14ac:dyDescent="0.25">
      <c r="A377" s="479"/>
      <c r="B377" s="482"/>
      <c r="C377" s="485"/>
      <c r="D377" s="25" t="e">
        <v>#N/A</v>
      </c>
      <c r="E377" s="26" t="s">
        <v>32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80"/>
      <c r="B378" s="483"/>
      <c r="C378" s="486"/>
      <c r="D378" s="27" t="e">
        <v>#N/A</v>
      </c>
      <c r="E378" s="28" t="s">
        <v>33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78">
        <v>75</v>
      </c>
      <c r="B379" s="481" t="e">
        <v>#N/A</v>
      </c>
      <c r="C379" s="484" t="e">
        <v>#N/A</v>
      </c>
      <c r="D379" s="23" t="e">
        <v>#N/A</v>
      </c>
      <c r="E379" s="24" t="s">
        <v>29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thickBot="1" x14ac:dyDescent="0.3">
      <c r="A380" s="479"/>
      <c r="B380" s="482"/>
      <c r="C380" s="485"/>
      <c r="D380" s="25" t="e">
        <v>#N/A</v>
      </c>
      <c r="E380" s="26" t="s">
        <v>30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79"/>
      <c r="B381" s="482"/>
      <c r="C381" s="485"/>
      <c r="D381" s="25" t="e">
        <v>#N/A</v>
      </c>
      <c r="E381" s="26" t="s">
        <v>31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x14ac:dyDescent="0.25">
      <c r="A382" s="479"/>
      <c r="B382" s="482"/>
      <c r="C382" s="485"/>
      <c r="D382" s="25" t="e">
        <v>#N/A</v>
      </c>
      <c r="E382" s="26" t="s">
        <v>32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80"/>
      <c r="B383" s="483"/>
      <c r="C383" s="486"/>
      <c r="D383" s="27" t="e">
        <v>#N/A</v>
      </c>
      <c r="E383" s="28" t="s">
        <v>33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78">
        <v>76</v>
      </c>
      <c r="B384" s="481" t="e">
        <v>#N/A</v>
      </c>
      <c r="C384" s="484" t="e">
        <v>#N/A</v>
      </c>
      <c r="D384" s="23" t="e">
        <v>#N/A</v>
      </c>
      <c r="E384" s="24" t="s">
        <v>29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thickBot="1" x14ac:dyDescent="0.3">
      <c r="A385" s="479"/>
      <c r="B385" s="482"/>
      <c r="C385" s="485"/>
      <c r="D385" s="25" t="e">
        <v>#N/A</v>
      </c>
      <c r="E385" s="26" t="s">
        <v>30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79"/>
      <c r="B386" s="482"/>
      <c r="C386" s="485"/>
      <c r="D386" s="25" t="e">
        <v>#N/A</v>
      </c>
      <c r="E386" s="26" t="s">
        <v>31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x14ac:dyDescent="0.25">
      <c r="A387" s="479"/>
      <c r="B387" s="482"/>
      <c r="C387" s="485"/>
      <c r="D387" s="25" t="e">
        <v>#N/A</v>
      </c>
      <c r="E387" s="26" t="s">
        <v>32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80"/>
      <c r="B388" s="483"/>
      <c r="C388" s="486"/>
      <c r="D388" s="27" t="e">
        <v>#N/A</v>
      </c>
      <c r="E388" s="28" t="s">
        <v>33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78">
        <v>77</v>
      </c>
      <c r="B389" s="481" t="e">
        <v>#N/A</v>
      </c>
      <c r="C389" s="484" t="e">
        <v>#N/A</v>
      </c>
      <c r="D389" s="23" t="e">
        <v>#N/A</v>
      </c>
      <c r="E389" s="24" t="s">
        <v>29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thickBot="1" x14ac:dyDescent="0.3">
      <c r="A390" s="479"/>
      <c r="B390" s="482"/>
      <c r="C390" s="485"/>
      <c r="D390" s="25" t="e">
        <v>#N/A</v>
      </c>
      <c r="E390" s="26" t="s">
        <v>30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79"/>
      <c r="B391" s="482"/>
      <c r="C391" s="485"/>
      <c r="D391" s="25" t="e">
        <v>#N/A</v>
      </c>
      <c r="E391" s="26" t="s">
        <v>31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x14ac:dyDescent="0.25">
      <c r="A392" s="479"/>
      <c r="B392" s="482"/>
      <c r="C392" s="485"/>
      <c r="D392" s="25" t="e">
        <v>#N/A</v>
      </c>
      <c r="E392" s="26" t="s">
        <v>32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80"/>
      <c r="B393" s="483"/>
      <c r="C393" s="486"/>
      <c r="D393" s="27" t="e">
        <v>#N/A</v>
      </c>
      <c r="E393" s="28" t="s">
        <v>33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78">
        <v>78</v>
      </c>
      <c r="B394" s="481" t="e">
        <v>#N/A</v>
      </c>
      <c r="C394" s="484" t="e">
        <v>#N/A</v>
      </c>
      <c r="D394" s="23" t="e">
        <v>#N/A</v>
      </c>
      <c r="E394" s="24" t="s">
        <v>29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thickBot="1" x14ac:dyDescent="0.3">
      <c r="A395" s="479"/>
      <c r="B395" s="482"/>
      <c r="C395" s="485"/>
      <c r="D395" s="25" t="e">
        <v>#N/A</v>
      </c>
      <c r="E395" s="26" t="s">
        <v>30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79"/>
      <c r="B396" s="482"/>
      <c r="C396" s="485"/>
      <c r="D396" s="25" t="e">
        <v>#N/A</v>
      </c>
      <c r="E396" s="26" t="s">
        <v>31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x14ac:dyDescent="0.25">
      <c r="A397" s="479"/>
      <c r="B397" s="482"/>
      <c r="C397" s="485"/>
      <c r="D397" s="25" t="e">
        <v>#N/A</v>
      </c>
      <c r="E397" s="26" t="s">
        <v>32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80"/>
      <c r="B398" s="483"/>
      <c r="C398" s="486"/>
      <c r="D398" s="27" t="e">
        <v>#N/A</v>
      </c>
      <c r="E398" s="28" t="s">
        <v>33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78">
        <v>79</v>
      </c>
      <c r="B399" s="481" t="e">
        <v>#N/A</v>
      </c>
      <c r="C399" s="484" t="e">
        <v>#N/A</v>
      </c>
      <c r="D399" s="23" t="e">
        <v>#N/A</v>
      </c>
      <c r="E399" s="24" t="s">
        <v>29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thickBot="1" x14ac:dyDescent="0.3">
      <c r="A400" s="479"/>
      <c r="B400" s="482"/>
      <c r="C400" s="485"/>
      <c r="D400" s="25" t="e">
        <v>#N/A</v>
      </c>
      <c r="E400" s="26" t="s">
        <v>30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79"/>
      <c r="B401" s="482"/>
      <c r="C401" s="485"/>
      <c r="D401" s="25" t="e">
        <v>#N/A</v>
      </c>
      <c r="E401" s="26" t="s">
        <v>31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x14ac:dyDescent="0.25">
      <c r="A402" s="479"/>
      <c r="B402" s="482"/>
      <c r="C402" s="485"/>
      <c r="D402" s="25" t="e">
        <v>#N/A</v>
      </c>
      <c r="E402" s="26" t="s">
        <v>32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80"/>
      <c r="B403" s="483"/>
      <c r="C403" s="486"/>
      <c r="D403" s="27" t="e">
        <v>#N/A</v>
      </c>
      <c r="E403" s="28" t="s">
        <v>33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78">
        <v>80</v>
      </c>
      <c r="B404" s="481" t="e">
        <v>#N/A</v>
      </c>
      <c r="C404" s="484" t="e">
        <v>#N/A</v>
      </c>
      <c r="D404" s="23" t="e">
        <v>#N/A</v>
      </c>
      <c r="E404" s="24" t="s">
        <v>29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thickBot="1" x14ac:dyDescent="0.3">
      <c r="A405" s="479"/>
      <c r="B405" s="482"/>
      <c r="C405" s="485"/>
      <c r="D405" s="25" t="e">
        <v>#N/A</v>
      </c>
      <c r="E405" s="26" t="s">
        <v>30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79"/>
      <c r="B406" s="482"/>
      <c r="C406" s="485"/>
      <c r="D406" s="25" t="e">
        <v>#N/A</v>
      </c>
      <c r="E406" s="26" t="s">
        <v>31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x14ac:dyDescent="0.25">
      <c r="A407" s="479"/>
      <c r="B407" s="482"/>
      <c r="C407" s="485"/>
      <c r="D407" s="25" t="e">
        <v>#N/A</v>
      </c>
      <c r="E407" s="26" t="s">
        <v>32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80"/>
      <c r="B408" s="483"/>
      <c r="C408" s="486"/>
      <c r="D408" s="27" t="e">
        <v>#N/A</v>
      </c>
      <c r="E408" s="28" t="s">
        <v>33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customHeight="1" x14ac:dyDescent="0.25">
      <c r="A409" s="478" t="s">
        <v>37</v>
      </c>
      <c r="B409" s="481" t="s">
        <v>807</v>
      </c>
      <c r="C409" s="484" t="s">
        <v>721</v>
      </c>
      <c r="D409" s="23" t="s">
        <v>721</v>
      </c>
      <c r="E409" s="24" t="s">
        <v>29</v>
      </c>
      <c r="F409" s="358">
        <v>4</v>
      </c>
      <c r="G409" s="236">
        <v>4</v>
      </c>
      <c r="H409" s="222">
        <v>3</v>
      </c>
      <c r="I409" s="222">
        <v>3</v>
      </c>
      <c r="J409" s="236">
        <v>5</v>
      </c>
      <c r="K409" s="222">
        <v>3</v>
      </c>
      <c r="L409" s="236">
        <v>4</v>
      </c>
      <c r="M409" s="236">
        <v>4</v>
      </c>
      <c r="N409" s="236">
        <v>5</v>
      </c>
      <c r="O409" s="236">
        <v>5</v>
      </c>
      <c r="P409" s="238">
        <v>6</v>
      </c>
      <c r="Q409" s="238">
        <v>6</v>
      </c>
      <c r="R409" s="222">
        <v>3</v>
      </c>
      <c r="S409" s="238">
        <v>5</v>
      </c>
      <c r="T409" s="236">
        <v>4</v>
      </c>
      <c r="U409" s="222">
        <v>3</v>
      </c>
      <c r="V409" s="236">
        <v>4</v>
      </c>
      <c r="W409" s="381">
        <v>4</v>
      </c>
      <c r="X409" s="222">
        <v>3</v>
      </c>
      <c r="Y409" s="226"/>
      <c r="Z409" s="226"/>
      <c r="AA409" s="226"/>
      <c r="AB409" s="226"/>
      <c r="AC409" s="226"/>
      <c r="AD409" s="226"/>
      <c r="AE409" s="226"/>
      <c r="AF409" s="227"/>
      <c r="AG409" s="188">
        <v>78</v>
      </c>
      <c r="AH409" s="189">
        <v>78</v>
      </c>
      <c r="AI409" s="189">
        <v>5</v>
      </c>
    </row>
    <row r="410" spans="1:35" ht="15" customHeight="1" thickBot="1" x14ac:dyDescent="0.3">
      <c r="A410" s="479"/>
      <c r="B410" s="482"/>
      <c r="C410" s="485"/>
      <c r="D410" s="25" t="s">
        <v>721</v>
      </c>
      <c r="E410" s="26" t="s">
        <v>30</v>
      </c>
      <c r="F410" s="360">
        <v>6</v>
      </c>
      <c r="G410" s="237">
        <v>4</v>
      </c>
      <c r="H410" s="237">
        <v>4</v>
      </c>
      <c r="I410" s="239">
        <v>6</v>
      </c>
      <c r="J410" s="239">
        <v>7</v>
      </c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378">
        <v>4</v>
      </c>
      <c r="X410" s="237">
        <v>4</v>
      </c>
      <c r="Y410" s="228"/>
      <c r="Z410" s="228"/>
      <c r="AA410" s="228"/>
      <c r="AB410" s="228"/>
      <c r="AC410" s="228"/>
      <c r="AD410" s="228"/>
      <c r="AE410" s="228"/>
      <c r="AF410" s="229"/>
      <c r="AG410" s="190">
        <v>35</v>
      </c>
      <c r="AH410" s="191">
        <v>113</v>
      </c>
      <c r="AI410" s="191" t="s">
        <v>807</v>
      </c>
    </row>
    <row r="411" spans="1:35" ht="15" hidden="1" customHeight="1" x14ac:dyDescent="0.25">
      <c r="A411" s="479"/>
      <c r="B411" s="482"/>
      <c r="C411" s="485"/>
      <c r="D411" s="25" t="s">
        <v>721</v>
      </c>
      <c r="E411" s="26" t="s">
        <v>31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113</v>
      </c>
      <c r="AI411" s="191" t="s">
        <v>807</v>
      </c>
    </row>
    <row r="412" spans="1:35" ht="15.75" hidden="1" customHeight="1" x14ac:dyDescent="0.25">
      <c r="A412" s="479"/>
      <c r="B412" s="482"/>
      <c r="C412" s="485"/>
      <c r="D412" s="25" t="s">
        <v>721</v>
      </c>
      <c r="E412" s="26" t="s">
        <v>32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113</v>
      </c>
      <c r="AI412" s="191" t="s">
        <v>807</v>
      </c>
    </row>
    <row r="413" spans="1:35" ht="15.75" hidden="1" customHeight="1" thickBot="1" x14ac:dyDescent="0.3">
      <c r="A413" s="480"/>
      <c r="B413" s="483"/>
      <c r="C413" s="486"/>
      <c r="D413" s="27" t="s">
        <v>721</v>
      </c>
      <c r="E413" s="28" t="s">
        <v>33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113</v>
      </c>
      <c r="AI413" s="193" t="s">
        <v>807</v>
      </c>
    </row>
    <row r="414" spans="1:35" ht="15" hidden="1" customHeight="1" x14ac:dyDescent="0.25">
      <c r="A414" s="478" t="s">
        <v>38</v>
      </c>
      <c r="B414" s="481" t="e">
        <v>#N/A</v>
      </c>
      <c r="C414" s="484" t="e">
        <v>#N/A</v>
      </c>
      <c r="D414" s="23" t="e">
        <v>#N/A</v>
      </c>
      <c r="E414" s="24" t="s">
        <v>29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thickBot="1" x14ac:dyDescent="0.3">
      <c r="A415" s="479"/>
      <c r="B415" s="482"/>
      <c r="C415" s="485"/>
      <c r="D415" s="25" t="e">
        <v>#N/A</v>
      </c>
      <c r="E415" s="26" t="s">
        <v>30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79"/>
      <c r="B416" s="482"/>
      <c r="C416" s="485"/>
      <c r="D416" s="25" t="e">
        <v>#N/A</v>
      </c>
      <c r="E416" s="26" t="s">
        <v>31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x14ac:dyDescent="0.25">
      <c r="A417" s="479"/>
      <c r="B417" s="482"/>
      <c r="C417" s="485"/>
      <c r="D417" s="25" t="e">
        <v>#N/A</v>
      </c>
      <c r="E417" s="26" t="s">
        <v>32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80"/>
      <c r="B418" s="483"/>
      <c r="C418" s="486"/>
      <c r="D418" s="27" t="e">
        <v>#N/A</v>
      </c>
      <c r="E418" s="28" t="s">
        <v>33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78" t="s">
        <v>39</v>
      </c>
      <c r="B419" s="481" t="e">
        <v>#N/A</v>
      </c>
      <c r="C419" s="484" t="e">
        <v>#N/A</v>
      </c>
      <c r="D419" s="23" t="e">
        <v>#N/A</v>
      </c>
      <c r="E419" s="24" t="s">
        <v>29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thickBot="1" x14ac:dyDescent="0.3">
      <c r="A420" s="479"/>
      <c r="B420" s="482"/>
      <c r="C420" s="485"/>
      <c r="D420" s="25" t="e">
        <v>#N/A</v>
      </c>
      <c r="E420" s="26" t="s">
        <v>30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79"/>
      <c r="B421" s="482"/>
      <c r="C421" s="485"/>
      <c r="D421" s="25" t="e">
        <v>#N/A</v>
      </c>
      <c r="E421" s="26" t="s">
        <v>31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x14ac:dyDescent="0.25">
      <c r="A422" s="479"/>
      <c r="B422" s="482"/>
      <c r="C422" s="485"/>
      <c r="D422" s="25" t="e">
        <v>#N/A</v>
      </c>
      <c r="E422" s="26" t="s">
        <v>32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80"/>
      <c r="B423" s="483"/>
      <c r="C423" s="486"/>
      <c r="D423" s="27" t="e">
        <v>#N/A</v>
      </c>
      <c r="E423" s="28" t="s">
        <v>33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78" t="s">
        <v>40</v>
      </c>
      <c r="B424" s="481" t="e">
        <v>#N/A</v>
      </c>
      <c r="C424" s="484" t="e">
        <v>#N/A</v>
      </c>
      <c r="D424" s="23" t="e">
        <v>#N/A</v>
      </c>
      <c r="E424" s="24" t="s">
        <v>29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thickBot="1" x14ac:dyDescent="0.3">
      <c r="A425" s="479"/>
      <c r="B425" s="482"/>
      <c r="C425" s="485"/>
      <c r="D425" s="25" t="e">
        <v>#N/A</v>
      </c>
      <c r="E425" s="26" t="s">
        <v>30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79"/>
      <c r="B426" s="482"/>
      <c r="C426" s="485"/>
      <c r="D426" s="25" t="e">
        <v>#N/A</v>
      </c>
      <c r="E426" s="26" t="s">
        <v>31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x14ac:dyDescent="0.25">
      <c r="A427" s="479"/>
      <c r="B427" s="482"/>
      <c r="C427" s="485"/>
      <c r="D427" s="25" t="e">
        <v>#N/A</v>
      </c>
      <c r="E427" s="26" t="s">
        <v>32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80"/>
      <c r="B428" s="483"/>
      <c r="C428" s="486"/>
      <c r="D428" s="27" t="e">
        <v>#N/A</v>
      </c>
      <c r="E428" s="28" t="s">
        <v>33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78" t="s">
        <v>41</v>
      </c>
      <c r="B429" s="481" t="e">
        <v>#N/A</v>
      </c>
      <c r="C429" s="484" t="e">
        <v>#N/A</v>
      </c>
      <c r="D429" s="23" t="e">
        <v>#N/A</v>
      </c>
      <c r="E429" s="24" t="s">
        <v>29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thickBot="1" x14ac:dyDescent="0.3">
      <c r="A430" s="479"/>
      <c r="B430" s="482"/>
      <c r="C430" s="485"/>
      <c r="D430" s="25" t="e">
        <v>#N/A</v>
      </c>
      <c r="E430" s="26" t="s">
        <v>30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79"/>
      <c r="B431" s="482"/>
      <c r="C431" s="485"/>
      <c r="D431" s="25" t="e">
        <v>#N/A</v>
      </c>
      <c r="E431" s="26" t="s">
        <v>31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x14ac:dyDescent="0.25">
      <c r="A432" s="479"/>
      <c r="B432" s="482"/>
      <c r="C432" s="485"/>
      <c r="D432" s="25" t="e">
        <v>#N/A</v>
      </c>
      <c r="E432" s="26" t="s">
        <v>32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80"/>
      <c r="B433" s="483"/>
      <c r="C433" s="486"/>
      <c r="D433" s="27" t="e">
        <v>#N/A</v>
      </c>
      <c r="E433" s="28" t="s">
        <v>33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78" t="s">
        <v>42</v>
      </c>
      <c r="B434" s="481" t="e">
        <v>#N/A</v>
      </c>
      <c r="C434" s="484" t="e">
        <v>#N/A</v>
      </c>
      <c r="D434" s="23" t="e">
        <v>#N/A</v>
      </c>
      <c r="E434" s="24" t="s">
        <v>29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thickBot="1" x14ac:dyDescent="0.3">
      <c r="A435" s="479"/>
      <c r="B435" s="482"/>
      <c r="C435" s="485"/>
      <c r="D435" s="25" t="e">
        <v>#N/A</v>
      </c>
      <c r="E435" s="26" t="s">
        <v>30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79"/>
      <c r="B436" s="482"/>
      <c r="C436" s="485"/>
      <c r="D436" s="25" t="e">
        <v>#N/A</v>
      </c>
      <c r="E436" s="26" t="s">
        <v>31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x14ac:dyDescent="0.25">
      <c r="A437" s="479"/>
      <c r="B437" s="482"/>
      <c r="C437" s="485"/>
      <c r="D437" s="25" t="e">
        <v>#N/A</v>
      </c>
      <c r="E437" s="26" t="s">
        <v>32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80"/>
      <c r="B438" s="483"/>
      <c r="C438" s="486"/>
      <c r="D438" s="27" t="e">
        <v>#N/A</v>
      </c>
      <c r="E438" s="28" t="s">
        <v>33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78" t="s">
        <v>43</v>
      </c>
      <c r="B439" s="481" t="e">
        <v>#N/A</v>
      </c>
      <c r="C439" s="484" t="e">
        <v>#N/A</v>
      </c>
      <c r="D439" s="23" t="e">
        <v>#N/A</v>
      </c>
      <c r="E439" s="24" t="s">
        <v>29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thickBot="1" x14ac:dyDescent="0.3">
      <c r="A440" s="479"/>
      <c r="B440" s="482"/>
      <c r="C440" s="485"/>
      <c r="D440" s="25" t="e">
        <v>#N/A</v>
      </c>
      <c r="E440" s="26" t="s">
        <v>30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79"/>
      <c r="B441" s="482"/>
      <c r="C441" s="485"/>
      <c r="D441" s="25" t="e">
        <v>#N/A</v>
      </c>
      <c r="E441" s="26" t="s">
        <v>31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x14ac:dyDescent="0.25">
      <c r="A442" s="479"/>
      <c r="B442" s="482"/>
      <c r="C442" s="485"/>
      <c r="D442" s="25" t="e">
        <v>#N/A</v>
      </c>
      <c r="E442" s="26" t="s">
        <v>32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80"/>
      <c r="B443" s="483"/>
      <c r="C443" s="486"/>
      <c r="D443" s="27" t="e">
        <v>#N/A</v>
      </c>
      <c r="E443" s="28" t="s">
        <v>33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78" t="s">
        <v>44</v>
      </c>
      <c r="B444" s="481" t="e">
        <v>#N/A</v>
      </c>
      <c r="C444" s="484" t="e">
        <v>#N/A</v>
      </c>
      <c r="D444" s="23" t="e">
        <v>#N/A</v>
      </c>
      <c r="E444" s="24" t="s">
        <v>29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thickBot="1" x14ac:dyDescent="0.3">
      <c r="A445" s="479"/>
      <c r="B445" s="482"/>
      <c r="C445" s="485"/>
      <c r="D445" s="25" t="e">
        <v>#N/A</v>
      </c>
      <c r="E445" s="26" t="s">
        <v>30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79"/>
      <c r="B446" s="482"/>
      <c r="C446" s="485"/>
      <c r="D446" s="25" t="e">
        <v>#N/A</v>
      </c>
      <c r="E446" s="26" t="s">
        <v>31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x14ac:dyDescent="0.25">
      <c r="A447" s="479"/>
      <c r="B447" s="482"/>
      <c r="C447" s="485"/>
      <c r="D447" s="25" t="e">
        <v>#N/A</v>
      </c>
      <c r="E447" s="26" t="s">
        <v>32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80"/>
      <c r="B448" s="482"/>
      <c r="C448" s="485"/>
      <c r="D448" s="25" t="e">
        <v>#N/A</v>
      </c>
      <c r="E448" s="26" t="s">
        <v>33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5"/>
      <c r="Z449" s="355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7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7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7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7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7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7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7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7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7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7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7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7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7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7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7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7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7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7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7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7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7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7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7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7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7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7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7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7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7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7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7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7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7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7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7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7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7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7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7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7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7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7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7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7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7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7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7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7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7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7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7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7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7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7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7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7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7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7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7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7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7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7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7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7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7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7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7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7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7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7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7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7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7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7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7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7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7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7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7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7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7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7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7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7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7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7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7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7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7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7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7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7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7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7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7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7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7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7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7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7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7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7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7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7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7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7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7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7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7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7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7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7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7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7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7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7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7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7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7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7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7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7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7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7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7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7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7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7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7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7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7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7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7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7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7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7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7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7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7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7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7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7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7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7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7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7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7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7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7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7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7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7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7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7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7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7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7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7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7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7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7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7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7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7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7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7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7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7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7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7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7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7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7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7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7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7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7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7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7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7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7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7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7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7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7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7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7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7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7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7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7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7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7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7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7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7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7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7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7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7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7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7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7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7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7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7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7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7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7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7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7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7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7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7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7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7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7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7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7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7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7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7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7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7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7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7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7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7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7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7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7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7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7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7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7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7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7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7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7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7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7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7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7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7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7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7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7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7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7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7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7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7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7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7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7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7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7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7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7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7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7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7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7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7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7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7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7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7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7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7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7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7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7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7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7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7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7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7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7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7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7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7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7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7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7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7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7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7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7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7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7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7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7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7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7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7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7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7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7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7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7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7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7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7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7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7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7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7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7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7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7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7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7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7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7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7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7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7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7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7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7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7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7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7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7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7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7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7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7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7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7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7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7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7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7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7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7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7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7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7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7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7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7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7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7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7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7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7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7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7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7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7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7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7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7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7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7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7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7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7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7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7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7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7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7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7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7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7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7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7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7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7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7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7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7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7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7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7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7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7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7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7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7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7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7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7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7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7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7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7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7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7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7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7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7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7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7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7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7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7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7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7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7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7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7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7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7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7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7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7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7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7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7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7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7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7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7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7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7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7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7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7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7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7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7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7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7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7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7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7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7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7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7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7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7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7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7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7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7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7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7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7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7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7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7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7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7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7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7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7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7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7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7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7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7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7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7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7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7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7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7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7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7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7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7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7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7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7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7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7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7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7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7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7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7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7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7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7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7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7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7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7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7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7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7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7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7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7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7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7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7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7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7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7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7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7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7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7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7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7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7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7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7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7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7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7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7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7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7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7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7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7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7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7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7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7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7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7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7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7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7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7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7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7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7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7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7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7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7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7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7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7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7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7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7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7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7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7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7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7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7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7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7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7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7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7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7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7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7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7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7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4" width="3.7109375" style="69" customWidth="1"/>
    <col min="25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36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 t="s">
        <v>695</v>
      </c>
      <c r="R1" s="52">
        <v>12</v>
      </c>
      <c r="S1" s="52">
        <v>13</v>
      </c>
      <c r="T1" s="52">
        <v>14</v>
      </c>
      <c r="U1" s="52">
        <v>15</v>
      </c>
      <c r="V1" s="52">
        <v>16</v>
      </c>
      <c r="W1" s="140">
        <v>17</v>
      </c>
      <c r="X1" s="52">
        <v>18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96" t="s">
        <v>22</v>
      </c>
      <c r="AH1" s="497"/>
      <c r="AI1" s="487" t="s">
        <v>477</v>
      </c>
    </row>
    <row r="2" spans="1:35" ht="15" customHeight="1" x14ac:dyDescent="0.25">
      <c r="A2" s="4" t="s">
        <v>35</v>
      </c>
      <c r="E2" s="34" t="s">
        <v>23</v>
      </c>
      <c r="F2" s="141">
        <v>3</v>
      </c>
      <c r="G2" s="54">
        <v>3</v>
      </c>
      <c r="H2" s="54">
        <v>3</v>
      </c>
      <c r="I2" s="54">
        <v>3</v>
      </c>
      <c r="J2" s="54">
        <v>4</v>
      </c>
      <c r="K2" s="54">
        <v>3</v>
      </c>
      <c r="L2" s="54">
        <v>3</v>
      </c>
      <c r="M2" s="54">
        <v>3</v>
      </c>
      <c r="N2" s="54">
        <v>4</v>
      </c>
      <c r="O2" s="54">
        <v>4</v>
      </c>
      <c r="P2" s="54">
        <v>4</v>
      </c>
      <c r="Q2" s="54">
        <v>3</v>
      </c>
      <c r="R2" s="54">
        <v>3</v>
      </c>
      <c r="S2" s="54">
        <v>3</v>
      </c>
      <c r="T2" s="54">
        <v>3</v>
      </c>
      <c r="U2" s="54">
        <v>3</v>
      </c>
      <c r="V2" s="54">
        <v>3</v>
      </c>
      <c r="W2" s="54">
        <v>3</v>
      </c>
      <c r="X2" s="54">
        <v>3</v>
      </c>
      <c r="Y2" s="54" t="s">
        <v>53</v>
      </c>
      <c r="Z2" s="54" t="s">
        <v>53</v>
      </c>
      <c r="AA2" s="54" t="s">
        <v>53</v>
      </c>
      <c r="AB2" s="54" t="s">
        <v>53</v>
      </c>
      <c r="AC2" s="54" t="s">
        <v>53</v>
      </c>
      <c r="AD2" s="54" t="s">
        <v>53</v>
      </c>
      <c r="AE2" s="54" t="s">
        <v>53</v>
      </c>
      <c r="AF2" s="55" t="s">
        <v>53</v>
      </c>
      <c r="AG2" s="498">
        <v>61</v>
      </c>
      <c r="AH2" s="499"/>
      <c r="AI2" s="488"/>
    </row>
    <row r="3" spans="1:35" ht="15" customHeight="1" x14ac:dyDescent="0.25">
      <c r="A3" s="4" t="s">
        <v>35</v>
      </c>
      <c r="E3" s="13" t="s">
        <v>24</v>
      </c>
      <c r="F3" s="361">
        <v>3.2520325203252032</v>
      </c>
      <c r="G3" s="362">
        <v>3.1626016260162602</v>
      </c>
      <c r="H3" s="362">
        <v>3.4227642276422765</v>
      </c>
      <c r="I3" s="362">
        <v>3.3739837398373984</v>
      </c>
      <c r="J3" s="362">
        <v>4.1056910569105689</v>
      </c>
      <c r="K3" s="362">
        <v>3.4390243902439024</v>
      </c>
      <c r="L3" s="362">
        <v>3.3495934959349594</v>
      </c>
      <c r="M3" s="362">
        <v>3.024390243902439</v>
      </c>
      <c r="N3" s="362">
        <v>4.4634146341463419</v>
      </c>
      <c r="O3" s="362">
        <v>4.5528455284552845</v>
      </c>
      <c r="P3" s="362">
        <v>4.9674796747967482</v>
      </c>
      <c r="Q3" s="362">
        <v>3.5121951219512195</v>
      </c>
      <c r="R3" s="362">
        <v>3.154471544715447</v>
      </c>
      <c r="S3" s="362">
        <v>3.2682926829268291</v>
      </c>
      <c r="T3" s="362">
        <v>3.4227642276422765</v>
      </c>
      <c r="U3" s="362">
        <v>2.910569105691057</v>
      </c>
      <c r="V3" s="362">
        <v>3.3008130081300813</v>
      </c>
      <c r="W3" s="362">
        <v>3.4959349593495936</v>
      </c>
      <c r="X3" s="362">
        <v>3.5853658536585367</v>
      </c>
      <c r="Y3" s="362" t="s">
        <v>53</v>
      </c>
      <c r="Z3" s="362" t="s">
        <v>53</v>
      </c>
      <c r="AA3" s="36" t="s">
        <v>53</v>
      </c>
      <c r="AB3" s="36" t="s">
        <v>53</v>
      </c>
      <c r="AC3" s="36" t="s">
        <v>53</v>
      </c>
      <c r="AD3" s="36" t="s">
        <v>53</v>
      </c>
      <c r="AE3" s="36" t="s">
        <v>53</v>
      </c>
      <c r="AF3" s="36" t="s">
        <v>53</v>
      </c>
      <c r="AG3" s="500">
        <v>67.764227642276424</v>
      </c>
      <c r="AH3" s="501"/>
      <c r="AI3" s="488"/>
    </row>
    <row r="4" spans="1:35" ht="15" customHeight="1" x14ac:dyDescent="0.25">
      <c r="A4" s="4" t="s">
        <v>35</v>
      </c>
      <c r="B4" s="490" t="s">
        <v>693</v>
      </c>
      <c r="C4" s="491"/>
      <c r="E4" s="13" t="s">
        <v>47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 t="s">
        <v>53</v>
      </c>
      <c r="Z4" s="56" t="s">
        <v>53</v>
      </c>
      <c r="AA4" s="7" t="s">
        <v>53</v>
      </c>
      <c r="AB4" s="7" t="s">
        <v>53</v>
      </c>
      <c r="AC4" s="7" t="s">
        <v>53</v>
      </c>
      <c r="AD4" s="7" t="s">
        <v>53</v>
      </c>
      <c r="AE4" s="7" t="s">
        <v>53</v>
      </c>
      <c r="AF4" s="7" t="s">
        <v>53</v>
      </c>
      <c r="AG4" s="500">
        <v>0</v>
      </c>
      <c r="AH4" s="501"/>
      <c r="AI4" s="488"/>
    </row>
    <row r="5" spans="1:35" ht="15" customHeight="1" x14ac:dyDescent="0.25">
      <c r="A5" s="4" t="s">
        <v>35</v>
      </c>
      <c r="B5" s="490"/>
      <c r="C5" s="491"/>
      <c r="E5" s="13" t="s">
        <v>45</v>
      </c>
      <c r="F5" s="363">
        <v>26</v>
      </c>
      <c r="G5" s="56">
        <v>17</v>
      </c>
      <c r="H5" s="56">
        <v>12</v>
      </c>
      <c r="I5" s="56">
        <v>10</v>
      </c>
      <c r="J5" s="56">
        <v>27</v>
      </c>
      <c r="K5" s="56">
        <v>12</v>
      </c>
      <c r="L5" s="56">
        <v>8</v>
      </c>
      <c r="M5" s="56">
        <v>21</v>
      </c>
      <c r="N5" s="56">
        <v>8</v>
      </c>
      <c r="O5" s="56">
        <v>8</v>
      </c>
      <c r="P5" s="56">
        <v>3</v>
      </c>
      <c r="Q5" s="56">
        <v>9</v>
      </c>
      <c r="R5" s="56">
        <v>23</v>
      </c>
      <c r="S5" s="56">
        <v>14</v>
      </c>
      <c r="T5" s="56">
        <v>15</v>
      </c>
      <c r="U5" s="56">
        <v>32</v>
      </c>
      <c r="V5" s="56">
        <v>10</v>
      </c>
      <c r="W5" s="364">
        <v>48</v>
      </c>
      <c r="X5" s="56">
        <v>2</v>
      </c>
      <c r="Y5" s="56" t="s">
        <v>53</v>
      </c>
      <c r="Z5" s="56" t="s">
        <v>53</v>
      </c>
      <c r="AA5" s="56" t="s">
        <v>53</v>
      </c>
      <c r="AB5" s="56" t="s">
        <v>53</v>
      </c>
      <c r="AC5" s="56" t="s">
        <v>53</v>
      </c>
      <c r="AD5" s="56" t="s">
        <v>53</v>
      </c>
      <c r="AE5" s="56" t="s">
        <v>53</v>
      </c>
      <c r="AF5" s="57" t="s">
        <v>53</v>
      </c>
      <c r="AG5" s="500">
        <v>303</v>
      </c>
      <c r="AH5" s="501"/>
      <c r="AI5" s="488"/>
    </row>
    <row r="6" spans="1:35" ht="15" customHeight="1" x14ac:dyDescent="0.25">
      <c r="A6" s="4" t="s">
        <v>35</v>
      </c>
      <c r="B6" s="492" t="s">
        <v>694</v>
      </c>
      <c r="C6" s="493"/>
      <c r="E6" s="13" t="s">
        <v>27</v>
      </c>
      <c r="F6" s="363">
        <v>26</v>
      </c>
      <c r="G6" s="56">
        <v>24</v>
      </c>
      <c r="H6" s="56">
        <v>37</v>
      </c>
      <c r="I6" s="56">
        <v>33</v>
      </c>
      <c r="J6" s="56">
        <v>30</v>
      </c>
      <c r="K6" s="56">
        <v>44</v>
      </c>
      <c r="L6" s="56">
        <v>35</v>
      </c>
      <c r="M6" s="56">
        <v>20</v>
      </c>
      <c r="N6" s="56">
        <v>38</v>
      </c>
      <c r="O6" s="56">
        <v>35</v>
      </c>
      <c r="P6" s="56">
        <v>49</v>
      </c>
      <c r="Q6" s="56">
        <v>25</v>
      </c>
      <c r="R6" s="56">
        <v>24</v>
      </c>
      <c r="S6" s="56">
        <v>31</v>
      </c>
      <c r="T6" s="56">
        <v>33</v>
      </c>
      <c r="U6" s="56">
        <v>8</v>
      </c>
      <c r="V6" s="56">
        <v>37</v>
      </c>
      <c r="W6" s="364">
        <v>32</v>
      </c>
      <c r="X6" s="56">
        <v>56</v>
      </c>
      <c r="Y6" s="56" t="s">
        <v>53</v>
      </c>
      <c r="Z6" s="56" t="s">
        <v>53</v>
      </c>
      <c r="AA6" s="56" t="s">
        <v>53</v>
      </c>
      <c r="AB6" s="56" t="s">
        <v>53</v>
      </c>
      <c r="AC6" s="56" t="s">
        <v>53</v>
      </c>
      <c r="AD6" s="56" t="s">
        <v>53</v>
      </c>
      <c r="AE6" s="56" t="s">
        <v>53</v>
      </c>
      <c r="AF6" s="57" t="s">
        <v>53</v>
      </c>
      <c r="AG6" s="500">
        <v>561</v>
      </c>
      <c r="AH6" s="501"/>
      <c r="AI6" s="488"/>
    </row>
    <row r="7" spans="1:35" ht="15" customHeight="1" thickBot="1" x14ac:dyDescent="0.3">
      <c r="A7" s="4" t="s">
        <v>35</v>
      </c>
      <c r="B7" s="494"/>
      <c r="C7" s="495"/>
      <c r="E7" s="30" t="s">
        <v>46</v>
      </c>
      <c r="F7" s="365">
        <v>12</v>
      </c>
      <c r="G7" s="58">
        <v>6</v>
      </c>
      <c r="H7" s="58">
        <v>13</v>
      </c>
      <c r="I7" s="58">
        <v>11</v>
      </c>
      <c r="J7" s="58">
        <v>5</v>
      </c>
      <c r="K7" s="58">
        <v>10</v>
      </c>
      <c r="L7" s="58">
        <v>8</v>
      </c>
      <c r="M7" s="58">
        <v>2</v>
      </c>
      <c r="N7" s="58">
        <v>12</v>
      </c>
      <c r="O7" s="58">
        <v>19</v>
      </c>
      <c r="P7" s="58">
        <v>33</v>
      </c>
      <c r="Q7" s="58">
        <v>22</v>
      </c>
      <c r="R7" s="58">
        <v>8</v>
      </c>
      <c r="S7" s="58">
        <v>6</v>
      </c>
      <c r="T7" s="58">
        <v>16</v>
      </c>
      <c r="U7" s="58">
        <v>6</v>
      </c>
      <c r="V7" s="58">
        <v>5</v>
      </c>
      <c r="W7" s="366">
        <v>31</v>
      </c>
      <c r="X7" s="58">
        <v>8</v>
      </c>
      <c r="Y7" s="58" t="s">
        <v>53</v>
      </c>
      <c r="Z7" s="58" t="s">
        <v>53</v>
      </c>
      <c r="AA7" s="58" t="s">
        <v>53</v>
      </c>
      <c r="AB7" s="58" t="s">
        <v>53</v>
      </c>
      <c r="AC7" s="58" t="s">
        <v>53</v>
      </c>
      <c r="AD7" s="58" t="s">
        <v>53</v>
      </c>
      <c r="AE7" s="58" t="s">
        <v>53</v>
      </c>
      <c r="AF7" s="59" t="s">
        <v>53</v>
      </c>
      <c r="AG7" s="502">
        <v>225</v>
      </c>
      <c r="AH7" s="503"/>
      <c r="AI7" s="489"/>
    </row>
    <row r="8" spans="1:35" ht="15" customHeight="1" thickBot="1" x14ac:dyDescent="0.3">
      <c r="A8" s="4" t="s">
        <v>35</v>
      </c>
      <c r="B8" s="39" t="s">
        <v>56</v>
      </c>
      <c r="C8" s="40" t="s">
        <v>48</v>
      </c>
      <c r="D8" s="41"/>
      <c r="E8" s="42" t="s">
        <v>34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8">
        <v>1</v>
      </c>
      <c r="B9" s="504">
        <v>1</v>
      </c>
      <c r="C9" s="507" t="s">
        <v>0</v>
      </c>
      <c r="D9" s="43" t="s">
        <v>0</v>
      </c>
      <c r="E9" s="44" t="s">
        <v>29</v>
      </c>
      <c r="F9" s="223">
        <v>3</v>
      </c>
      <c r="G9" s="241">
        <v>2</v>
      </c>
      <c r="H9" s="241">
        <v>2</v>
      </c>
      <c r="I9" s="222">
        <v>3</v>
      </c>
      <c r="J9" s="241">
        <v>3</v>
      </c>
      <c r="K9" s="222">
        <v>3</v>
      </c>
      <c r="L9" s="236">
        <v>4</v>
      </c>
      <c r="M9" s="241">
        <v>2</v>
      </c>
      <c r="N9" s="222">
        <v>4</v>
      </c>
      <c r="O9" s="241">
        <v>3</v>
      </c>
      <c r="P9" s="238">
        <v>6</v>
      </c>
      <c r="Q9" s="241">
        <v>2</v>
      </c>
      <c r="R9" s="241">
        <v>2</v>
      </c>
      <c r="S9" s="222">
        <v>3</v>
      </c>
      <c r="T9" s="222">
        <v>3</v>
      </c>
      <c r="U9" s="222">
        <v>3</v>
      </c>
      <c r="V9" s="241">
        <v>2</v>
      </c>
      <c r="W9" s="387">
        <v>2</v>
      </c>
      <c r="X9" s="222">
        <v>3</v>
      </c>
      <c r="Y9" s="226"/>
      <c r="Z9" s="226"/>
      <c r="AA9" s="226"/>
      <c r="AB9" s="226"/>
      <c r="AC9" s="226"/>
      <c r="AD9" s="226"/>
      <c r="AE9" s="226"/>
      <c r="AF9" s="227"/>
      <c r="AG9" s="184">
        <v>55</v>
      </c>
      <c r="AH9" s="185">
        <v>55</v>
      </c>
      <c r="AI9" s="185">
        <v>2</v>
      </c>
    </row>
    <row r="10" spans="1:35" ht="15" customHeight="1" thickBot="1" x14ac:dyDescent="0.3">
      <c r="A10" s="479"/>
      <c r="B10" s="505"/>
      <c r="C10" s="508"/>
      <c r="D10" s="45" t="s">
        <v>0</v>
      </c>
      <c r="E10" s="46" t="s">
        <v>30</v>
      </c>
      <c r="F10" s="240">
        <v>2</v>
      </c>
      <c r="G10" s="237">
        <v>4</v>
      </c>
      <c r="H10" s="225">
        <v>3</v>
      </c>
      <c r="I10" s="225">
        <v>3</v>
      </c>
      <c r="J10" s="235">
        <v>3</v>
      </c>
      <c r="K10" s="235">
        <v>2</v>
      </c>
      <c r="L10" s="235">
        <v>2</v>
      </c>
      <c r="M10" s="225">
        <v>3</v>
      </c>
      <c r="N10" s="225">
        <v>4</v>
      </c>
      <c r="O10" s="225">
        <v>4</v>
      </c>
      <c r="P10" s="235">
        <v>3</v>
      </c>
      <c r="Q10" s="225">
        <v>3</v>
      </c>
      <c r="R10" s="225">
        <v>3</v>
      </c>
      <c r="S10" s="225">
        <v>3</v>
      </c>
      <c r="T10" s="237">
        <v>4</v>
      </c>
      <c r="U10" s="225">
        <v>3</v>
      </c>
      <c r="V10" s="235">
        <v>2</v>
      </c>
      <c r="W10" s="377">
        <v>3</v>
      </c>
      <c r="X10" s="225">
        <v>3</v>
      </c>
      <c r="Y10" s="228"/>
      <c r="Z10" s="228"/>
      <c r="AA10" s="228"/>
      <c r="AB10" s="228"/>
      <c r="AC10" s="228"/>
      <c r="AD10" s="228"/>
      <c r="AE10" s="228"/>
      <c r="AF10" s="229"/>
      <c r="AG10" s="166">
        <v>57</v>
      </c>
      <c r="AH10" s="186">
        <v>112</v>
      </c>
      <c r="AI10" s="186">
        <v>1</v>
      </c>
    </row>
    <row r="11" spans="1:35" ht="15" hidden="1" customHeight="1" x14ac:dyDescent="0.25">
      <c r="A11" s="479"/>
      <c r="B11" s="505"/>
      <c r="C11" s="508"/>
      <c r="D11" s="45" t="s">
        <v>0</v>
      </c>
      <c r="E11" s="46" t="s">
        <v>31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2"/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0</v>
      </c>
      <c r="AH11" s="186">
        <v>112</v>
      </c>
      <c r="AI11" s="186">
        <v>1</v>
      </c>
    </row>
    <row r="12" spans="1:35" ht="15.75" hidden="1" customHeight="1" x14ac:dyDescent="0.25">
      <c r="A12" s="479"/>
      <c r="B12" s="505"/>
      <c r="C12" s="508"/>
      <c r="D12" s="45" t="s">
        <v>0</v>
      </c>
      <c r="E12" s="46" t="s">
        <v>32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0</v>
      </c>
      <c r="AH12" s="186">
        <v>112</v>
      </c>
      <c r="AI12" s="186">
        <v>1</v>
      </c>
    </row>
    <row r="13" spans="1:35" ht="15.75" hidden="1" customHeight="1" thickBot="1" x14ac:dyDescent="0.3">
      <c r="A13" s="480"/>
      <c r="B13" s="506"/>
      <c r="C13" s="509"/>
      <c r="D13" s="47" t="s">
        <v>0</v>
      </c>
      <c r="E13" s="48" t="s">
        <v>33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112</v>
      </c>
      <c r="AI13" s="187">
        <v>1</v>
      </c>
    </row>
    <row r="14" spans="1:35" ht="15" customHeight="1" x14ac:dyDescent="0.25">
      <c r="A14" s="478">
        <v>2</v>
      </c>
      <c r="B14" s="504">
        <v>2</v>
      </c>
      <c r="C14" s="507" t="s">
        <v>696</v>
      </c>
      <c r="D14" s="43" t="s">
        <v>696</v>
      </c>
      <c r="E14" s="44" t="s">
        <v>29</v>
      </c>
      <c r="F14" s="245">
        <v>2</v>
      </c>
      <c r="G14" s="241">
        <v>2</v>
      </c>
      <c r="H14" s="241">
        <v>2</v>
      </c>
      <c r="I14" s="236">
        <v>4</v>
      </c>
      <c r="J14" s="241">
        <v>3</v>
      </c>
      <c r="K14" s="222">
        <v>3</v>
      </c>
      <c r="L14" s="241">
        <v>2</v>
      </c>
      <c r="M14" s="222">
        <v>3</v>
      </c>
      <c r="N14" s="241">
        <v>3</v>
      </c>
      <c r="O14" s="236">
        <v>5</v>
      </c>
      <c r="P14" s="222">
        <v>4</v>
      </c>
      <c r="Q14" s="222">
        <v>3</v>
      </c>
      <c r="R14" s="222">
        <v>3</v>
      </c>
      <c r="S14" s="222">
        <v>3</v>
      </c>
      <c r="T14" s="241">
        <v>2</v>
      </c>
      <c r="U14" s="241">
        <v>2</v>
      </c>
      <c r="V14" s="222">
        <v>3</v>
      </c>
      <c r="W14" s="387">
        <v>2</v>
      </c>
      <c r="X14" s="222">
        <v>3</v>
      </c>
      <c r="Y14" s="226"/>
      <c r="Z14" s="226"/>
      <c r="AA14" s="226"/>
      <c r="AB14" s="226"/>
      <c r="AC14" s="226"/>
      <c r="AD14" s="226"/>
      <c r="AE14" s="226"/>
      <c r="AF14" s="227"/>
      <c r="AG14" s="184">
        <v>54</v>
      </c>
      <c r="AH14" s="185">
        <v>54</v>
      </c>
      <c r="AI14" s="185">
        <v>1</v>
      </c>
    </row>
    <row r="15" spans="1:35" ht="15" customHeight="1" thickBot="1" x14ac:dyDescent="0.3">
      <c r="A15" s="479"/>
      <c r="B15" s="505"/>
      <c r="C15" s="508"/>
      <c r="D15" s="45" t="s">
        <v>696</v>
      </c>
      <c r="E15" s="46" t="s">
        <v>30</v>
      </c>
      <c r="F15" s="359">
        <v>4</v>
      </c>
      <c r="G15" s="237">
        <v>4</v>
      </c>
      <c r="H15" s="235">
        <v>2</v>
      </c>
      <c r="I15" s="225">
        <v>3</v>
      </c>
      <c r="J15" s="225">
        <v>4</v>
      </c>
      <c r="K15" s="225">
        <v>3</v>
      </c>
      <c r="L15" s="225">
        <v>3</v>
      </c>
      <c r="M15" s="225">
        <v>3</v>
      </c>
      <c r="N15" s="235">
        <v>3</v>
      </c>
      <c r="O15" s="239">
        <v>6</v>
      </c>
      <c r="P15" s="235">
        <v>3</v>
      </c>
      <c r="Q15" s="225">
        <v>3</v>
      </c>
      <c r="R15" s="235">
        <v>2</v>
      </c>
      <c r="S15" s="225">
        <v>3</v>
      </c>
      <c r="T15" s="235">
        <v>2</v>
      </c>
      <c r="U15" s="225">
        <v>3</v>
      </c>
      <c r="V15" s="237">
        <v>4</v>
      </c>
      <c r="W15" s="380">
        <v>2</v>
      </c>
      <c r="X15" s="225">
        <v>3</v>
      </c>
      <c r="Y15" s="228"/>
      <c r="Z15" s="228"/>
      <c r="AA15" s="228"/>
      <c r="AB15" s="228"/>
      <c r="AC15" s="228"/>
      <c r="AD15" s="228"/>
      <c r="AE15" s="228"/>
      <c r="AF15" s="229"/>
      <c r="AG15" s="166">
        <v>60</v>
      </c>
      <c r="AH15" s="186">
        <v>114</v>
      </c>
      <c r="AI15" s="186">
        <v>2</v>
      </c>
    </row>
    <row r="16" spans="1:35" ht="15" hidden="1" customHeight="1" x14ac:dyDescent="0.25">
      <c r="A16" s="479"/>
      <c r="B16" s="505"/>
      <c r="C16" s="508"/>
      <c r="D16" s="45" t="s">
        <v>696</v>
      </c>
      <c r="E16" s="46" t="s">
        <v>31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2"/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0</v>
      </c>
      <c r="AH16" s="186">
        <v>114</v>
      </c>
      <c r="AI16" s="186">
        <v>2</v>
      </c>
    </row>
    <row r="17" spans="1:35" ht="15.75" hidden="1" customHeight="1" x14ac:dyDescent="0.25">
      <c r="A17" s="479"/>
      <c r="B17" s="505"/>
      <c r="C17" s="508"/>
      <c r="D17" s="45" t="s">
        <v>696</v>
      </c>
      <c r="E17" s="46" t="s">
        <v>32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0</v>
      </c>
      <c r="AH17" s="186">
        <v>114</v>
      </c>
      <c r="AI17" s="186">
        <v>2</v>
      </c>
    </row>
    <row r="18" spans="1:35" ht="15.75" hidden="1" customHeight="1" thickBot="1" x14ac:dyDescent="0.3">
      <c r="A18" s="480"/>
      <c r="B18" s="506"/>
      <c r="C18" s="509"/>
      <c r="D18" s="47" t="s">
        <v>696</v>
      </c>
      <c r="E18" s="48" t="s">
        <v>33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114</v>
      </c>
      <c r="AI18" s="187">
        <v>2</v>
      </c>
    </row>
    <row r="19" spans="1:35" ht="15" customHeight="1" x14ac:dyDescent="0.25">
      <c r="A19" s="478">
        <v>3</v>
      </c>
      <c r="B19" s="504">
        <v>3</v>
      </c>
      <c r="C19" s="507" t="s">
        <v>330</v>
      </c>
      <c r="D19" s="43" t="s">
        <v>330</v>
      </c>
      <c r="E19" s="44" t="s">
        <v>29</v>
      </c>
      <c r="F19" s="245">
        <v>2</v>
      </c>
      <c r="G19" s="222">
        <v>3</v>
      </c>
      <c r="H19" s="222">
        <v>3</v>
      </c>
      <c r="I19" s="222">
        <v>3</v>
      </c>
      <c r="J19" s="222">
        <v>4</v>
      </c>
      <c r="K19" s="222">
        <v>3</v>
      </c>
      <c r="L19" s="222">
        <v>3</v>
      </c>
      <c r="M19" s="222">
        <v>3</v>
      </c>
      <c r="N19" s="236">
        <v>5</v>
      </c>
      <c r="O19" s="222">
        <v>4</v>
      </c>
      <c r="P19" s="222">
        <v>4</v>
      </c>
      <c r="Q19" s="238">
        <v>5</v>
      </c>
      <c r="R19" s="222">
        <v>3</v>
      </c>
      <c r="S19" s="241">
        <v>2</v>
      </c>
      <c r="T19" s="222">
        <v>3</v>
      </c>
      <c r="U19" s="241">
        <v>2</v>
      </c>
      <c r="V19" s="222">
        <v>3</v>
      </c>
      <c r="W19" s="387">
        <v>2</v>
      </c>
      <c r="X19" s="222">
        <v>3</v>
      </c>
      <c r="Y19" s="226"/>
      <c r="Z19" s="226"/>
      <c r="AA19" s="226"/>
      <c r="AB19" s="226"/>
      <c r="AC19" s="226"/>
      <c r="AD19" s="226"/>
      <c r="AE19" s="226"/>
      <c r="AF19" s="227"/>
      <c r="AG19" s="184">
        <v>60</v>
      </c>
      <c r="AH19" s="185">
        <v>60</v>
      </c>
      <c r="AI19" s="185">
        <v>9</v>
      </c>
    </row>
    <row r="20" spans="1:35" ht="15" customHeight="1" thickBot="1" x14ac:dyDescent="0.3">
      <c r="A20" s="479"/>
      <c r="B20" s="505"/>
      <c r="C20" s="508"/>
      <c r="D20" s="45" t="s">
        <v>330</v>
      </c>
      <c r="E20" s="46" t="s">
        <v>30</v>
      </c>
      <c r="F20" s="224">
        <v>3</v>
      </c>
      <c r="G20" s="225">
        <v>3</v>
      </c>
      <c r="H20" s="225">
        <v>3</v>
      </c>
      <c r="I20" s="225">
        <v>3</v>
      </c>
      <c r="J20" s="235">
        <v>3</v>
      </c>
      <c r="K20" s="225">
        <v>3</v>
      </c>
      <c r="L20" s="225">
        <v>3</v>
      </c>
      <c r="M20" s="225">
        <v>3</v>
      </c>
      <c r="N20" s="235">
        <v>3</v>
      </c>
      <c r="O20" s="237">
        <v>5</v>
      </c>
      <c r="P20" s="225">
        <v>4</v>
      </c>
      <c r="Q20" s="225">
        <v>3</v>
      </c>
      <c r="R20" s="225">
        <v>3</v>
      </c>
      <c r="S20" s="237">
        <v>4</v>
      </c>
      <c r="T20" s="225">
        <v>3</v>
      </c>
      <c r="U20" s="235">
        <v>2</v>
      </c>
      <c r="V20" s="225">
        <v>3</v>
      </c>
      <c r="W20" s="380">
        <v>2</v>
      </c>
      <c r="X20" s="225">
        <v>3</v>
      </c>
      <c r="Y20" s="228"/>
      <c r="Z20" s="228"/>
      <c r="AA20" s="228"/>
      <c r="AB20" s="228"/>
      <c r="AC20" s="228"/>
      <c r="AD20" s="228"/>
      <c r="AE20" s="228"/>
      <c r="AF20" s="229"/>
      <c r="AG20" s="166">
        <v>59</v>
      </c>
      <c r="AH20" s="186">
        <v>119</v>
      </c>
      <c r="AI20" s="186">
        <v>3</v>
      </c>
    </row>
    <row r="21" spans="1:35" ht="15" hidden="1" customHeight="1" x14ac:dyDescent="0.25">
      <c r="A21" s="479"/>
      <c r="B21" s="505"/>
      <c r="C21" s="508"/>
      <c r="D21" s="45" t="s">
        <v>330</v>
      </c>
      <c r="E21" s="46" t="s">
        <v>31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2"/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0</v>
      </c>
      <c r="AH21" s="186">
        <v>119</v>
      </c>
      <c r="AI21" s="186">
        <v>3</v>
      </c>
    </row>
    <row r="22" spans="1:35" ht="15.75" hidden="1" customHeight="1" x14ac:dyDescent="0.25">
      <c r="A22" s="479"/>
      <c r="B22" s="505"/>
      <c r="C22" s="508"/>
      <c r="D22" s="45" t="s">
        <v>330</v>
      </c>
      <c r="E22" s="46" t="s">
        <v>32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0</v>
      </c>
      <c r="AH22" s="186">
        <v>119</v>
      </c>
      <c r="AI22" s="186">
        <v>3</v>
      </c>
    </row>
    <row r="23" spans="1:35" ht="15.75" hidden="1" customHeight="1" thickBot="1" x14ac:dyDescent="0.3">
      <c r="A23" s="480"/>
      <c r="B23" s="506"/>
      <c r="C23" s="509"/>
      <c r="D23" s="47" t="s">
        <v>330</v>
      </c>
      <c r="E23" s="48" t="s">
        <v>33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119</v>
      </c>
      <c r="AI23" s="187">
        <v>3</v>
      </c>
    </row>
    <row r="24" spans="1:35" ht="15" customHeight="1" x14ac:dyDescent="0.25">
      <c r="A24" s="478">
        <v>4</v>
      </c>
      <c r="B24" s="504">
        <v>3</v>
      </c>
      <c r="C24" s="507" t="s">
        <v>5</v>
      </c>
      <c r="D24" s="43" t="s">
        <v>5</v>
      </c>
      <c r="E24" s="44" t="s">
        <v>29</v>
      </c>
      <c r="F24" s="223">
        <v>3</v>
      </c>
      <c r="G24" s="222">
        <v>3</v>
      </c>
      <c r="H24" s="222">
        <v>3</v>
      </c>
      <c r="I24" s="222">
        <v>3</v>
      </c>
      <c r="J24" s="222">
        <v>4</v>
      </c>
      <c r="K24" s="222">
        <v>3</v>
      </c>
      <c r="L24" s="241">
        <v>2</v>
      </c>
      <c r="M24" s="241">
        <v>2</v>
      </c>
      <c r="N24" s="222">
        <v>4</v>
      </c>
      <c r="O24" s="222">
        <v>4</v>
      </c>
      <c r="P24" s="222">
        <v>4</v>
      </c>
      <c r="Q24" s="238">
        <v>5</v>
      </c>
      <c r="R24" s="222">
        <v>3</v>
      </c>
      <c r="S24" s="222">
        <v>3</v>
      </c>
      <c r="T24" s="222">
        <v>3</v>
      </c>
      <c r="U24" s="241">
        <v>2</v>
      </c>
      <c r="V24" s="241">
        <v>2</v>
      </c>
      <c r="W24" s="387">
        <v>2</v>
      </c>
      <c r="X24" s="222">
        <v>3</v>
      </c>
      <c r="Y24" s="226"/>
      <c r="Z24" s="226"/>
      <c r="AA24" s="226"/>
      <c r="AB24" s="226"/>
      <c r="AC24" s="226"/>
      <c r="AD24" s="226"/>
      <c r="AE24" s="226"/>
      <c r="AF24" s="227"/>
      <c r="AG24" s="184">
        <v>58</v>
      </c>
      <c r="AH24" s="185">
        <v>58</v>
      </c>
      <c r="AI24" s="185">
        <v>5</v>
      </c>
    </row>
    <row r="25" spans="1:35" ht="15" customHeight="1" thickBot="1" x14ac:dyDescent="0.3">
      <c r="A25" s="479"/>
      <c r="B25" s="505"/>
      <c r="C25" s="508"/>
      <c r="D25" s="45" t="s">
        <v>5</v>
      </c>
      <c r="E25" s="46" t="s">
        <v>30</v>
      </c>
      <c r="F25" s="224">
        <v>3</v>
      </c>
      <c r="G25" s="235">
        <v>2</v>
      </c>
      <c r="H25" s="235">
        <v>2</v>
      </c>
      <c r="I25" s="225">
        <v>3</v>
      </c>
      <c r="J25" s="235">
        <v>3</v>
      </c>
      <c r="K25" s="225">
        <v>3</v>
      </c>
      <c r="L25" s="225">
        <v>3</v>
      </c>
      <c r="M25" s="225">
        <v>3</v>
      </c>
      <c r="N25" s="225">
        <v>4</v>
      </c>
      <c r="O25" s="225">
        <v>4</v>
      </c>
      <c r="P25" s="237">
        <v>5</v>
      </c>
      <c r="Q25" s="225">
        <v>3</v>
      </c>
      <c r="R25" s="235">
        <v>2</v>
      </c>
      <c r="S25" s="225">
        <v>3</v>
      </c>
      <c r="T25" s="239">
        <v>5</v>
      </c>
      <c r="U25" s="225">
        <v>3</v>
      </c>
      <c r="V25" s="225">
        <v>3</v>
      </c>
      <c r="W25" s="377">
        <v>3</v>
      </c>
      <c r="X25" s="237">
        <v>4</v>
      </c>
      <c r="Y25" s="228"/>
      <c r="Z25" s="228"/>
      <c r="AA25" s="228"/>
      <c r="AB25" s="228"/>
      <c r="AC25" s="228"/>
      <c r="AD25" s="228"/>
      <c r="AE25" s="228"/>
      <c r="AF25" s="229"/>
      <c r="AG25" s="166">
        <v>61</v>
      </c>
      <c r="AH25" s="186">
        <v>119</v>
      </c>
      <c r="AI25" s="186">
        <v>3</v>
      </c>
    </row>
    <row r="26" spans="1:35" ht="15" hidden="1" customHeight="1" x14ac:dyDescent="0.25">
      <c r="A26" s="479"/>
      <c r="B26" s="505"/>
      <c r="C26" s="508"/>
      <c r="D26" s="45" t="s">
        <v>5</v>
      </c>
      <c r="E26" s="46" t="s">
        <v>31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2"/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0</v>
      </c>
      <c r="AH26" s="186">
        <v>119</v>
      </c>
      <c r="AI26" s="186">
        <v>3</v>
      </c>
    </row>
    <row r="27" spans="1:35" ht="15.75" hidden="1" customHeight="1" x14ac:dyDescent="0.25">
      <c r="A27" s="479"/>
      <c r="B27" s="505"/>
      <c r="C27" s="508"/>
      <c r="D27" s="45" t="s">
        <v>5</v>
      </c>
      <c r="E27" s="46" t="s">
        <v>32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0</v>
      </c>
      <c r="AH27" s="186">
        <v>119</v>
      </c>
      <c r="AI27" s="186">
        <v>3</v>
      </c>
    </row>
    <row r="28" spans="1:35" ht="15.75" hidden="1" customHeight="1" thickBot="1" x14ac:dyDescent="0.3">
      <c r="A28" s="480"/>
      <c r="B28" s="506"/>
      <c r="C28" s="509"/>
      <c r="D28" s="47" t="s">
        <v>5</v>
      </c>
      <c r="E28" s="48" t="s">
        <v>33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119</v>
      </c>
      <c r="AI28" s="187">
        <v>3</v>
      </c>
    </row>
    <row r="29" spans="1:35" ht="15" customHeight="1" x14ac:dyDescent="0.25">
      <c r="A29" s="478">
        <v>5</v>
      </c>
      <c r="B29" s="504">
        <v>5</v>
      </c>
      <c r="C29" s="507" t="s">
        <v>687</v>
      </c>
      <c r="D29" s="43" t="s">
        <v>687</v>
      </c>
      <c r="E29" s="44" t="s">
        <v>29</v>
      </c>
      <c r="F29" s="223">
        <v>3</v>
      </c>
      <c r="G29" s="222">
        <v>3</v>
      </c>
      <c r="H29" s="222">
        <v>3</v>
      </c>
      <c r="I29" s="241">
        <v>2</v>
      </c>
      <c r="J29" s="241">
        <v>3</v>
      </c>
      <c r="K29" s="222">
        <v>3</v>
      </c>
      <c r="L29" s="222">
        <v>3</v>
      </c>
      <c r="M29" s="222">
        <v>3</v>
      </c>
      <c r="N29" s="236">
        <v>5</v>
      </c>
      <c r="O29" s="236">
        <v>5</v>
      </c>
      <c r="P29" s="236">
        <v>5</v>
      </c>
      <c r="Q29" s="222">
        <v>3</v>
      </c>
      <c r="R29" s="222">
        <v>3</v>
      </c>
      <c r="S29" s="222">
        <v>3</v>
      </c>
      <c r="T29" s="222">
        <v>3</v>
      </c>
      <c r="U29" s="222">
        <v>3</v>
      </c>
      <c r="V29" s="222">
        <v>3</v>
      </c>
      <c r="W29" s="387">
        <v>2</v>
      </c>
      <c r="X29" s="222">
        <v>3</v>
      </c>
      <c r="Y29" s="226"/>
      <c r="Z29" s="226"/>
      <c r="AA29" s="226"/>
      <c r="AB29" s="226"/>
      <c r="AC29" s="226"/>
      <c r="AD29" s="226"/>
      <c r="AE29" s="226"/>
      <c r="AF29" s="227"/>
      <c r="AG29" s="184">
        <v>61</v>
      </c>
      <c r="AH29" s="185">
        <v>61</v>
      </c>
      <c r="AI29" s="185">
        <v>11</v>
      </c>
    </row>
    <row r="30" spans="1:35" ht="15" customHeight="1" thickBot="1" x14ac:dyDescent="0.3">
      <c r="A30" s="479"/>
      <c r="B30" s="505"/>
      <c r="C30" s="508"/>
      <c r="D30" s="45" t="s">
        <v>687</v>
      </c>
      <c r="E30" s="46" t="s">
        <v>30</v>
      </c>
      <c r="F30" s="240">
        <v>2</v>
      </c>
      <c r="G30" s="225">
        <v>3</v>
      </c>
      <c r="H30" s="225">
        <v>3</v>
      </c>
      <c r="I30" s="225">
        <v>3</v>
      </c>
      <c r="J30" s="235">
        <v>3</v>
      </c>
      <c r="K30" s="225">
        <v>3</v>
      </c>
      <c r="L30" s="225">
        <v>3</v>
      </c>
      <c r="M30" s="225">
        <v>3</v>
      </c>
      <c r="N30" s="225">
        <v>4</v>
      </c>
      <c r="O30" s="237">
        <v>5</v>
      </c>
      <c r="P30" s="225">
        <v>4</v>
      </c>
      <c r="Q30" s="225">
        <v>3</v>
      </c>
      <c r="R30" s="237">
        <v>4</v>
      </c>
      <c r="S30" s="235">
        <v>2</v>
      </c>
      <c r="T30" s="225">
        <v>3</v>
      </c>
      <c r="U30" s="225">
        <v>3</v>
      </c>
      <c r="V30" s="225">
        <v>3</v>
      </c>
      <c r="W30" s="380">
        <v>2</v>
      </c>
      <c r="X30" s="225">
        <v>3</v>
      </c>
      <c r="Y30" s="228"/>
      <c r="Z30" s="228"/>
      <c r="AA30" s="228"/>
      <c r="AB30" s="228"/>
      <c r="AC30" s="228"/>
      <c r="AD30" s="228"/>
      <c r="AE30" s="228"/>
      <c r="AF30" s="229"/>
      <c r="AG30" s="166">
        <v>59</v>
      </c>
      <c r="AH30" s="186">
        <v>120</v>
      </c>
      <c r="AI30" s="186">
        <v>5</v>
      </c>
    </row>
    <row r="31" spans="1:35" ht="15" hidden="1" customHeight="1" x14ac:dyDescent="0.25">
      <c r="A31" s="479"/>
      <c r="B31" s="505"/>
      <c r="C31" s="508"/>
      <c r="D31" s="45" t="s">
        <v>687</v>
      </c>
      <c r="E31" s="46" t="s">
        <v>31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2"/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0</v>
      </c>
      <c r="AH31" s="186">
        <v>120</v>
      </c>
      <c r="AI31" s="186">
        <v>5</v>
      </c>
    </row>
    <row r="32" spans="1:35" ht="15.75" hidden="1" customHeight="1" x14ac:dyDescent="0.25">
      <c r="A32" s="479"/>
      <c r="B32" s="505"/>
      <c r="C32" s="508"/>
      <c r="D32" s="45" t="s">
        <v>687</v>
      </c>
      <c r="E32" s="46" t="s">
        <v>32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0</v>
      </c>
      <c r="AH32" s="186">
        <v>120</v>
      </c>
      <c r="AI32" s="186">
        <v>5</v>
      </c>
    </row>
    <row r="33" spans="1:35" ht="15.75" hidden="1" customHeight="1" thickBot="1" x14ac:dyDescent="0.3">
      <c r="A33" s="480"/>
      <c r="B33" s="506"/>
      <c r="C33" s="509"/>
      <c r="D33" s="47" t="s">
        <v>687</v>
      </c>
      <c r="E33" s="48" t="s">
        <v>33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120</v>
      </c>
      <c r="AI33" s="187">
        <v>5</v>
      </c>
    </row>
    <row r="34" spans="1:35" ht="15" customHeight="1" x14ac:dyDescent="0.25">
      <c r="A34" s="478">
        <v>6</v>
      </c>
      <c r="B34" s="504">
        <v>5</v>
      </c>
      <c r="C34" s="507" t="s">
        <v>353</v>
      </c>
      <c r="D34" s="43" t="s">
        <v>353</v>
      </c>
      <c r="E34" s="44" t="s">
        <v>29</v>
      </c>
      <c r="F34" s="223">
        <v>3</v>
      </c>
      <c r="G34" s="241">
        <v>2</v>
      </c>
      <c r="H34" s="222">
        <v>3</v>
      </c>
      <c r="I34" s="236">
        <v>4</v>
      </c>
      <c r="J34" s="241">
        <v>3</v>
      </c>
      <c r="K34" s="241">
        <v>2</v>
      </c>
      <c r="L34" s="222">
        <v>3</v>
      </c>
      <c r="M34" s="241">
        <v>2</v>
      </c>
      <c r="N34" s="222">
        <v>4</v>
      </c>
      <c r="O34" s="241">
        <v>3</v>
      </c>
      <c r="P34" s="238">
        <v>7</v>
      </c>
      <c r="Q34" s="222">
        <v>3</v>
      </c>
      <c r="R34" s="222">
        <v>3</v>
      </c>
      <c r="S34" s="222">
        <v>3</v>
      </c>
      <c r="T34" s="241">
        <v>2</v>
      </c>
      <c r="U34" s="222">
        <v>3</v>
      </c>
      <c r="V34" s="222">
        <v>3</v>
      </c>
      <c r="W34" s="387">
        <v>2</v>
      </c>
      <c r="X34" s="241">
        <v>2</v>
      </c>
      <c r="Y34" s="226"/>
      <c r="Z34" s="226"/>
      <c r="AA34" s="226"/>
      <c r="AB34" s="226"/>
      <c r="AC34" s="226"/>
      <c r="AD34" s="226"/>
      <c r="AE34" s="226"/>
      <c r="AF34" s="227"/>
      <c r="AG34" s="184">
        <v>57</v>
      </c>
      <c r="AH34" s="185">
        <v>57</v>
      </c>
      <c r="AI34" s="185">
        <v>3</v>
      </c>
    </row>
    <row r="35" spans="1:35" ht="15" customHeight="1" thickBot="1" x14ac:dyDescent="0.3">
      <c r="A35" s="479"/>
      <c r="B35" s="505"/>
      <c r="C35" s="508"/>
      <c r="D35" s="45" t="s">
        <v>353</v>
      </c>
      <c r="E35" s="46" t="s">
        <v>30</v>
      </c>
      <c r="F35" s="224">
        <v>3</v>
      </c>
      <c r="G35" s="237">
        <v>4</v>
      </c>
      <c r="H35" s="225">
        <v>3</v>
      </c>
      <c r="I35" s="225">
        <v>3</v>
      </c>
      <c r="J35" s="225">
        <v>4</v>
      </c>
      <c r="K35" s="225">
        <v>3</v>
      </c>
      <c r="L35" s="225">
        <v>3</v>
      </c>
      <c r="M35" s="235">
        <v>2</v>
      </c>
      <c r="N35" s="225">
        <v>4</v>
      </c>
      <c r="O35" s="225">
        <v>4</v>
      </c>
      <c r="P35" s="239">
        <v>6</v>
      </c>
      <c r="Q35" s="235">
        <v>2</v>
      </c>
      <c r="R35" s="235">
        <v>2</v>
      </c>
      <c r="S35" s="225">
        <v>3</v>
      </c>
      <c r="T35" s="235">
        <v>2</v>
      </c>
      <c r="U35" s="225">
        <v>3</v>
      </c>
      <c r="V35" s="225">
        <v>3</v>
      </c>
      <c r="W35" s="379">
        <v>6</v>
      </c>
      <c r="X35" s="225">
        <v>3</v>
      </c>
      <c r="Y35" s="228"/>
      <c r="Z35" s="228"/>
      <c r="AA35" s="228"/>
      <c r="AB35" s="228"/>
      <c r="AC35" s="228"/>
      <c r="AD35" s="228"/>
      <c r="AE35" s="228"/>
      <c r="AF35" s="229"/>
      <c r="AG35" s="166">
        <v>63</v>
      </c>
      <c r="AH35" s="186">
        <v>120</v>
      </c>
      <c r="AI35" s="186">
        <v>5</v>
      </c>
    </row>
    <row r="36" spans="1:35" ht="15" hidden="1" customHeight="1" x14ac:dyDescent="0.25">
      <c r="A36" s="479"/>
      <c r="B36" s="505"/>
      <c r="C36" s="508"/>
      <c r="D36" s="45" t="s">
        <v>353</v>
      </c>
      <c r="E36" s="46" t="s">
        <v>31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2"/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0</v>
      </c>
      <c r="AH36" s="186">
        <v>120</v>
      </c>
      <c r="AI36" s="186">
        <v>5</v>
      </c>
    </row>
    <row r="37" spans="1:35" ht="15.75" hidden="1" customHeight="1" x14ac:dyDescent="0.25">
      <c r="A37" s="479"/>
      <c r="B37" s="505"/>
      <c r="C37" s="508"/>
      <c r="D37" s="45" t="s">
        <v>353</v>
      </c>
      <c r="E37" s="46" t="s">
        <v>32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0</v>
      </c>
      <c r="AH37" s="186">
        <v>120</v>
      </c>
      <c r="AI37" s="186">
        <v>5</v>
      </c>
    </row>
    <row r="38" spans="1:35" ht="15.75" hidden="1" customHeight="1" thickBot="1" x14ac:dyDescent="0.3">
      <c r="A38" s="480"/>
      <c r="B38" s="506"/>
      <c r="C38" s="509"/>
      <c r="D38" s="47" t="s">
        <v>353</v>
      </c>
      <c r="E38" s="48" t="s">
        <v>33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120</v>
      </c>
      <c r="AI38" s="187">
        <v>5</v>
      </c>
    </row>
    <row r="39" spans="1:35" ht="15" customHeight="1" x14ac:dyDescent="0.25">
      <c r="A39" s="478">
        <v>7</v>
      </c>
      <c r="B39" s="504">
        <v>7</v>
      </c>
      <c r="C39" s="507" t="s">
        <v>697</v>
      </c>
      <c r="D39" s="43" t="s">
        <v>697</v>
      </c>
      <c r="E39" s="44" t="s">
        <v>29</v>
      </c>
      <c r="F39" s="223">
        <v>3</v>
      </c>
      <c r="G39" s="241">
        <v>2</v>
      </c>
      <c r="H39" s="241">
        <v>2</v>
      </c>
      <c r="I39" s="238">
        <v>5</v>
      </c>
      <c r="J39" s="236">
        <v>5</v>
      </c>
      <c r="K39" s="236">
        <v>4</v>
      </c>
      <c r="L39" s="222">
        <v>3</v>
      </c>
      <c r="M39" s="241">
        <v>2</v>
      </c>
      <c r="N39" s="222">
        <v>4</v>
      </c>
      <c r="O39" s="241">
        <v>3</v>
      </c>
      <c r="P39" s="241">
        <v>3</v>
      </c>
      <c r="Q39" s="236">
        <v>4</v>
      </c>
      <c r="R39" s="241">
        <v>2</v>
      </c>
      <c r="S39" s="222">
        <v>3</v>
      </c>
      <c r="T39" s="236">
        <v>4</v>
      </c>
      <c r="U39" s="222">
        <v>3</v>
      </c>
      <c r="V39" s="236">
        <v>4</v>
      </c>
      <c r="W39" s="387">
        <v>2</v>
      </c>
      <c r="X39" s="222">
        <v>3</v>
      </c>
      <c r="Y39" s="226"/>
      <c r="Z39" s="226"/>
      <c r="AA39" s="226"/>
      <c r="AB39" s="226"/>
      <c r="AC39" s="226"/>
      <c r="AD39" s="226"/>
      <c r="AE39" s="226"/>
      <c r="AF39" s="227"/>
      <c r="AG39" s="184">
        <v>61</v>
      </c>
      <c r="AH39" s="185">
        <v>61</v>
      </c>
      <c r="AI39" s="185">
        <v>11</v>
      </c>
    </row>
    <row r="40" spans="1:35" ht="15" customHeight="1" thickBot="1" x14ac:dyDescent="0.3">
      <c r="A40" s="479"/>
      <c r="B40" s="505"/>
      <c r="C40" s="508"/>
      <c r="D40" s="45" t="s">
        <v>697</v>
      </c>
      <c r="E40" s="46" t="s">
        <v>30</v>
      </c>
      <c r="F40" s="224">
        <v>3</v>
      </c>
      <c r="G40" s="225">
        <v>3</v>
      </c>
      <c r="H40" s="225">
        <v>3</v>
      </c>
      <c r="I40" s="225">
        <v>3</v>
      </c>
      <c r="J40" s="225">
        <v>4</v>
      </c>
      <c r="K40" s="225">
        <v>3</v>
      </c>
      <c r="L40" s="225">
        <v>3</v>
      </c>
      <c r="M40" s="235">
        <v>2</v>
      </c>
      <c r="N40" s="225">
        <v>4</v>
      </c>
      <c r="O40" s="225">
        <v>4</v>
      </c>
      <c r="P40" s="225">
        <v>4</v>
      </c>
      <c r="Q40" s="225">
        <v>3</v>
      </c>
      <c r="R40" s="225">
        <v>3</v>
      </c>
      <c r="S40" s="225">
        <v>3</v>
      </c>
      <c r="T40" s="225">
        <v>3</v>
      </c>
      <c r="U40" s="225">
        <v>3</v>
      </c>
      <c r="V40" s="225">
        <v>3</v>
      </c>
      <c r="W40" s="380">
        <v>2</v>
      </c>
      <c r="X40" s="237">
        <v>4</v>
      </c>
      <c r="Y40" s="228"/>
      <c r="Z40" s="228"/>
      <c r="AA40" s="228"/>
      <c r="AB40" s="228"/>
      <c r="AC40" s="228"/>
      <c r="AD40" s="228"/>
      <c r="AE40" s="228"/>
      <c r="AF40" s="229"/>
      <c r="AG40" s="166">
        <v>60</v>
      </c>
      <c r="AH40" s="186">
        <v>121</v>
      </c>
      <c r="AI40" s="186">
        <v>7</v>
      </c>
    </row>
    <row r="41" spans="1:35" ht="15" hidden="1" customHeight="1" x14ac:dyDescent="0.25">
      <c r="A41" s="479"/>
      <c r="B41" s="505"/>
      <c r="C41" s="508"/>
      <c r="D41" s="45" t="s">
        <v>697</v>
      </c>
      <c r="E41" s="46" t="s">
        <v>31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2"/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0</v>
      </c>
      <c r="AH41" s="186">
        <v>121</v>
      </c>
      <c r="AI41" s="186">
        <v>7</v>
      </c>
    </row>
    <row r="42" spans="1:35" ht="15.75" hidden="1" customHeight="1" x14ac:dyDescent="0.25">
      <c r="A42" s="479"/>
      <c r="B42" s="505"/>
      <c r="C42" s="508"/>
      <c r="D42" s="45" t="s">
        <v>697</v>
      </c>
      <c r="E42" s="46" t="s">
        <v>32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0</v>
      </c>
      <c r="AH42" s="186">
        <v>121</v>
      </c>
      <c r="AI42" s="186">
        <v>7</v>
      </c>
    </row>
    <row r="43" spans="1:35" ht="15.75" hidden="1" customHeight="1" thickBot="1" x14ac:dyDescent="0.3">
      <c r="A43" s="480"/>
      <c r="B43" s="506"/>
      <c r="C43" s="509"/>
      <c r="D43" s="47" t="s">
        <v>697</v>
      </c>
      <c r="E43" s="48" t="s">
        <v>33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121</v>
      </c>
      <c r="AI43" s="187">
        <v>7</v>
      </c>
    </row>
    <row r="44" spans="1:35" ht="15" customHeight="1" x14ac:dyDescent="0.25">
      <c r="A44" s="478">
        <v>8</v>
      </c>
      <c r="B44" s="504">
        <v>8</v>
      </c>
      <c r="C44" s="507" t="s">
        <v>10</v>
      </c>
      <c r="D44" s="43" t="s">
        <v>10</v>
      </c>
      <c r="E44" s="44" t="s">
        <v>29</v>
      </c>
      <c r="F44" s="223">
        <v>3</v>
      </c>
      <c r="G44" s="241">
        <v>2</v>
      </c>
      <c r="H44" s="222">
        <v>3</v>
      </c>
      <c r="I44" s="222">
        <v>3</v>
      </c>
      <c r="J44" s="241">
        <v>3</v>
      </c>
      <c r="K44" s="222">
        <v>3</v>
      </c>
      <c r="L44" s="236">
        <v>4</v>
      </c>
      <c r="M44" s="236">
        <v>4</v>
      </c>
      <c r="N44" s="222">
        <v>4</v>
      </c>
      <c r="O44" s="222">
        <v>4</v>
      </c>
      <c r="P44" s="236">
        <v>5</v>
      </c>
      <c r="Q44" s="222">
        <v>3</v>
      </c>
      <c r="R44" s="241">
        <v>2</v>
      </c>
      <c r="S44" s="236">
        <v>4</v>
      </c>
      <c r="T44" s="222">
        <v>3</v>
      </c>
      <c r="U44" s="241">
        <v>2</v>
      </c>
      <c r="V44" s="241">
        <v>2</v>
      </c>
      <c r="W44" s="382">
        <v>5</v>
      </c>
      <c r="X44" s="241">
        <v>2</v>
      </c>
      <c r="Y44" s="226"/>
      <c r="Z44" s="226"/>
      <c r="AA44" s="226"/>
      <c r="AB44" s="226"/>
      <c r="AC44" s="226"/>
      <c r="AD44" s="226"/>
      <c r="AE44" s="226"/>
      <c r="AF44" s="227"/>
      <c r="AG44" s="184">
        <v>61</v>
      </c>
      <c r="AH44" s="185">
        <v>61</v>
      </c>
      <c r="AI44" s="185">
        <v>11</v>
      </c>
    </row>
    <row r="45" spans="1:35" ht="15" customHeight="1" thickBot="1" x14ac:dyDescent="0.3">
      <c r="A45" s="479"/>
      <c r="B45" s="505"/>
      <c r="C45" s="508"/>
      <c r="D45" s="45" t="s">
        <v>10</v>
      </c>
      <c r="E45" s="46" t="s">
        <v>30</v>
      </c>
      <c r="F45" s="224">
        <v>3</v>
      </c>
      <c r="G45" s="225">
        <v>3</v>
      </c>
      <c r="H45" s="225">
        <v>3</v>
      </c>
      <c r="I45" s="225">
        <v>3</v>
      </c>
      <c r="J45" s="225">
        <v>4</v>
      </c>
      <c r="K45" s="235">
        <v>2</v>
      </c>
      <c r="L45" s="237">
        <v>4</v>
      </c>
      <c r="M45" s="225">
        <v>3</v>
      </c>
      <c r="N45" s="225">
        <v>4</v>
      </c>
      <c r="O45" s="237">
        <v>5</v>
      </c>
      <c r="P45" s="225">
        <v>4</v>
      </c>
      <c r="Q45" s="237">
        <v>4</v>
      </c>
      <c r="R45" s="235">
        <v>2</v>
      </c>
      <c r="S45" s="225">
        <v>3</v>
      </c>
      <c r="T45" s="225">
        <v>3</v>
      </c>
      <c r="U45" s="235">
        <v>2</v>
      </c>
      <c r="V45" s="235">
        <v>2</v>
      </c>
      <c r="W45" s="378">
        <v>4</v>
      </c>
      <c r="X45" s="225">
        <v>3</v>
      </c>
      <c r="Y45" s="228"/>
      <c r="Z45" s="228"/>
      <c r="AA45" s="228"/>
      <c r="AB45" s="228"/>
      <c r="AC45" s="228"/>
      <c r="AD45" s="228"/>
      <c r="AE45" s="228"/>
      <c r="AF45" s="229"/>
      <c r="AG45" s="166">
        <v>61</v>
      </c>
      <c r="AH45" s="186">
        <v>122</v>
      </c>
      <c r="AI45" s="186">
        <v>8</v>
      </c>
    </row>
    <row r="46" spans="1:35" ht="15" hidden="1" customHeight="1" x14ac:dyDescent="0.25">
      <c r="A46" s="479"/>
      <c r="B46" s="505"/>
      <c r="C46" s="508"/>
      <c r="D46" s="45" t="s">
        <v>10</v>
      </c>
      <c r="E46" s="46" t="s">
        <v>31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2"/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0</v>
      </c>
      <c r="AH46" s="186">
        <v>122</v>
      </c>
      <c r="AI46" s="186">
        <v>8</v>
      </c>
    </row>
    <row r="47" spans="1:35" ht="15.75" hidden="1" customHeight="1" x14ac:dyDescent="0.25">
      <c r="A47" s="479"/>
      <c r="B47" s="505"/>
      <c r="C47" s="508"/>
      <c r="D47" s="45" t="s">
        <v>10</v>
      </c>
      <c r="E47" s="46" t="s">
        <v>32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0</v>
      </c>
      <c r="AH47" s="186">
        <v>122</v>
      </c>
      <c r="AI47" s="186">
        <v>8</v>
      </c>
    </row>
    <row r="48" spans="1:35" ht="15.75" hidden="1" customHeight="1" thickBot="1" x14ac:dyDescent="0.3">
      <c r="A48" s="480"/>
      <c r="B48" s="506"/>
      <c r="C48" s="509"/>
      <c r="D48" s="47" t="s">
        <v>10</v>
      </c>
      <c r="E48" s="48" t="s">
        <v>33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122</v>
      </c>
      <c r="AI48" s="187">
        <v>8</v>
      </c>
    </row>
    <row r="49" spans="1:35" ht="15" customHeight="1" x14ac:dyDescent="0.25">
      <c r="A49" s="478">
        <v>9</v>
      </c>
      <c r="B49" s="504">
        <v>9</v>
      </c>
      <c r="C49" s="507" t="s">
        <v>698</v>
      </c>
      <c r="D49" s="43" t="s">
        <v>698</v>
      </c>
      <c r="E49" s="44" t="s">
        <v>29</v>
      </c>
      <c r="F49" s="223">
        <v>3</v>
      </c>
      <c r="G49" s="222">
        <v>3</v>
      </c>
      <c r="H49" s="222">
        <v>3</v>
      </c>
      <c r="I49" s="222">
        <v>3</v>
      </c>
      <c r="J49" s="241">
        <v>3</v>
      </c>
      <c r="K49" s="222">
        <v>3</v>
      </c>
      <c r="L49" s="222">
        <v>3</v>
      </c>
      <c r="M49" s="222">
        <v>3</v>
      </c>
      <c r="N49" s="236">
        <v>5</v>
      </c>
      <c r="O49" s="236">
        <v>5</v>
      </c>
      <c r="P49" s="238">
        <v>6</v>
      </c>
      <c r="Q49" s="222">
        <v>3</v>
      </c>
      <c r="R49" s="236">
        <v>4</v>
      </c>
      <c r="S49" s="222">
        <v>3</v>
      </c>
      <c r="T49" s="222">
        <v>3</v>
      </c>
      <c r="U49" s="222">
        <v>3</v>
      </c>
      <c r="V49" s="222">
        <v>3</v>
      </c>
      <c r="W49" s="381">
        <v>4</v>
      </c>
      <c r="X49" s="236">
        <v>4</v>
      </c>
      <c r="Y49" s="226"/>
      <c r="Z49" s="226"/>
      <c r="AA49" s="226"/>
      <c r="AB49" s="226"/>
      <c r="AC49" s="226"/>
      <c r="AD49" s="226"/>
      <c r="AE49" s="226"/>
      <c r="AF49" s="227"/>
      <c r="AG49" s="184">
        <v>67</v>
      </c>
      <c r="AH49" s="185">
        <v>67</v>
      </c>
      <c r="AI49" s="185">
        <v>35</v>
      </c>
    </row>
    <row r="50" spans="1:35" ht="15" customHeight="1" thickBot="1" x14ac:dyDescent="0.3">
      <c r="A50" s="479"/>
      <c r="B50" s="505"/>
      <c r="C50" s="508"/>
      <c r="D50" s="45" t="s">
        <v>698</v>
      </c>
      <c r="E50" s="46" t="s">
        <v>30</v>
      </c>
      <c r="F50" s="224">
        <v>3</v>
      </c>
      <c r="G50" s="225">
        <v>3</v>
      </c>
      <c r="H50" s="237">
        <v>4</v>
      </c>
      <c r="I50" s="225">
        <v>3</v>
      </c>
      <c r="J50" s="225">
        <v>4</v>
      </c>
      <c r="K50" s="235">
        <v>2</v>
      </c>
      <c r="L50" s="235">
        <v>2</v>
      </c>
      <c r="M50" s="225">
        <v>3</v>
      </c>
      <c r="N50" s="235">
        <v>3</v>
      </c>
      <c r="O50" s="225">
        <v>4</v>
      </c>
      <c r="P50" s="225">
        <v>4</v>
      </c>
      <c r="Q50" s="225">
        <v>3</v>
      </c>
      <c r="R50" s="225">
        <v>3</v>
      </c>
      <c r="S50" s="225">
        <v>3</v>
      </c>
      <c r="T50" s="235">
        <v>2</v>
      </c>
      <c r="U50" s="235">
        <v>2</v>
      </c>
      <c r="V50" s="225">
        <v>3</v>
      </c>
      <c r="W50" s="380">
        <v>2</v>
      </c>
      <c r="X50" s="225">
        <v>3</v>
      </c>
      <c r="Y50" s="228"/>
      <c r="Z50" s="228"/>
      <c r="AA50" s="228"/>
      <c r="AB50" s="228"/>
      <c r="AC50" s="228"/>
      <c r="AD50" s="228"/>
      <c r="AE50" s="228"/>
      <c r="AF50" s="229"/>
      <c r="AG50" s="166">
        <v>56</v>
      </c>
      <c r="AH50" s="186">
        <v>123</v>
      </c>
      <c r="AI50" s="186">
        <v>9</v>
      </c>
    </row>
    <row r="51" spans="1:35" ht="15" hidden="1" customHeight="1" x14ac:dyDescent="0.25">
      <c r="A51" s="479"/>
      <c r="B51" s="505"/>
      <c r="C51" s="508"/>
      <c r="D51" s="45" t="s">
        <v>698</v>
      </c>
      <c r="E51" s="46" t="s">
        <v>31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0</v>
      </c>
      <c r="AH51" s="186">
        <v>123</v>
      </c>
      <c r="AI51" s="186">
        <v>9</v>
      </c>
    </row>
    <row r="52" spans="1:35" ht="15.75" hidden="1" customHeight="1" x14ac:dyDescent="0.25">
      <c r="A52" s="479"/>
      <c r="B52" s="505"/>
      <c r="C52" s="508"/>
      <c r="D52" s="45" t="s">
        <v>698</v>
      </c>
      <c r="E52" s="46" t="s">
        <v>32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123</v>
      </c>
      <c r="AI52" s="186">
        <v>9</v>
      </c>
    </row>
    <row r="53" spans="1:35" ht="15.75" hidden="1" customHeight="1" thickBot="1" x14ac:dyDescent="0.3">
      <c r="A53" s="480"/>
      <c r="B53" s="506"/>
      <c r="C53" s="509"/>
      <c r="D53" s="47" t="s">
        <v>698</v>
      </c>
      <c r="E53" s="48" t="s">
        <v>33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123</v>
      </c>
      <c r="AI53" s="187">
        <v>9</v>
      </c>
    </row>
    <row r="54" spans="1:35" ht="15" customHeight="1" x14ac:dyDescent="0.25">
      <c r="A54" s="478">
        <v>10</v>
      </c>
      <c r="B54" s="504">
        <v>9</v>
      </c>
      <c r="C54" s="507" t="s">
        <v>7</v>
      </c>
      <c r="D54" s="43" t="s">
        <v>7</v>
      </c>
      <c r="E54" s="44" t="s">
        <v>29</v>
      </c>
      <c r="F54" s="245">
        <v>2</v>
      </c>
      <c r="G54" s="222">
        <v>3</v>
      </c>
      <c r="H54" s="236">
        <v>4</v>
      </c>
      <c r="I54" s="222">
        <v>3</v>
      </c>
      <c r="J54" s="222">
        <v>4</v>
      </c>
      <c r="K54" s="222">
        <v>3</v>
      </c>
      <c r="L54" s="222">
        <v>3</v>
      </c>
      <c r="M54" s="222">
        <v>3</v>
      </c>
      <c r="N54" s="222">
        <v>4</v>
      </c>
      <c r="O54" s="222">
        <v>4</v>
      </c>
      <c r="P54" s="238">
        <v>6</v>
      </c>
      <c r="Q54" s="222">
        <v>3</v>
      </c>
      <c r="R54" s="222">
        <v>3</v>
      </c>
      <c r="S54" s="222">
        <v>3</v>
      </c>
      <c r="T54" s="241">
        <v>2</v>
      </c>
      <c r="U54" s="241">
        <v>2</v>
      </c>
      <c r="V54" s="236">
        <v>4</v>
      </c>
      <c r="W54" s="381">
        <v>4</v>
      </c>
      <c r="X54" s="222">
        <v>3</v>
      </c>
      <c r="Y54" s="226"/>
      <c r="Z54" s="226"/>
      <c r="AA54" s="226"/>
      <c r="AB54" s="226"/>
      <c r="AC54" s="226"/>
      <c r="AD54" s="226"/>
      <c r="AE54" s="226"/>
      <c r="AF54" s="227"/>
      <c r="AG54" s="184">
        <v>63</v>
      </c>
      <c r="AH54" s="185">
        <v>63</v>
      </c>
      <c r="AI54" s="185">
        <v>18</v>
      </c>
    </row>
    <row r="55" spans="1:35" ht="15" customHeight="1" thickBot="1" x14ac:dyDescent="0.3">
      <c r="A55" s="479"/>
      <c r="B55" s="505"/>
      <c r="C55" s="508"/>
      <c r="D55" s="45" t="s">
        <v>7</v>
      </c>
      <c r="E55" s="46" t="s">
        <v>30</v>
      </c>
      <c r="F55" s="224">
        <v>3</v>
      </c>
      <c r="G55" s="235">
        <v>2</v>
      </c>
      <c r="H55" s="237">
        <v>4</v>
      </c>
      <c r="I55" s="235">
        <v>2</v>
      </c>
      <c r="J55" s="235">
        <v>3</v>
      </c>
      <c r="K55" s="235">
        <v>2</v>
      </c>
      <c r="L55" s="225">
        <v>3</v>
      </c>
      <c r="M55" s="235">
        <v>2</v>
      </c>
      <c r="N55" s="225">
        <v>4</v>
      </c>
      <c r="O55" s="237">
        <v>5</v>
      </c>
      <c r="P55" s="239">
        <v>6</v>
      </c>
      <c r="Q55" s="225">
        <v>3</v>
      </c>
      <c r="R55" s="237">
        <v>4</v>
      </c>
      <c r="S55" s="235">
        <v>2</v>
      </c>
      <c r="T55" s="225">
        <v>3</v>
      </c>
      <c r="U55" s="225">
        <v>3</v>
      </c>
      <c r="V55" s="237">
        <v>4</v>
      </c>
      <c r="W55" s="380">
        <v>2</v>
      </c>
      <c r="X55" s="225">
        <v>3</v>
      </c>
      <c r="Y55" s="228"/>
      <c r="Z55" s="228"/>
      <c r="AA55" s="228"/>
      <c r="AB55" s="228"/>
      <c r="AC55" s="228"/>
      <c r="AD55" s="228"/>
      <c r="AE55" s="228"/>
      <c r="AF55" s="229"/>
      <c r="AG55" s="166">
        <v>60</v>
      </c>
      <c r="AH55" s="186">
        <v>123</v>
      </c>
      <c r="AI55" s="186">
        <v>9</v>
      </c>
    </row>
    <row r="56" spans="1:35" ht="15" hidden="1" customHeight="1" x14ac:dyDescent="0.25">
      <c r="A56" s="479"/>
      <c r="B56" s="505"/>
      <c r="C56" s="508"/>
      <c r="D56" s="45" t="s">
        <v>7</v>
      </c>
      <c r="E56" s="46" t="s">
        <v>31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0</v>
      </c>
      <c r="AH56" s="186">
        <v>123</v>
      </c>
      <c r="AI56" s="186">
        <v>9</v>
      </c>
    </row>
    <row r="57" spans="1:35" ht="15.75" hidden="1" customHeight="1" x14ac:dyDescent="0.25">
      <c r="A57" s="479"/>
      <c r="B57" s="505"/>
      <c r="C57" s="508"/>
      <c r="D57" s="45" t="s">
        <v>7</v>
      </c>
      <c r="E57" s="46" t="s">
        <v>32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123</v>
      </c>
      <c r="AI57" s="186">
        <v>9</v>
      </c>
    </row>
    <row r="58" spans="1:35" ht="15.75" hidden="1" customHeight="1" thickBot="1" x14ac:dyDescent="0.3">
      <c r="A58" s="480"/>
      <c r="B58" s="506"/>
      <c r="C58" s="509"/>
      <c r="D58" s="47" t="s">
        <v>7</v>
      </c>
      <c r="E58" s="48" t="s">
        <v>33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123</v>
      </c>
      <c r="AI58" s="187">
        <v>9</v>
      </c>
    </row>
    <row r="59" spans="1:35" ht="15" customHeight="1" x14ac:dyDescent="0.25">
      <c r="A59" s="478">
        <v>11</v>
      </c>
      <c r="B59" s="504">
        <v>9</v>
      </c>
      <c r="C59" s="507" t="s">
        <v>4</v>
      </c>
      <c r="D59" s="43" t="s">
        <v>4</v>
      </c>
      <c r="E59" s="44" t="s">
        <v>29</v>
      </c>
      <c r="F59" s="223">
        <v>3</v>
      </c>
      <c r="G59" s="222">
        <v>3</v>
      </c>
      <c r="H59" s="222">
        <v>3</v>
      </c>
      <c r="I59" s="236">
        <v>4</v>
      </c>
      <c r="J59" s="241">
        <v>3</v>
      </c>
      <c r="K59" s="222">
        <v>3</v>
      </c>
      <c r="L59" s="222">
        <v>3</v>
      </c>
      <c r="M59" s="222">
        <v>3</v>
      </c>
      <c r="N59" s="222">
        <v>4</v>
      </c>
      <c r="O59" s="222">
        <v>4</v>
      </c>
      <c r="P59" s="222">
        <v>4</v>
      </c>
      <c r="Q59" s="222">
        <v>3</v>
      </c>
      <c r="R59" s="241">
        <v>2</v>
      </c>
      <c r="S59" s="222">
        <v>3</v>
      </c>
      <c r="T59" s="241">
        <v>2</v>
      </c>
      <c r="U59" s="241">
        <v>2</v>
      </c>
      <c r="V59" s="222">
        <v>3</v>
      </c>
      <c r="W59" s="381">
        <v>4</v>
      </c>
      <c r="X59" s="222">
        <v>3</v>
      </c>
      <c r="Y59" s="226"/>
      <c r="Z59" s="226"/>
      <c r="AA59" s="226"/>
      <c r="AB59" s="226"/>
      <c r="AC59" s="226"/>
      <c r="AD59" s="226"/>
      <c r="AE59" s="226"/>
      <c r="AF59" s="227"/>
      <c r="AG59" s="184">
        <v>59</v>
      </c>
      <c r="AH59" s="185">
        <v>59</v>
      </c>
      <c r="AI59" s="185">
        <v>6</v>
      </c>
    </row>
    <row r="60" spans="1:35" ht="15" customHeight="1" thickBot="1" x14ac:dyDescent="0.3">
      <c r="A60" s="479"/>
      <c r="B60" s="505"/>
      <c r="C60" s="508"/>
      <c r="D60" s="45" t="s">
        <v>4</v>
      </c>
      <c r="E60" s="46" t="s">
        <v>30</v>
      </c>
      <c r="F60" s="240">
        <v>2</v>
      </c>
      <c r="G60" s="235">
        <v>2</v>
      </c>
      <c r="H60" s="235">
        <v>2</v>
      </c>
      <c r="I60" s="225">
        <v>3</v>
      </c>
      <c r="J60" s="225">
        <v>4</v>
      </c>
      <c r="K60" s="225">
        <v>3</v>
      </c>
      <c r="L60" s="239">
        <v>5</v>
      </c>
      <c r="M60" s="235">
        <v>2</v>
      </c>
      <c r="N60" s="239">
        <v>6</v>
      </c>
      <c r="O60" s="237">
        <v>5</v>
      </c>
      <c r="P60" s="237">
        <v>5</v>
      </c>
      <c r="Q60" s="225">
        <v>3</v>
      </c>
      <c r="R60" s="225">
        <v>3</v>
      </c>
      <c r="S60" s="235">
        <v>2</v>
      </c>
      <c r="T60" s="237">
        <v>4</v>
      </c>
      <c r="U60" s="225">
        <v>3</v>
      </c>
      <c r="V60" s="225">
        <v>3</v>
      </c>
      <c r="W60" s="378">
        <v>4</v>
      </c>
      <c r="X60" s="225">
        <v>3</v>
      </c>
      <c r="Y60" s="228"/>
      <c r="Z60" s="228"/>
      <c r="AA60" s="228"/>
      <c r="AB60" s="228"/>
      <c r="AC60" s="228"/>
      <c r="AD60" s="228"/>
      <c r="AE60" s="228"/>
      <c r="AF60" s="229"/>
      <c r="AG60" s="166">
        <v>64</v>
      </c>
      <c r="AH60" s="186">
        <v>123</v>
      </c>
      <c r="AI60" s="186">
        <v>9</v>
      </c>
    </row>
    <row r="61" spans="1:35" ht="15" hidden="1" customHeight="1" x14ac:dyDescent="0.25">
      <c r="A61" s="479"/>
      <c r="B61" s="505"/>
      <c r="C61" s="508"/>
      <c r="D61" s="45" t="s">
        <v>4</v>
      </c>
      <c r="E61" s="46" t="s">
        <v>31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0</v>
      </c>
      <c r="AH61" s="186">
        <v>123</v>
      </c>
      <c r="AI61" s="186">
        <v>9</v>
      </c>
    </row>
    <row r="62" spans="1:35" ht="15.75" hidden="1" customHeight="1" x14ac:dyDescent="0.25">
      <c r="A62" s="479"/>
      <c r="B62" s="505"/>
      <c r="C62" s="508"/>
      <c r="D62" s="45" t="s">
        <v>4</v>
      </c>
      <c r="E62" s="46" t="s">
        <v>32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123</v>
      </c>
      <c r="AI62" s="186">
        <v>9</v>
      </c>
    </row>
    <row r="63" spans="1:35" ht="15.75" hidden="1" customHeight="1" thickBot="1" x14ac:dyDescent="0.3">
      <c r="A63" s="480"/>
      <c r="B63" s="506"/>
      <c r="C63" s="509"/>
      <c r="D63" s="47" t="s">
        <v>4</v>
      </c>
      <c r="E63" s="48" t="s">
        <v>33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123</v>
      </c>
      <c r="AI63" s="187">
        <v>9</v>
      </c>
    </row>
    <row r="64" spans="1:35" ht="15" customHeight="1" x14ac:dyDescent="0.25">
      <c r="A64" s="478">
        <v>12</v>
      </c>
      <c r="B64" s="504">
        <v>9</v>
      </c>
      <c r="C64" s="507" t="s">
        <v>340</v>
      </c>
      <c r="D64" s="43" t="s">
        <v>340</v>
      </c>
      <c r="E64" s="44" t="s">
        <v>29</v>
      </c>
      <c r="F64" s="245">
        <v>2</v>
      </c>
      <c r="G64" s="238">
        <v>5</v>
      </c>
      <c r="H64" s="222">
        <v>3</v>
      </c>
      <c r="I64" s="222">
        <v>3</v>
      </c>
      <c r="J64" s="241">
        <v>3</v>
      </c>
      <c r="K64" s="241">
        <v>2</v>
      </c>
      <c r="L64" s="236">
        <v>4</v>
      </c>
      <c r="M64" s="222">
        <v>3</v>
      </c>
      <c r="N64" s="222">
        <v>4</v>
      </c>
      <c r="O64" s="222">
        <v>4</v>
      </c>
      <c r="P64" s="236">
        <v>5</v>
      </c>
      <c r="Q64" s="222">
        <v>3</v>
      </c>
      <c r="R64" s="241">
        <v>2</v>
      </c>
      <c r="S64" s="241">
        <v>2</v>
      </c>
      <c r="T64" s="236">
        <v>4</v>
      </c>
      <c r="U64" s="241">
        <v>2</v>
      </c>
      <c r="V64" s="222">
        <v>3</v>
      </c>
      <c r="W64" s="387">
        <v>2</v>
      </c>
      <c r="X64" s="222">
        <v>3</v>
      </c>
      <c r="Y64" s="226"/>
      <c r="Z64" s="226"/>
      <c r="AA64" s="226"/>
      <c r="AB64" s="226"/>
      <c r="AC64" s="226"/>
      <c r="AD64" s="226"/>
      <c r="AE64" s="226"/>
      <c r="AF64" s="227"/>
      <c r="AG64" s="184">
        <v>59</v>
      </c>
      <c r="AH64" s="185">
        <v>59</v>
      </c>
      <c r="AI64" s="185">
        <v>6</v>
      </c>
    </row>
    <row r="65" spans="1:35" ht="15" customHeight="1" thickBot="1" x14ac:dyDescent="0.3">
      <c r="A65" s="479"/>
      <c r="B65" s="505"/>
      <c r="C65" s="508"/>
      <c r="D65" s="45" t="s">
        <v>340</v>
      </c>
      <c r="E65" s="46" t="s">
        <v>30</v>
      </c>
      <c r="F65" s="224">
        <v>3</v>
      </c>
      <c r="G65" s="235">
        <v>2</v>
      </c>
      <c r="H65" s="237">
        <v>4</v>
      </c>
      <c r="I65" s="225">
        <v>3</v>
      </c>
      <c r="J65" s="225">
        <v>4</v>
      </c>
      <c r="K65" s="225">
        <v>3</v>
      </c>
      <c r="L65" s="225">
        <v>3</v>
      </c>
      <c r="M65" s="225">
        <v>3</v>
      </c>
      <c r="N65" s="225">
        <v>4</v>
      </c>
      <c r="O65" s="225">
        <v>4</v>
      </c>
      <c r="P65" s="237">
        <v>5</v>
      </c>
      <c r="Q65" s="225">
        <v>3</v>
      </c>
      <c r="R65" s="225">
        <v>3</v>
      </c>
      <c r="S65" s="225">
        <v>3</v>
      </c>
      <c r="T65" s="235">
        <v>2</v>
      </c>
      <c r="U65" s="225">
        <v>3</v>
      </c>
      <c r="V65" s="225">
        <v>3</v>
      </c>
      <c r="W65" s="379">
        <v>6</v>
      </c>
      <c r="X65" s="225">
        <v>3</v>
      </c>
      <c r="Y65" s="228"/>
      <c r="Z65" s="228"/>
      <c r="AA65" s="228"/>
      <c r="AB65" s="228"/>
      <c r="AC65" s="228"/>
      <c r="AD65" s="228"/>
      <c r="AE65" s="228"/>
      <c r="AF65" s="229"/>
      <c r="AG65" s="166">
        <v>64</v>
      </c>
      <c r="AH65" s="186">
        <v>123</v>
      </c>
      <c r="AI65" s="186">
        <v>9</v>
      </c>
    </row>
    <row r="66" spans="1:35" ht="15" hidden="1" customHeight="1" x14ac:dyDescent="0.25">
      <c r="A66" s="479"/>
      <c r="B66" s="505"/>
      <c r="C66" s="508"/>
      <c r="D66" s="45" t="s">
        <v>340</v>
      </c>
      <c r="E66" s="46" t="s">
        <v>31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0</v>
      </c>
      <c r="AH66" s="186">
        <v>123</v>
      </c>
      <c r="AI66" s="186">
        <v>9</v>
      </c>
    </row>
    <row r="67" spans="1:35" ht="15.75" hidden="1" customHeight="1" x14ac:dyDescent="0.25">
      <c r="A67" s="479"/>
      <c r="B67" s="505"/>
      <c r="C67" s="508"/>
      <c r="D67" s="45" t="s">
        <v>340</v>
      </c>
      <c r="E67" s="46" t="s">
        <v>32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123</v>
      </c>
      <c r="AI67" s="186">
        <v>9</v>
      </c>
    </row>
    <row r="68" spans="1:35" ht="15.75" hidden="1" customHeight="1" thickBot="1" x14ac:dyDescent="0.3">
      <c r="A68" s="480"/>
      <c r="B68" s="506"/>
      <c r="C68" s="509"/>
      <c r="D68" s="47" t="s">
        <v>340</v>
      </c>
      <c r="E68" s="48" t="s">
        <v>33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123</v>
      </c>
      <c r="AI68" s="187">
        <v>9</v>
      </c>
    </row>
    <row r="69" spans="1:35" ht="15" customHeight="1" x14ac:dyDescent="0.25">
      <c r="A69" s="478">
        <v>13</v>
      </c>
      <c r="B69" s="504">
        <v>13</v>
      </c>
      <c r="C69" s="507" t="s">
        <v>200</v>
      </c>
      <c r="D69" s="43" t="s">
        <v>200</v>
      </c>
      <c r="E69" s="44" t="s">
        <v>29</v>
      </c>
      <c r="F69" s="245">
        <v>2</v>
      </c>
      <c r="G69" s="241">
        <v>2</v>
      </c>
      <c r="H69" s="241">
        <v>2</v>
      </c>
      <c r="I69" s="222">
        <v>3</v>
      </c>
      <c r="J69" s="222">
        <v>4</v>
      </c>
      <c r="K69" s="236">
        <v>4</v>
      </c>
      <c r="L69" s="222">
        <v>3</v>
      </c>
      <c r="M69" s="241">
        <v>2</v>
      </c>
      <c r="N69" s="238">
        <v>6</v>
      </c>
      <c r="O69" s="222">
        <v>4</v>
      </c>
      <c r="P69" s="236">
        <v>5</v>
      </c>
      <c r="Q69" s="236">
        <v>4</v>
      </c>
      <c r="R69" s="222">
        <v>3</v>
      </c>
      <c r="S69" s="222">
        <v>3</v>
      </c>
      <c r="T69" s="222">
        <v>3</v>
      </c>
      <c r="U69" s="241">
        <v>2</v>
      </c>
      <c r="V69" s="222">
        <v>3</v>
      </c>
      <c r="W69" s="381">
        <v>4</v>
      </c>
      <c r="X69" s="222">
        <v>3</v>
      </c>
      <c r="Y69" s="226"/>
      <c r="Z69" s="226"/>
      <c r="AA69" s="226"/>
      <c r="AB69" s="226"/>
      <c r="AC69" s="226"/>
      <c r="AD69" s="226"/>
      <c r="AE69" s="226"/>
      <c r="AF69" s="227"/>
      <c r="AG69" s="184">
        <v>62</v>
      </c>
      <c r="AH69" s="185">
        <v>62</v>
      </c>
      <c r="AI69" s="185">
        <v>16</v>
      </c>
    </row>
    <row r="70" spans="1:35" ht="15" customHeight="1" thickBot="1" x14ac:dyDescent="0.3">
      <c r="A70" s="479"/>
      <c r="B70" s="505"/>
      <c r="C70" s="508"/>
      <c r="D70" s="45" t="s">
        <v>200</v>
      </c>
      <c r="E70" s="46" t="s">
        <v>30</v>
      </c>
      <c r="F70" s="360">
        <v>5</v>
      </c>
      <c r="G70" s="225">
        <v>3</v>
      </c>
      <c r="H70" s="225">
        <v>3</v>
      </c>
      <c r="I70" s="235">
        <v>2</v>
      </c>
      <c r="J70" s="225">
        <v>4</v>
      </c>
      <c r="K70" s="225">
        <v>3</v>
      </c>
      <c r="L70" s="225">
        <v>3</v>
      </c>
      <c r="M70" s="237">
        <v>4</v>
      </c>
      <c r="N70" s="225">
        <v>4</v>
      </c>
      <c r="O70" s="225">
        <v>4</v>
      </c>
      <c r="P70" s="237">
        <v>5</v>
      </c>
      <c r="Q70" s="225">
        <v>3</v>
      </c>
      <c r="R70" s="225">
        <v>3</v>
      </c>
      <c r="S70" s="235">
        <v>2</v>
      </c>
      <c r="T70" s="225">
        <v>3</v>
      </c>
      <c r="U70" s="225">
        <v>3</v>
      </c>
      <c r="V70" s="225">
        <v>3</v>
      </c>
      <c r="W70" s="380">
        <v>2</v>
      </c>
      <c r="X70" s="225">
        <v>3</v>
      </c>
      <c r="Y70" s="228"/>
      <c r="Z70" s="228"/>
      <c r="AA70" s="228"/>
      <c r="AB70" s="228"/>
      <c r="AC70" s="228"/>
      <c r="AD70" s="228"/>
      <c r="AE70" s="228"/>
      <c r="AF70" s="229"/>
      <c r="AG70" s="166">
        <v>62</v>
      </c>
      <c r="AH70" s="186">
        <v>124</v>
      </c>
      <c r="AI70" s="186">
        <v>13</v>
      </c>
    </row>
    <row r="71" spans="1:35" ht="15" hidden="1" customHeight="1" x14ac:dyDescent="0.25">
      <c r="A71" s="479"/>
      <c r="B71" s="505"/>
      <c r="C71" s="508"/>
      <c r="D71" s="45" t="s">
        <v>200</v>
      </c>
      <c r="E71" s="46" t="s">
        <v>31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0</v>
      </c>
      <c r="AH71" s="186">
        <v>124</v>
      </c>
      <c r="AI71" s="186">
        <v>13</v>
      </c>
    </row>
    <row r="72" spans="1:35" ht="15.75" hidden="1" customHeight="1" x14ac:dyDescent="0.25">
      <c r="A72" s="479"/>
      <c r="B72" s="505"/>
      <c r="C72" s="508"/>
      <c r="D72" s="45" t="s">
        <v>200</v>
      </c>
      <c r="E72" s="46" t="s">
        <v>32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124</v>
      </c>
      <c r="AI72" s="186">
        <v>13</v>
      </c>
    </row>
    <row r="73" spans="1:35" ht="15.75" hidden="1" customHeight="1" thickBot="1" x14ac:dyDescent="0.3">
      <c r="A73" s="480"/>
      <c r="B73" s="506"/>
      <c r="C73" s="509"/>
      <c r="D73" s="47" t="s">
        <v>200</v>
      </c>
      <c r="E73" s="48" t="s">
        <v>33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124</v>
      </c>
      <c r="AI73" s="187">
        <v>13</v>
      </c>
    </row>
    <row r="74" spans="1:35" ht="15" customHeight="1" x14ac:dyDescent="0.25">
      <c r="A74" s="478">
        <v>14</v>
      </c>
      <c r="B74" s="504">
        <v>13</v>
      </c>
      <c r="C74" s="507" t="s">
        <v>699</v>
      </c>
      <c r="D74" s="43" t="s">
        <v>699</v>
      </c>
      <c r="E74" s="44" t="s">
        <v>29</v>
      </c>
      <c r="F74" s="245">
        <v>2</v>
      </c>
      <c r="G74" s="236">
        <v>4</v>
      </c>
      <c r="H74" s="222">
        <v>3</v>
      </c>
      <c r="I74" s="241">
        <v>2</v>
      </c>
      <c r="J74" s="241">
        <v>3</v>
      </c>
      <c r="K74" s="222">
        <v>3</v>
      </c>
      <c r="L74" s="222">
        <v>3</v>
      </c>
      <c r="M74" s="241">
        <v>2</v>
      </c>
      <c r="N74" s="222">
        <v>4</v>
      </c>
      <c r="O74" s="236">
        <v>5</v>
      </c>
      <c r="P74" s="236">
        <v>5</v>
      </c>
      <c r="Q74" s="236">
        <v>4</v>
      </c>
      <c r="R74" s="236">
        <v>4</v>
      </c>
      <c r="S74" s="241">
        <v>2</v>
      </c>
      <c r="T74" s="238">
        <v>5</v>
      </c>
      <c r="U74" s="241">
        <v>2</v>
      </c>
      <c r="V74" s="222">
        <v>3</v>
      </c>
      <c r="W74" s="387">
        <v>2</v>
      </c>
      <c r="X74" s="222">
        <v>3</v>
      </c>
      <c r="Y74" s="226"/>
      <c r="Z74" s="226"/>
      <c r="AA74" s="226"/>
      <c r="AB74" s="226"/>
      <c r="AC74" s="226"/>
      <c r="AD74" s="226"/>
      <c r="AE74" s="226"/>
      <c r="AF74" s="227"/>
      <c r="AG74" s="184">
        <v>61</v>
      </c>
      <c r="AH74" s="185">
        <v>61</v>
      </c>
      <c r="AI74" s="185">
        <v>11</v>
      </c>
    </row>
    <row r="75" spans="1:35" ht="15" customHeight="1" thickBot="1" x14ac:dyDescent="0.3">
      <c r="A75" s="479"/>
      <c r="B75" s="505"/>
      <c r="C75" s="508"/>
      <c r="D75" s="45" t="s">
        <v>699</v>
      </c>
      <c r="E75" s="46" t="s">
        <v>30</v>
      </c>
      <c r="F75" s="359">
        <v>4</v>
      </c>
      <c r="G75" s="225">
        <v>3</v>
      </c>
      <c r="H75" s="235">
        <v>2</v>
      </c>
      <c r="I75" s="235">
        <v>2</v>
      </c>
      <c r="J75" s="235">
        <v>3</v>
      </c>
      <c r="K75" s="235">
        <v>2</v>
      </c>
      <c r="L75" s="225">
        <v>3</v>
      </c>
      <c r="M75" s="225">
        <v>3</v>
      </c>
      <c r="N75" s="225">
        <v>4</v>
      </c>
      <c r="O75" s="225">
        <v>4</v>
      </c>
      <c r="P75" s="239">
        <v>6</v>
      </c>
      <c r="Q75" s="239">
        <v>5</v>
      </c>
      <c r="R75" s="235">
        <v>2</v>
      </c>
      <c r="S75" s="225">
        <v>3</v>
      </c>
      <c r="T75" s="239">
        <v>5</v>
      </c>
      <c r="U75" s="225">
        <v>3</v>
      </c>
      <c r="V75" s="225">
        <v>3</v>
      </c>
      <c r="W75" s="377">
        <v>3</v>
      </c>
      <c r="X75" s="225">
        <v>3</v>
      </c>
      <c r="Y75" s="228"/>
      <c r="Z75" s="228"/>
      <c r="AA75" s="228"/>
      <c r="AB75" s="228"/>
      <c r="AC75" s="228"/>
      <c r="AD75" s="228"/>
      <c r="AE75" s="228"/>
      <c r="AF75" s="229"/>
      <c r="AG75" s="166">
        <v>63</v>
      </c>
      <c r="AH75" s="186">
        <v>124</v>
      </c>
      <c r="AI75" s="186">
        <v>13</v>
      </c>
    </row>
    <row r="76" spans="1:35" ht="15" hidden="1" customHeight="1" x14ac:dyDescent="0.25">
      <c r="A76" s="479"/>
      <c r="B76" s="505"/>
      <c r="C76" s="508"/>
      <c r="D76" s="45" t="s">
        <v>699</v>
      </c>
      <c r="E76" s="46" t="s">
        <v>31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0</v>
      </c>
      <c r="AH76" s="186">
        <v>124</v>
      </c>
      <c r="AI76" s="186">
        <v>13</v>
      </c>
    </row>
    <row r="77" spans="1:35" ht="15.75" hidden="1" customHeight="1" x14ac:dyDescent="0.25">
      <c r="A77" s="479"/>
      <c r="B77" s="505"/>
      <c r="C77" s="508"/>
      <c r="D77" s="45" t="s">
        <v>699</v>
      </c>
      <c r="E77" s="46" t="s">
        <v>32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124</v>
      </c>
      <c r="AI77" s="186">
        <v>13</v>
      </c>
    </row>
    <row r="78" spans="1:35" ht="15.75" hidden="1" customHeight="1" thickBot="1" x14ac:dyDescent="0.3">
      <c r="A78" s="480"/>
      <c r="B78" s="506"/>
      <c r="C78" s="509"/>
      <c r="D78" s="47" t="s">
        <v>699</v>
      </c>
      <c r="E78" s="48" t="s">
        <v>33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124</v>
      </c>
      <c r="AI78" s="187">
        <v>13</v>
      </c>
    </row>
    <row r="79" spans="1:35" ht="15" customHeight="1" x14ac:dyDescent="0.25">
      <c r="A79" s="478">
        <v>15</v>
      </c>
      <c r="B79" s="504">
        <v>15</v>
      </c>
      <c r="C79" s="507" t="s">
        <v>197</v>
      </c>
      <c r="D79" s="43" t="s">
        <v>197</v>
      </c>
      <c r="E79" s="44" t="s">
        <v>29</v>
      </c>
      <c r="F79" s="223">
        <v>3</v>
      </c>
      <c r="G79" s="222">
        <v>3</v>
      </c>
      <c r="H79" s="222">
        <v>3</v>
      </c>
      <c r="I79" s="222">
        <v>3</v>
      </c>
      <c r="J79" s="222">
        <v>4</v>
      </c>
      <c r="K79" s="222">
        <v>3</v>
      </c>
      <c r="L79" s="236">
        <v>4</v>
      </c>
      <c r="M79" s="222">
        <v>3</v>
      </c>
      <c r="N79" s="222">
        <v>4</v>
      </c>
      <c r="O79" s="241">
        <v>3</v>
      </c>
      <c r="P79" s="222">
        <v>4</v>
      </c>
      <c r="Q79" s="222">
        <v>3</v>
      </c>
      <c r="R79" s="222">
        <v>3</v>
      </c>
      <c r="S79" s="222">
        <v>3</v>
      </c>
      <c r="T79" s="222">
        <v>3</v>
      </c>
      <c r="U79" s="241">
        <v>2</v>
      </c>
      <c r="V79" s="222">
        <v>3</v>
      </c>
      <c r="W79" s="382">
        <v>5</v>
      </c>
      <c r="X79" s="236">
        <v>4</v>
      </c>
      <c r="Y79" s="226"/>
      <c r="Z79" s="226"/>
      <c r="AA79" s="226"/>
      <c r="AB79" s="226"/>
      <c r="AC79" s="226"/>
      <c r="AD79" s="226"/>
      <c r="AE79" s="226"/>
      <c r="AF79" s="227"/>
      <c r="AG79" s="184">
        <v>63</v>
      </c>
      <c r="AH79" s="185">
        <v>63</v>
      </c>
      <c r="AI79" s="185">
        <v>18</v>
      </c>
    </row>
    <row r="80" spans="1:35" ht="15" customHeight="1" thickBot="1" x14ac:dyDescent="0.3">
      <c r="A80" s="479"/>
      <c r="B80" s="505"/>
      <c r="C80" s="508"/>
      <c r="D80" s="45" t="s">
        <v>197</v>
      </c>
      <c r="E80" s="46" t="s">
        <v>30</v>
      </c>
      <c r="F80" s="224">
        <v>3</v>
      </c>
      <c r="G80" s="225">
        <v>3</v>
      </c>
      <c r="H80" s="225">
        <v>3</v>
      </c>
      <c r="I80" s="225">
        <v>3</v>
      </c>
      <c r="J80" s="225">
        <v>4</v>
      </c>
      <c r="K80" s="225">
        <v>3</v>
      </c>
      <c r="L80" s="225">
        <v>3</v>
      </c>
      <c r="M80" s="235">
        <v>2</v>
      </c>
      <c r="N80" s="225">
        <v>4</v>
      </c>
      <c r="O80" s="225">
        <v>4</v>
      </c>
      <c r="P80" s="237">
        <v>5</v>
      </c>
      <c r="Q80" s="235">
        <v>2</v>
      </c>
      <c r="R80" s="225">
        <v>3</v>
      </c>
      <c r="S80" s="225">
        <v>3</v>
      </c>
      <c r="T80" s="225">
        <v>3</v>
      </c>
      <c r="U80" s="225">
        <v>3</v>
      </c>
      <c r="V80" s="237">
        <v>4</v>
      </c>
      <c r="W80" s="378">
        <v>4</v>
      </c>
      <c r="X80" s="237">
        <v>4</v>
      </c>
      <c r="Y80" s="228"/>
      <c r="Z80" s="228"/>
      <c r="AA80" s="228"/>
      <c r="AB80" s="228"/>
      <c r="AC80" s="228"/>
      <c r="AD80" s="228"/>
      <c r="AE80" s="228"/>
      <c r="AF80" s="229"/>
      <c r="AG80" s="166">
        <v>63</v>
      </c>
      <c r="AH80" s="186">
        <v>126</v>
      </c>
      <c r="AI80" s="186">
        <v>15</v>
      </c>
    </row>
    <row r="81" spans="1:35" ht="15" hidden="1" customHeight="1" x14ac:dyDescent="0.25">
      <c r="A81" s="479"/>
      <c r="B81" s="505"/>
      <c r="C81" s="508"/>
      <c r="D81" s="45" t="s">
        <v>197</v>
      </c>
      <c r="E81" s="46" t="s">
        <v>31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0</v>
      </c>
      <c r="AH81" s="186">
        <v>126</v>
      </c>
      <c r="AI81" s="186">
        <v>15</v>
      </c>
    </row>
    <row r="82" spans="1:35" ht="15.75" hidden="1" customHeight="1" x14ac:dyDescent="0.25">
      <c r="A82" s="479"/>
      <c r="B82" s="505"/>
      <c r="C82" s="508"/>
      <c r="D82" s="45" t="s">
        <v>197</v>
      </c>
      <c r="E82" s="46" t="s">
        <v>32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126</v>
      </c>
      <c r="AI82" s="186">
        <v>15</v>
      </c>
    </row>
    <row r="83" spans="1:35" ht="15.75" hidden="1" customHeight="1" thickBot="1" x14ac:dyDescent="0.3">
      <c r="A83" s="480"/>
      <c r="B83" s="506"/>
      <c r="C83" s="509"/>
      <c r="D83" s="47" t="s">
        <v>197</v>
      </c>
      <c r="E83" s="48" t="s">
        <v>33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126</v>
      </c>
      <c r="AI83" s="187">
        <v>15</v>
      </c>
    </row>
    <row r="84" spans="1:35" ht="15" customHeight="1" x14ac:dyDescent="0.25">
      <c r="A84" s="478">
        <v>16</v>
      </c>
      <c r="B84" s="504">
        <v>15</v>
      </c>
      <c r="C84" s="507" t="s">
        <v>700</v>
      </c>
      <c r="D84" s="43" t="s">
        <v>700</v>
      </c>
      <c r="E84" s="44" t="s">
        <v>29</v>
      </c>
      <c r="F84" s="223">
        <v>3</v>
      </c>
      <c r="G84" s="222">
        <v>3</v>
      </c>
      <c r="H84" s="236">
        <v>4</v>
      </c>
      <c r="I84" s="222">
        <v>3</v>
      </c>
      <c r="J84" s="241">
        <v>3</v>
      </c>
      <c r="K84" s="241">
        <v>2</v>
      </c>
      <c r="L84" s="236">
        <v>4</v>
      </c>
      <c r="M84" s="236">
        <v>4</v>
      </c>
      <c r="N84" s="222">
        <v>4</v>
      </c>
      <c r="O84" s="222">
        <v>4</v>
      </c>
      <c r="P84" s="222">
        <v>4</v>
      </c>
      <c r="Q84" s="222">
        <v>3</v>
      </c>
      <c r="R84" s="241">
        <v>2</v>
      </c>
      <c r="S84" s="222">
        <v>3</v>
      </c>
      <c r="T84" s="241">
        <v>2</v>
      </c>
      <c r="U84" s="222">
        <v>3</v>
      </c>
      <c r="V84" s="222">
        <v>3</v>
      </c>
      <c r="W84" s="376">
        <v>3</v>
      </c>
      <c r="X84" s="222">
        <v>3</v>
      </c>
      <c r="Y84" s="226"/>
      <c r="Z84" s="226"/>
      <c r="AA84" s="226"/>
      <c r="AB84" s="226"/>
      <c r="AC84" s="226"/>
      <c r="AD84" s="226"/>
      <c r="AE84" s="226"/>
      <c r="AF84" s="227"/>
      <c r="AG84" s="184">
        <v>60</v>
      </c>
      <c r="AH84" s="185">
        <v>60</v>
      </c>
      <c r="AI84" s="185">
        <v>9</v>
      </c>
    </row>
    <row r="85" spans="1:35" ht="15" customHeight="1" thickBot="1" x14ac:dyDescent="0.3">
      <c r="A85" s="479"/>
      <c r="B85" s="505"/>
      <c r="C85" s="508"/>
      <c r="D85" s="45" t="s">
        <v>700</v>
      </c>
      <c r="E85" s="46" t="s">
        <v>30</v>
      </c>
      <c r="F85" s="240">
        <v>2</v>
      </c>
      <c r="G85" s="225">
        <v>3</v>
      </c>
      <c r="H85" s="239">
        <v>5</v>
      </c>
      <c r="I85" s="225">
        <v>3</v>
      </c>
      <c r="J85" s="225">
        <v>4</v>
      </c>
      <c r="K85" s="225">
        <v>3</v>
      </c>
      <c r="L85" s="237">
        <v>4</v>
      </c>
      <c r="M85" s="225">
        <v>3</v>
      </c>
      <c r="N85" s="225">
        <v>4</v>
      </c>
      <c r="O85" s="237">
        <v>5</v>
      </c>
      <c r="P85" s="237">
        <v>5</v>
      </c>
      <c r="Q85" s="225">
        <v>3</v>
      </c>
      <c r="R85" s="235">
        <v>2</v>
      </c>
      <c r="S85" s="225">
        <v>3</v>
      </c>
      <c r="T85" s="225">
        <v>3</v>
      </c>
      <c r="U85" s="225">
        <v>3</v>
      </c>
      <c r="V85" s="225">
        <v>3</v>
      </c>
      <c r="W85" s="378">
        <v>4</v>
      </c>
      <c r="X85" s="237">
        <v>4</v>
      </c>
      <c r="Y85" s="228"/>
      <c r="Z85" s="228"/>
      <c r="AA85" s="228"/>
      <c r="AB85" s="228"/>
      <c r="AC85" s="228"/>
      <c r="AD85" s="228"/>
      <c r="AE85" s="228"/>
      <c r="AF85" s="229"/>
      <c r="AG85" s="166">
        <v>66</v>
      </c>
      <c r="AH85" s="186">
        <v>126</v>
      </c>
      <c r="AI85" s="186">
        <v>15</v>
      </c>
    </row>
    <row r="86" spans="1:35" ht="15" hidden="1" customHeight="1" x14ac:dyDescent="0.25">
      <c r="A86" s="479"/>
      <c r="B86" s="505"/>
      <c r="C86" s="508"/>
      <c r="D86" s="45" t="s">
        <v>700</v>
      </c>
      <c r="E86" s="46" t="s">
        <v>31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0</v>
      </c>
      <c r="AH86" s="186">
        <v>126</v>
      </c>
      <c r="AI86" s="186">
        <v>15</v>
      </c>
    </row>
    <row r="87" spans="1:35" ht="15.75" hidden="1" customHeight="1" x14ac:dyDescent="0.25">
      <c r="A87" s="479"/>
      <c r="B87" s="505"/>
      <c r="C87" s="508"/>
      <c r="D87" s="45" t="s">
        <v>700</v>
      </c>
      <c r="E87" s="46" t="s">
        <v>32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126</v>
      </c>
      <c r="AI87" s="186">
        <v>15</v>
      </c>
    </row>
    <row r="88" spans="1:35" ht="15.75" hidden="1" customHeight="1" thickBot="1" x14ac:dyDescent="0.3">
      <c r="A88" s="480"/>
      <c r="B88" s="506"/>
      <c r="C88" s="509"/>
      <c r="D88" s="47" t="s">
        <v>700</v>
      </c>
      <c r="E88" s="48" t="s">
        <v>33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126</v>
      </c>
      <c r="AI88" s="187">
        <v>15</v>
      </c>
    </row>
    <row r="89" spans="1:35" ht="15" customHeight="1" x14ac:dyDescent="0.25">
      <c r="A89" s="478">
        <v>17</v>
      </c>
      <c r="B89" s="504">
        <v>15</v>
      </c>
      <c r="C89" s="507" t="s">
        <v>3</v>
      </c>
      <c r="D89" s="43" t="s">
        <v>3</v>
      </c>
      <c r="E89" s="44" t="s">
        <v>29</v>
      </c>
      <c r="F89" s="245">
        <v>2</v>
      </c>
      <c r="G89" s="222">
        <v>3</v>
      </c>
      <c r="H89" s="236">
        <v>4</v>
      </c>
      <c r="I89" s="222">
        <v>3</v>
      </c>
      <c r="J89" s="222">
        <v>4</v>
      </c>
      <c r="K89" s="222">
        <v>3</v>
      </c>
      <c r="L89" s="238">
        <v>5</v>
      </c>
      <c r="M89" s="241">
        <v>2</v>
      </c>
      <c r="N89" s="222">
        <v>4</v>
      </c>
      <c r="O89" s="241">
        <v>3</v>
      </c>
      <c r="P89" s="236">
        <v>5</v>
      </c>
      <c r="Q89" s="241">
        <v>2</v>
      </c>
      <c r="R89" s="241">
        <v>2</v>
      </c>
      <c r="S89" s="222">
        <v>3</v>
      </c>
      <c r="T89" s="241">
        <v>2</v>
      </c>
      <c r="U89" s="241">
        <v>2</v>
      </c>
      <c r="V89" s="222">
        <v>3</v>
      </c>
      <c r="W89" s="387">
        <v>2</v>
      </c>
      <c r="X89" s="238">
        <v>5</v>
      </c>
      <c r="Y89" s="226"/>
      <c r="Z89" s="226"/>
      <c r="AA89" s="226"/>
      <c r="AB89" s="226"/>
      <c r="AC89" s="226"/>
      <c r="AD89" s="226"/>
      <c r="AE89" s="226"/>
      <c r="AF89" s="227"/>
      <c r="AG89" s="184">
        <v>59</v>
      </c>
      <c r="AH89" s="185">
        <v>59</v>
      </c>
      <c r="AI89" s="185">
        <v>6</v>
      </c>
    </row>
    <row r="90" spans="1:35" ht="15" customHeight="1" thickBot="1" x14ac:dyDescent="0.3">
      <c r="A90" s="479"/>
      <c r="B90" s="505"/>
      <c r="C90" s="508"/>
      <c r="D90" s="45" t="s">
        <v>3</v>
      </c>
      <c r="E90" s="46" t="s">
        <v>30</v>
      </c>
      <c r="F90" s="240">
        <v>2</v>
      </c>
      <c r="G90" s="225">
        <v>3</v>
      </c>
      <c r="H90" s="237">
        <v>4</v>
      </c>
      <c r="I90" s="239">
        <v>5</v>
      </c>
      <c r="J90" s="237">
        <v>5</v>
      </c>
      <c r="K90" s="225">
        <v>3</v>
      </c>
      <c r="L90" s="225">
        <v>3</v>
      </c>
      <c r="M90" s="225">
        <v>3</v>
      </c>
      <c r="N90" s="225">
        <v>4</v>
      </c>
      <c r="O90" s="225">
        <v>4</v>
      </c>
      <c r="P90" s="239">
        <v>7</v>
      </c>
      <c r="Q90" s="225">
        <v>3</v>
      </c>
      <c r="R90" s="237">
        <v>4</v>
      </c>
      <c r="S90" s="235">
        <v>2</v>
      </c>
      <c r="T90" s="225">
        <v>3</v>
      </c>
      <c r="U90" s="235">
        <v>2</v>
      </c>
      <c r="V90" s="237">
        <v>4</v>
      </c>
      <c r="W90" s="380">
        <v>2</v>
      </c>
      <c r="X90" s="237">
        <v>4</v>
      </c>
      <c r="Y90" s="228"/>
      <c r="Z90" s="228"/>
      <c r="AA90" s="228"/>
      <c r="AB90" s="228"/>
      <c r="AC90" s="228"/>
      <c r="AD90" s="228"/>
      <c r="AE90" s="228"/>
      <c r="AF90" s="229"/>
      <c r="AG90" s="166">
        <v>67</v>
      </c>
      <c r="AH90" s="186">
        <v>126</v>
      </c>
      <c r="AI90" s="186">
        <v>15</v>
      </c>
    </row>
    <row r="91" spans="1:35" ht="15" hidden="1" customHeight="1" x14ac:dyDescent="0.25">
      <c r="A91" s="479"/>
      <c r="B91" s="505"/>
      <c r="C91" s="508"/>
      <c r="D91" s="45" t="s">
        <v>3</v>
      </c>
      <c r="E91" s="46" t="s">
        <v>31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0</v>
      </c>
      <c r="AH91" s="186">
        <v>126</v>
      </c>
      <c r="AI91" s="186">
        <v>15</v>
      </c>
    </row>
    <row r="92" spans="1:35" ht="15.75" hidden="1" customHeight="1" x14ac:dyDescent="0.25">
      <c r="A92" s="479"/>
      <c r="B92" s="505"/>
      <c r="C92" s="508"/>
      <c r="D92" s="45" t="s">
        <v>3</v>
      </c>
      <c r="E92" s="46" t="s">
        <v>32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126</v>
      </c>
      <c r="AI92" s="186">
        <v>15</v>
      </c>
    </row>
    <row r="93" spans="1:35" ht="15.75" hidden="1" customHeight="1" thickBot="1" x14ac:dyDescent="0.3">
      <c r="A93" s="480"/>
      <c r="B93" s="506"/>
      <c r="C93" s="509"/>
      <c r="D93" s="47" t="s">
        <v>3</v>
      </c>
      <c r="E93" s="48" t="s">
        <v>33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126</v>
      </c>
      <c r="AI93" s="187">
        <v>15</v>
      </c>
    </row>
    <row r="94" spans="1:35" ht="15" customHeight="1" x14ac:dyDescent="0.25">
      <c r="A94" s="478">
        <v>18</v>
      </c>
      <c r="B94" s="504">
        <v>15</v>
      </c>
      <c r="C94" s="507" t="s">
        <v>701</v>
      </c>
      <c r="D94" s="43" t="s">
        <v>701</v>
      </c>
      <c r="E94" s="44" t="s">
        <v>29</v>
      </c>
      <c r="F94" s="245">
        <v>2</v>
      </c>
      <c r="G94" s="222">
        <v>3</v>
      </c>
      <c r="H94" s="241">
        <v>2</v>
      </c>
      <c r="I94" s="241">
        <v>2</v>
      </c>
      <c r="J94" s="222">
        <v>4</v>
      </c>
      <c r="K94" s="222">
        <v>3</v>
      </c>
      <c r="L94" s="222">
        <v>3</v>
      </c>
      <c r="M94" s="236">
        <v>4</v>
      </c>
      <c r="N94" s="222">
        <v>4</v>
      </c>
      <c r="O94" s="222">
        <v>4</v>
      </c>
      <c r="P94" s="222">
        <v>4</v>
      </c>
      <c r="Q94" s="236">
        <v>4</v>
      </c>
      <c r="R94" s="241">
        <v>2</v>
      </c>
      <c r="S94" s="241">
        <v>2</v>
      </c>
      <c r="T94" s="222">
        <v>3</v>
      </c>
      <c r="U94" s="222">
        <v>3</v>
      </c>
      <c r="V94" s="222">
        <v>3</v>
      </c>
      <c r="W94" s="387">
        <v>2</v>
      </c>
      <c r="X94" s="222">
        <v>3</v>
      </c>
      <c r="Y94" s="226"/>
      <c r="Z94" s="226"/>
      <c r="AA94" s="226"/>
      <c r="AB94" s="226"/>
      <c r="AC94" s="226"/>
      <c r="AD94" s="226"/>
      <c r="AE94" s="226"/>
      <c r="AF94" s="227"/>
      <c r="AG94" s="184">
        <v>57</v>
      </c>
      <c r="AH94" s="185">
        <v>57</v>
      </c>
      <c r="AI94" s="185">
        <v>3</v>
      </c>
    </row>
    <row r="95" spans="1:35" ht="15" customHeight="1" thickBot="1" x14ac:dyDescent="0.3">
      <c r="A95" s="479"/>
      <c r="B95" s="505"/>
      <c r="C95" s="508"/>
      <c r="D95" s="45" t="s">
        <v>701</v>
      </c>
      <c r="E95" s="46" t="s">
        <v>30</v>
      </c>
      <c r="F95" s="224">
        <v>3</v>
      </c>
      <c r="G95" s="235">
        <v>2</v>
      </c>
      <c r="H95" s="239">
        <v>5</v>
      </c>
      <c r="I95" s="225">
        <v>3</v>
      </c>
      <c r="J95" s="225">
        <v>4</v>
      </c>
      <c r="K95" s="237">
        <v>4</v>
      </c>
      <c r="L95" s="237">
        <v>4</v>
      </c>
      <c r="M95" s="225">
        <v>3</v>
      </c>
      <c r="N95" s="225">
        <v>4</v>
      </c>
      <c r="O95" s="225">
        <v>4</v>
      </c>
      <c r="P95" s="239">
        <v>6</v>
      </c>
      <c r="Q95" s="239">
        <v>5</v>
      </c>
      <c r="R95" s="235">
        <v>2</v>
      </c>
      <c r="S95" s="237">
        <v>4</v>
      </c>
      <c r="T95" s="235">
        <v>2</v>
      </c>
      <c r="U95" s="225">
        <v>3</v>
      </c>
      <c r="V95" s="225">
        <v>3</v>
      </c>
      <c r="W95" s="379">
        <v>5</v>
      </c>
      <c r="X95" s="225">
        <v>3</v>
      </c>
      <c r="Y95" s="228"/>
      <c r="Z95" s="228"/>
      <c r="AA95" s="228"/>
      <c r="AB95" s="228"/>
      <c r="AC95" s="228"/>
      <c r="AD95" s="228"/>
      <c r="AE95" s="228"/>
      <c r="AF95" s="229"/>
      <c r="AG95" s="166">
        <v>69</v>
      </c>
      <c r="AH95" s="186">
        <v>126</v>
      </c>
      <c r="AI95" s="186">
        <v>15</v>
      </c>
    </row>
    <row r="96" spans="1:35" ht="15" hidden="1" customHeight="1" x14ac:dyDescent="0.25">
      <c r="A96" s="479"/>
      <c r="B96" s="505"/>
      <c r="C96" s="508"/>
      <c r="D96" s="45" t="s">
        <v>701</v>
      </c>
      <c r="E96" s="46" t="s">
        <v>31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0</v>
      </c>
      <c r="AH96" s="186">
        <v>126</v>
      </c>
      <c r="AI96" s="186">
        <v>15</v>
      </c>
    </row>
    <row r="97" spans="1:35" ht="15.75" hidden="1" customHeight="1" x14ac:dyDescent="0.25">
      <c r="A97" s="479"/>
      <c r="B97" s="505"/>
      <c r="C97" s="508"/>
      <c r="D97" s="45" t="s">
        <v>701</v>
      </c>
      <c r="E97" s="46" t="s">
        <v>32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126</v>
      </c>
      <c r="AI97" s="186">
        <v>15</v>
      </c>
    </row>
    <row r="98" spans="1:35" ht="15.75" hidden="1" customHeight="1" thickBot="1" x14ac:dyDescent="0.3">
      <c r="A98" s="480"/>
      <c r="B98" s="506"/>
      <c r="C98" s="509"/>
      <c r="D98" s="47" t="s">
        <v>701</v>
      </c>
      <c r="E98" s="48" t="s">
        <v>33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126</v>
      </c>
      <c r="AI98" s="187">
        <v>15</v>
      </c>
    </row>
    <row r="99" spans="1:35" ht="15" customHeight="1" x14ac:dyDescent="0.25">
      <c r="A99" s="478">
        <v>19</v>
      </c>
      <c r="B99" s="504">
        <v>19</v>
      </c>
      <c r="C99" s="507" t="s">
        <v>341</v>
      </c>
      <c r="D99" s="43" t="s">
        <v>341</v>
      </c>
      <c r="E99" s="44" t="s">
        <v>29</v>
      </c>
      <c r="F99" s="223">
        <v>3</v>
      </c>
      <c r="G99" s="222">
        <v>3</v>
      </c>
      <c r="H99" s="222">
        <v>3</v>
      </c>
      <c r="I99" s="236">
        <v>4</v>
      </c>
      <c r="J99" s="236">
        <v>5</v>
      </c>
      <c r="K99" s="222">
        <v>3</v>
      </c>
      <c r="L99" s="222">
        <v>3</v>
      </c>
      <c r="M99" s="241">
        <v>2</v>
      </c>
      <c r="N99" s="236">
        <v>5</v>
      </c>
      <c r="O99" s="222">
        <v>4</v>
      </c>
      <c r="P99" s="222">
        <v>4</v>
      </c>
      <c r="Q99" s="236">
        <v>4</v>
      </c>
      <c r="R99" s="222">
        <v>3</v>
      </c>
      <c r="S99" s="236">
        <v>4</v>
      </c>
      <c r="T99" s="241">
        <v>2</v>
      </c>
      <c r="U99" s="222">
        <v>3</v>
      </c>
      <c r="V99" s="241">
        <v>2</v>
      </c>
      <c r="W99" s="387">
        <v>2</v>
      </c>
      <c r="X99" s="236">
        <v>4</v>
      </c>
      <c r="Y99" s="226"/>
      <c r="Z99" s="226"/>
      <c r="AA99" s="226"/>
      <c r="AB99" s="226"/>
      <c r="AC99" s="226"/>
      <c r="AD99" s="226"/>
      <c r="AE99" s="226"/>
      <c r="AF99" s="227"/>
      <c r="AG99" s="184">
        <v>63</v>
      </c>
      <c r="AH99" s="185">
        <v>63</v>
      </c>
      <c r="AI99" s="185">
        <v>18</v>
      </c>
    </row>
    <row r="100" spans="1:35" ht="15" customHeight="1" thickBot="1" x14ac:dyDescent="0.3">
      <c r="A100" s="479"/>
      <c r="B100" s="505"/>
      <c r="C100" s="508"/>
      <c r="D100" s="45" t="s">
        <v>341</v>
      </c>
      <c r="E100" s="46" t="s">
        <v>30</v>
      </c>
      <c r="F100" s="240">
        <v>2</v>
      </c>
      <c r="G100" s="225">
        <v>3</v>
      </c>
      <c r="H100" s="225">
        <v>3</v>
      </c>
      <c r="I100" s="235">
        <v>2</v>
      </c>
      <c r="J100" s="237">
        <v>5</v>
      </c>
      <c r="K100" s="237">
        <v>4</v>
      </c>
      <c r="L100" s="225">
        <v>3</v>
      </c>
      <c r="M100" s="225">
        <v>3</v>
      </c>
      <c r="N100" s="225">
        <v>4</v>
      </c>
      <c r="O100" s="235">
        <v>3</v>
      </c>
      <c r="P100" s="237">
        <v>5</v>
      </c>
      <c r="Q100" s="237">
        <v>4</v>
      </c>
      <c r="R100" s="225">
        <v>3</v>
      </c>
      <c r="S100" s="225">
        <v>3</v>
      </c>
      <c r="T100" s="225">
        <v>3</v>
      </c>
      <c r="U100" s="235">
        <v>2</v>
      </c>
      <c r="V100" s="237">
        <v>4</v>
      </c>
      <c r="W100" s="379">
        <v>5</v>
      </c>
      <c r="X100" s="225">
        <v>3</v>
      </c>
      <c r="Y100" s="228"/>
      <c r="Z100" s="228"/>
      <c r="AA100" s="228"/>
      <c r="AB100" s="228"/>
      <c r="AC100" s="228"/>
      <c r="AD100" s="228"/>
      <c r="AE100" s="228"/>
      <c r="AF100" s="229"/>
      <c r="AG100" s="166">
        <v>64</v>
      </c>
      <c r="AH100" s="186">
        <v>127</v>
      </c>
      <c r="AI100" s="186">
        <v>19</v>
      </c>
    </row>
    <row r="101" spans="1:35" ht="15" hidden="1" customHeight="1" x14ac:dyDescent="0.25">
      <c r="A101" s="479"/>
      <c r="B101" s="505"/>
      <c r="C101" s="508"/>
      <c r="D101" s="45" t="s">
        <v>341</v>
      </c>
      <c r="E101" s="46" t="s">
        <v>31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0</v>
      </c>
      <c r="AH101" s="186">
        <v>127</v>
      </c>
      <c r="AI101" s="186">
        <v>19</v>
      </c>
    </row>
    <row r="102" spans="1:35" ht="15.75" hidden="1" customHeight="1" x14ac:dyDescent="0.25">
      <c r="A102" s="479"/>
      <c r="B102" s="505"/>
      <c r="C102" s="508"/>
      <c r="D102" s="45" t="s">
        <v>341</v>
      </c>
      <c r="E102" s="46" t="s">
        <v>32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127</v>
      </c>
      <c r="AI102" s="186">
        <v>19</v>
      </c>
    </row>
    <row r="103" spans="1:35" ht="15.75" hidden="1" customHeight="1" thickBot="1" x14ac:dyDescent="0.3">
      <c r="A103" s="480"/>
      <c r="B103" s="506"/>
      <c r="C103" s="509"/>
      <c r="D103" s="47" t="s">
        <v>341</v>
      </c>
      <c r="E103" s="48" t="s">
        <v>33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127</v>
      </c>
      <c r="AI103" s="187">
        <v>19</v>
      </c>
    </row>
    <row r="104" spans="1:35" ht="15" customHeight="1" x14ac:dyDescent="0.25">
      <c r="A104" s="478">
        <v>20</v>
      </c>
      <c r="B104" s="504">
        <v>20</v>
      </c>
      <c r="C104" s="507" t="s">
        <v>702</v>
      </c>
      <c r="D104" s="43" t="s">
        <v>702</v>
      </c>
      <c r="E104" s="44" t="s">
        <v>29</v>
      </c>
      <c r="F104" s="223">
        <v>3</v>
      </c>
      <c r="G104" s="222">
        <v>3</v>
      </c>
      <c r="H104" s="222">
        <v>3</v>
      </c>
      <c r="I104" s="236">
        <v>4</v>
      </c>
      <c r="J104" s="222">
        <v>4</v>
      </c>
      <c r="K104" s="222">
        <v>3</v>
      </c>
      <c r="L104" s="222">
        <v>3</v>
      </c>
      <c r="M104" s="222">
        <v>3</v>
      </c>
      <c r="N104" s="222">
        <v>4</v>
      </c>
      <c r="O104" s="222">
        <v>4</v>
      </c>
      <c r="P104" s="236">
        <v>5</v>
      </c>
      <c r="Q104" s="236">
        <v>4</v>
      </c>
      <c r="R104" s="222">
        <v>3</v>
      </c>
      <c r="S104" s="222">
        <v>3</v>
      </c>
      <c r="T104" s="222">
        <v>3</v>
      </c>
      <c r="U104" s="222">
        <v>3</v>
      </c>
      <c r="V104" s="222">
        <v>3</v>
      </c>
      <c r="W104" s="381">
        <v>4</v>
      </c>
      <c r="X104" s="222">
        <v>3</v>
      </c>
      <c r="Y104" s="226"/>
      <c r="Z104" s="226"/>
      <c r="AA104" s="226"/>
      <c r="AB104" s="226"/>
      <c r="AC104" s="226"/>
      <c r="AD104" s="226"/>
      <c r="AE104" s="226"/>
      <c r="AF104" s="227"/>
      <c r="AG104" s="184">
        <v>65</v>
      </c>
      <c r="AH104" s="185">
        <v>65</v>
      </c>
      <c r="AI104" s="185">
        <v>29</v>
      </c>
    </row>
    <row r="105" spans="1:35" ht="15" customHeight="1" thickBot="1" x14ac:dyDescent="0.3">
      <c r="A105" s="479"/>
      <c r="B105" s="505"/>
      <c r="C105" s="508"/>
      <c r="D105" s="45" t="s">
        <v>702</v>
      </c>
      <c r="E105" s="46" t="s">
        <v>30</v>
      </c>
      <c r="F105" s="224">
        <v>3</v>
      </c>
      <c r="G105" s="225">
        <v>3</v>
      </c>
      <c r="H105" s="225">
        <v>3</v>
      </c>
      <c r="I105" s="237">
        <v>4</v>
      </c>
      <c r="J105" s="235">
        <v>3</v>
      </c>
      <c r="K105" s="237">
        <v>4</v>
      </c>
      <c r="L105" s="225">
        <v>3</v>
      </c>
      <c r="M105" s="225">
        <v>3</v>
      </c>
      <c r="N105" s="237">
        <v>5</v>
      </c>
      <c r="O105" s="225">
        <v>4</v>
      </c>
      <c r="P105" s="239">
        <v>6</v>
      </c>
      <c r="Q105" s="235">
        <v>2</v>
      </c>
      <c r="R105" s="225">
        <v>3</v>
      </c>
      <c r="S105" s="225">
        <v>3</v>
      </c>
      <c r="T105" s="225">
        <v>3</v>
      </c>
      <c r="U105" s="235">
        <v>2</v>
      </c>
      <c r="V105" s="225">
        <v>3</v>
      </c>
      <c r="W105" s="380">
        <v>2</v>
      </c>
      <c r="X105" s="237">
        <v>4</v>
      </c>
      <c r="Y105" s="228"/>
      <c r="Z105" s="228"/>
      <c r="AA105" s="228"/>
      <c r="AB105" s="228"/>
      <c r="AC105" s="228"/>
      <c r="AD105" s="228"/>
      <c r="AE105" s="228"/>
      <c r="AF105" s="229"/>
      <c r="AG105" s="166">
        <v>63</v>
      </c>
      <c r="AH105" s="186">
        <v>128</v>
      </c>
      <c r="AI105" s="186">
        <v>20</v>
      </c>
    </row>
    <row r="106" spans="1:35" ht="15" hidden="1" customHeight="1" x14ac:dyDescent="0.25">
      <c r="A106" s="479"/>
      <c r="B106" s="505"/>
      <c r="C106" s="508"/>
      <c r="D106" s="45" t="s">
        <v>702</v>
      </c>
      <c r="E106" s="46" t="s">
        <v>31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0</v>
      </c>
      <c r="AH106" s="186">
        <v>128</v>
      </c>
      <c r="AI106" s="186">
        <v>20</v>
      </c>
    </row>
    <row r="107" spans="1:35" ht="15.75" hidden="1" customHeight="1" x14ac:dyDescent="0.25">
      <c r="A107" s="479"/>
      <c r="B107" s="505"/>
      <c r="C107" s="508"/>
      <c r="D107" s="45" t="s">
        <v>702</v>
      </c>
      <c r="E107" s="46" t="s">
        <v>32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128</v>
      </c>
      <c r="AI107" s="186">
        <v>20</v>
      </c>
    </row>
    <row r="108" spans="1:35" ht="15.75" hidden="1" customHeight="1" thickBot="1" x14ac:dyDescent="0.3">
      <c r="A108" s="480"/>
      <c r="B108" s="506"/>
      <c r="C108" s="509"/>
      <c r="D108" s="47" t="s">
        <v>702</v>
      </c>
      <c r="E108" s="48" t="s">
        <v>33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128</v>
      </c>
      <c r="AI108" s="187">
        <v>20</v>
      </c>
    </row>
    <row r="109" spans="1:35" ht="15" customHeight="1" x14ac:dyDescent="0.25">
      <c r="A109" s="478">
        <v>21</v>
      </c>
      <c r="B109" s="504">
        <v>20</v>
      </c>
      <c r="C109" s="507" t="s">
        <v>11</v>
      </c>
      <c r="D109" s="43" t="s">
        <v>11</v>
      </c>
      <c r="E109" s="44" t="s">
        <v>29</v>
      </c>
      <c r="F109" s="386">
        <v>5</v>
      </c>
      <c r="G109" s="236">
        <v>4</v>
      </c>
      <c r="H109" s="222">
        <v>3</v>
      </c>
      <c r="I109" s="222">
        <v>3</v>
      </c>
      <c r="J109" s="236">
        <v>5</v>
      </c>
      <c r="K109" s="241">
        <v>2</v>
      </c>
      <c r="L109" s="222">
        <v>3</v>
      </c>
      <c r="M109" s="222">
        <v>3</v>
      </c>
      <c r="N109" s="236">
        <v>5</v>
      </c>
      <c r="O109" s="222">
        <v>4</v>
      </c>
      <c r="P109" s="236">
        <v>5</v>
      </c>
      <c r="Q109" s="236">
        <v>4</v>
      </c>
      <c r="R109" s="222">
        <v>3</v>
      </c>
      <c r="S109" s="222">
        <v>3</v>
      </c>
      <c r="T109" s="222">
        <v>3</v>
      </c>
      <c r="U109" s="241">
        <v>2</v>
      </c>
      <c r="V109" s="241">
        <v>2</v>
      </c>
      <c r="W109" s="387">
        <v>2</v>
      </c>
      <c r="X109" s="222">
        <v>3</v>
      </c>
      <c r="Y109" s="226"/>
      <c r="Z109" s="226"/>
      <c r="AA109" s="226"/>
      <c r="AB109" s="226"/>
      <c r="AC109" s="226"/>
      <c r="AD109" s="226"/>
      <c r="AE109" s="226"/>
      <c r="AF109" s="227"/>
      <c r="AG109" s="184">
        <v>64</v>
      </c>
      <c r="AH109" s="185">
        <v>64</v>
      </c>
      <c r="AI109" s="185">
        <v>25</v>
      </c>
    </row>
    <row r="110" spans="1:35" ht="15" customHeight="1" thickBot="1" x14ac:dyDescent="0.3">
      <c r="A110" s="479"/>
      <c r="B110" s="505"/>
      <c r="C110" s="508"/>
      <c r="D110" s="45" t="s">
        <v>11</v>
      </c>
      <c r="E110" s="46" t="s">
        <v>30</v>
      </c>
      <c r="F110" s="359">
        <v>4</v>
      </c>
      <c r="G110" s="225">
        <v>3</v>
      </c>
      <c r="H110" s="225">
        <v>3</v>
      </c>
      <c r="I110" s="237">
        <v>4</v>
      </c>
      <c r="J110" s="225">
        <v>4</v>
      </c>
      <c r="K110" s="225">
        <v>3</v>
      </c>
      <c r="L110" s="235">
        <v>2</v>
      </c>
      <c r="M110" s="237">
        <v>4</v>
      </c>
      <c r="N110" s="225">
        <v>4</v>
      </c>
      <c r="O110" s="225">
        <v>4</v>
      </c>
      <c r="P110" s="239">
        <v>6</v>
      </c>
      <c r="Q110" s="225">
        <v>3</v>
      </c>
      <c r="R110" s="237">
        <v>4</v>
      </c>
      <c r="S110" s="235">
        <v>2</v>
      </c>
      <c r="T110" s="225">
        <v>3</v>
      </c>
      <c r="U110" s="235">
        <v>2</v>
      </c>
      <c r="V110" s="225">
        <v>3</v>
      </c>
      <c r="W110" s="380">
        <v>2</v>
      </c>
      <c r="X110" s="237">
        <v>4</v>
      </c>
      <c r="Y110" s="228"/>
      <c r="Z110" s="228"/>
      <c r="AA110" s="228"/>
      <c r="AB110" s="228"/>
      <c r="AC110" s="228"/>
      <c r="AD110" s="228"/>
      <c r="AE110" s="228"/>
      <c r="AF110" s="229"/>
      <c r="AG110" s="166">
        <v>64</v>
      </c>
      <c r="AH110" s="186">
        <v>128</v>
      </c>
      <c r="AI110" s="186">
        <v>20</v>
      </c>
    </row>
    <row r="111" spans="1:35" ht="15" hidden="1" customHeight="1" x14ac:dyDescent="0.25">
      <c r="A111" s="479"/>
      <c r="B111" s="505"/>
      <c r="C111" s="508"/>
      <c r="D111" s="45" t="s">
        <v>11</v>
      </c>
      <c r="E111" s="46" t="s">
        <v>31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0</v>
      </c>
      <c r="AH111" s="186">
        <v>128</v>
      </c>
      <c r="AI111" s="186">
        <v>20</v>
      </c>
    </row>
    <row r="112" spans="1:35" ht="15.75" hidden="1" customHeight="1" x14ac:dyDescent="0.25">
      <c r="A112" s="479"/>
      <c r="B112" s="505"/>
      <c r="C112" s="508"/>
      <c r="D112" s="45" t="s">
        <v>11</v>
      </c>
      <c r="E112" s="46" t="s">
        <v>32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128</v>
      </c>
      <c r="AI112" s="186">
        <v>20</v>
      </c>
    </row>
    <row r="113" spans="1:35" ht="15.75" hidden="1" customHeight="1" thickBot="1" x14ac:dyDescent="0.3">
      <c r="A113" s="480"/>
      <c r="B113" s="506"/>
      <c r="C113" s="509"/>
      <c r="D113" s="47" t="s">
        <v>11</v>
      </c>
      <c r="E113" s="48" t="s">
        <v>33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128</v>
      </c>
      <c r="AI113" s="187">
        <v>20</v>
      </c>
    </row>
    <row r="114" spans="1:35" ht="15" customHeight="1" x14ac:dyDescent="0.25">
      <c r="A114" s="478">
        <v>22</v>
      </c>
      <c r="B114" s="504">
        <v>20</v>
      </c>
      <c r="C114" s="507" t="s">
        <v>458</v>
      </c>
      <c r="D114" s="43" t="s">
        <v>458</v>
      </c>
      <c r="E114" s="44" t="s">
        <v>29</v>
      </c>
      <c r="F114" s="223">
        <v>3</v>
      </c>
      <c r="G114" s="222">
        <v>3</v>
      </c>
      <c r="H114" s="222">
        <v>3</v>
      </c>
      <c r="I114" s="236">
        <v>4</v>
      </c>
      <c r="J114" s="222">
        <v>4</v>
      </c>
      <c r="K114" s="222">
        <v>3</v>
      </c>
      <c r="L114" s="222">
        <v>3</v>
      </c>
      <c r="M114" s="222">
        <v>3</v>
      </c>
      <c r="N114" s="241">
        <v>3</v>
      </c>
      <c r="O114" s="241">
        <v>3</v>
      </c>
      <c r="P114" s="222">
        <v>4</v>
      </c>
      <c r="Q114" s="222">
        <v>3</v>
      </c>
      <c r="R114" s="236">
        <v>4</v>
      </c>
      <c r="S114" s="222">
        <v>3</v>
      </c>
      <c r="T114" s="222">
        <v>3</v>
      </c>
      <c r="U114" s="241">
        <v>2</v>
      </c>
      <c r="V114" s="222">
        <v>3</v>
      </c>
      <c r="W114" s="382">
        <v>6</v>
      </c>
      <c r="X114" s="222">
        <v>3</v>
      </c>
      <c r="Y114" s="226"/>
      <c r="Z114" s="226"/>
      <c r="AA114" s="226"/>
      <c r="AB114" s="226"/>
      <c r="AC114" s="226"/>
      <c r="AD114" s="226"/>
      <c r="AE114" s="226"/>
      <c r="AF114" s="227"/>
      <c r="AG114" s="184">
        <v>63</v>
      </c>
      <c r="AH114" s="185">
        <v>63</v>
      </c>
      <c r="AI114" s="185">
        <v>18</v>
      </c>
    </row>
    <row r="115" spans="1:35" ht="15" customHeight="1" thickBot="1" x14ac:dyDescent="0.3">
      <c r="A115" s="479"/>
      <c r="B115" s="505"/>
      <c r="C115" s="508"/>
      <c r="D115" s="45" t="s">
        <v>458</v>
      </c>
      <c r="E115" s="46" t="s">
        <v>30</v>
      </c>
      <c r="F115" s="359">
        <v>4</v>
      </c>
      <c r="G115" s="225">
        <v>3</v>
      </c>
      <c r="H115" s="235">
        <v>2</v>
      </c>
      <c r="I115" s="225">
        <v>3</v>
      </c>
      <c r="J115" s="225">
        <v>4</v>
      </c>
      <c r="K115" s="235">
        <v>2</v>
      </c>
      <c r="L115" s="225">
        <v>3</v>
      </c>
      <c r="M115" s="225">
        <v>3</v>
      </c>
      <c r="N115" s="237">
        <v>5</v>
      </c>
      <c r="O115" s="225">
        <v>4</v>
      </c>
      <c r="P115" s="237">
        <v>5</v>
      </c>
      <c r="Q115" s="237">
        <v>4</v>
      </c>
      <c r="R115" s="239">
        <v>5</v>
      </c>
      <c r="S115" s="225">
        <v>3</v>
      </c>
      <c r="T115" s="237">
        <v>4</v>
      </c>
      <c r="U115" s="235">
        <v>2</v>
      </c>
      <c r="V115" s="225">
        <v>3</v>
      </c>
      <c r="W115" s="380">
        <v>2</v>
      </c>
      <c r="X115" s="237">
        <v>4</v>
      </c>
      <c r="Y115" s="228"/>
      <c r="Z115" s="228"/>
      <c r="AA115" s="228"/>
      <c r="AB115" s="228"/>
      <c r="AC115" s="228"/>
      <c r="AD115" s="228"/>
      <c r="AE115" s="228"/>
      <c r="AF115" s="229"/>
      <c r="AG115" s="166">
        <v>65</v>
      </c>
      <c r="AH115" s="186">
        <v>128</v>
      </c>
      <c r="AI115" s="186">
        <v>20</v>
      </c>
    </row>
    <row r="116" spans="1:35" ht="15" hidden="1" customHeight="1" x14ac:dyDescent="0.25">
      <c r="A116" s="479"/>
      <c r="B116" s="505"/>
      <c r="C116" s="508"/>
      <c r="D116" s="45" t="s">
        <v>458</v>
      </c>
      <c r="E116" s="46" t="s">
        <v>31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0</v>
      </c>
      <c r="AH116" s="186">
        <v>128</v>
      </c>
      <c r="AI116" s="186">
        <v>20</v>
      </c>
    </row>
    <row r="117" spans="1:35" ht="15.75" hidden="1" customHeight="1" x14ac:dyDescent="0.25">
      <c r="A117" s="479"/>
      <c r="B117" s="505"/>
      <c r="C117" s="508"/>
      <c r="D117" s="45" t="s">
        <v>458</v>
      </c>
      <c r="E117" s="46" t="s">
        <v>32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128</v>
      </c>
      <c r="AI117" s="186">
        <v>20</v>
      </c>
    </row>
    <row r="118" spans="1:35" ht="15.75" hidden="1" customHeight="1" thickBot="1" x14ac:dyDescent="0.3">
      <c r="A118" s="480"/>
      <c r="B118" s="506"/>
      <c r="C118" s="509"/>
      <c r="D118" s="47" t="s">
        <v>458</v>
      </c>
      <c r="E118" s="48" t="s">
        <v>33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128</v>
      </c>
      <c r="AI118" s="187">
        <v>20</v>
      </c>
    </row>
    <row r="119" spans="1:35" ht="15" customHeight="1" x14ac:dyDescent="0.25">
      <c r="A119" s="478">
        <v>23</v>
      </c>
      <c r="B119" s="504">
        <v>20</v>
      </c>
      <c r="C119" s="507" t="s">
        <v>334</v>
      </c>
      <c r="D119" s="43" t="s">
        <v>334</v>
      </c>
      <c r="E119" s="44" t="s">
        <v>29</v>
      </c>
      <c r="F119" s="223">
        <v>3</v>
      </c>
      <c r="G119" s="222">
        <v>3</v>
      </c>
      <c r="H119" s="222">
        <v>3</v>
      </c>
      <c r="I119" s="241">
        <v>2</v>
      </c>
      <c r="J119" s="241">
        <v>3</v>
      </c>
      <c r="K119" s="222">
        <v>3</v>
      </c>
      <c r="L119" s="222">
        <v>3</v>
      </c>
      <c r="M119" s="241">
        <v>2</v>
      </c>
      <c r="N119" s="236">
        <v>5</v>
      </c>
      <c r="O119" s="222">
        <v>4</v>
      </c>
      <c r="P119" s="236">
        <v>5</v>
      </c>
      <c r="Q119" s="236">
        <v>4</v>
      </c>
      <c r="R119" s="241">
        <v>2</v>
      </c>
      <c r="S119" s="222">
        <v>3</v>
      </c>
      <c r="T119" s="222">
        <v>3</v>
      </c>
      <c r="U119" s="222">
        <v>3</v>
      </c>
      <c r="V119" s="222">
        <v>3</v>
      </c>
      <c r="W119" s="382">
        <v>5</v>
      </c>
      <c r="X119" s="236">
        <v>4</v>
      </c>
      <c r="Y119" s="226"/>
      <c r="Z119" s="226"/>
      <c r="AA119" s="226"/>
      <c r="AB119" s="226"/>
      <c r="AC119" s="226"/>
      <c r="AD119" s="226"/>
      <c r="AE119" s="226"/>
      <c r="AF119" s="227"/>
      <c r="AG119" s="184">
        <v>63</v>
      </c>
      <c r="AH119" s="185">
        <v>63</v>
      </c>
      <c r="AI119" s="185">
        <v>18</v>
      </c>
    </row>
    <row r="120" spans="1:35" ht="15" customHeight="1" thickBot="1" x14ac:dyDescent="0.3">
      <c r="A120" s="479"/>
      <c r="B120" s="505"/>
      <c r="C120" s="508"/>
      <c r="D120" s="45" t="s">
        <v>334</v>
      </c>
      <c r="E120" s="46" t="s">
        <v>30</v>
      </c>
      <c r="F120" s="224">
        <v>3</v>
      </c>
      <c r="G120" s="225">
        <v>3</v>
      </c>
      <c r="H120" s="225">
        <v>3</v>
      </c>
      <c r="I120" s="225">
        <v>3</v>
      </c>
      <c r="J120" s="235">
        <v>3</v>
      </c>
      <c r="K120" s="225">
        <v>3</v>
      </c>
      <c r="L120" s="237">
        <v>4</v>
      </c>
      <c r="M120" s="225">
        <v>3</v>
      </c>
      <c r="N120" s="237">
        <v>5</v>
      </c>
      <c r="O120" s="225">
        <v>4</v>
      </c>
      <c r="P120" s="239">
        <v>6</v>
      </c>
      <c r="Q120" s="225">
        <v>3</v>
      </c>
      <c r="R120" s="235">
        <v>2</v>
      </c>
      <c r="S120" s="237">
        <v>4</v>
      </c>
      <c r="T120" s="235">
        <v>2</v>
      </c>
      <c r="U120" s="225">
        <v>3</v>
      </c>
      <c r="V120" s="225">
        <v>3</v>
      </c>
      <c r="W120" s="378">
        <v>4</v>
      </c>
      <c r="X120" s="237">
        <v>4</v>
      </c>
      <c r="Y120" s="228"/>
      <c r="Z120" s="228"/>
      <c r="AA120" s="228"/>
      <c r="AB120" s="228"/>
      <c r="AC120" s="228"/>
      <c r="AD120" s="228"/>
      <c r="AE120" s="228"/>
      <c r="AF120" s="229"/>
      <c r="AG120" s="166">
        <v>65</v>
      </c>
      <c r="AH120" s="186">
        <v>128</v>
      </c>
      <c r="AI120" s="186">
        <v>20</v>
      </c>
    </row>
    <row r="121" spans="1:35" ht="15" hidden="1" customHeight="1" x14ac:dyDescent="0.25">
      <c r="A121" s="479"/>
      <c r="B121" s="505"/>
      <c r="C121" s="508"/>
      <c r="D121" s="45" t="s">
        <v>334</v>
      </c>
      <c r="E121" s="46" t="s">
        <v>31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0</v>
      </c>
      <c r="AH121" s="186">
        <v>128</v>
      </c>
      <c r="AI121" s="186">
        <v>20</v>
      </c>
    </row>
    <row r="122" spans="1:35" ht="15.75" hidden="1" customHeight="1" x14ac:dyDescent="0.25">
      <c r="A122" s="479"/>
      <c r="B122" s="505"/>
      <c r="C122" s="508"/>
      <c r="D122" s="45" t="s">
        <v>334</v>
      </c>
      <c r="E122" s="46" t="s">
        <v>32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128</v>
      </c>
      <c r="AI122" s="186">
        <v>20</v>
      </c>
    </row>
    <row r="123" spans="1:35" ht="15.75" hidden="1" customHeight="1" thickBot="1" x14ac:dyDescent="0.3">
      <c r="A123" s="480"/>
      <c r="B123" s="506"/>
      <c r="C123" s="509"/>
      <c r="D123" s="47" t="s">
        <v>334</v>
      </c>
      <c r="E123" s="48" t="s">
        <v>33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128</v>
      </c>
      <c r="AI123" s="187">
        <v>20</v>
      </c>
    </row>
    <row r="124" spans="1:35" ht="15" customHeight="1" x14ac:dyDescent="0.25">
      <c r="A124" s="478">
        <v>24</v>
      </c>
      <c r="B124" s="504">
        <v>24</v>
      </c>
      <c r="C124" s="507" t="s">
        <v>703</v>
      </c>
      <c r="D124" s="43" t="s">
        <v>703</v>
      </c>
      <c r="E124" s="44" t="s">
        <v>29</v>
      </c>
      <c r="F124" s="223">
        <v>3</v>
      </c>
      <c r="G124" s="222">
        <v>3</v>
      </c>
      <c r="H124" s="222">
        <v>3</v>
      </c>
      <c r="I124" s="222">
        <v>3</v>
      </c>
      <c r="J124" s="222">
        <v>4</v>
      </c>
      <c r="K124" s="236">
        <v>4</v>
      </c>
      <c r="L124" s="222">
        <v>3</v>
      </c>
      <c r="M124" s="222">
        <v>3</v>
      </c>
      <c r="N124" s="222">
        <v>4</v>
      </c>
      <c r="O124" s="222">
        <v>4</v>
      </c>
      <c r="P124" s="236">
        <v>5</v>
      </c>
      <c r="Q124" s="238">
        <v>5</v>
      </c>
      <c r="R124" s="222">
        <v>3</v>
      </c>
      <c r="S124" s="222">
        <v>3</v>
      </c>
      <c r="T124" s="222">
        <v>3</v>
      </c>
      <c r="U124" s="222">
        <v>3</v>
      </c>
      <c r="V124" s="222">
        <v>3</v>
      </c>
      <c r="W124" s="387">
        <v>2</v>
      </c>
      <c r="X124" s="222">
        <v>3</v>
      </c>
      <c r="Y124" s="226"/>
      <c r="Z124" s="226"/>
      <c r="AA124" s="226"/>
      <c r="AB124" s="226"/>
      <c r="AC124" s="226"/>
      <c r="AD124" s="226"/>
      <c r="AE124" s="226"/>
      <c r="AF124" s="227"/>
      <c r="AG124" s="184">
        <v>64</v>
      </c>
      <c r="AH124" s="185">
        <v>64</v>
      </c>
      <c r="AI124" s="185">
        <v>25</v>
      </c>
    </row>
    <row r="125" spans="1:35" ht="15" customHeight="1" thickBot="1" x14ac:dyDescent="0.3">
      <c r="A125" s="479"/>
      <c r="B125" s="505"/>
      <c r="C125" s="508"/>
      <c r="D125" s="45" t="s">
        <v>703</v>
      </c>
      <c r="E125" s="46" t="s">
        <v>30</v>
      </c>
      <c r="F125" s="360">
        <v>5</v>
      </c>
      <c r="G125" s="225">
        <v>3</v>
      </c>
      <c r="H125" s="225">
        <v>3</v>
      </c>
      <c r="I125" s="225">
        <v>3</v>
      </c>
      <c r="J125" s="225">
        <v>4</v>
      </c>
      <c r="K125" s="225">
        <v>3</v>
      </c>
      <c r="L125" s="225">
        <v>3</v>
      </c>
      <c r="M125" s="235">
        <v>2</v>
      </c>
      <c r="N125" s="237">
        <v>5</v>
      </c>
      <c r="O125" s="239">
        <v>6</v>
      </c>
      <c r="P125" s="225">
        <v>4</v>
      </c>
      <c r="Q125" s="225">
        <v>3</v>
      </c>
      <c r="R125" s="225">
        <v>3</v>
      </c>
      <c r="S125" s="225">
        <v>3</v>
      </c>
      <c r="T125" s="225">
        <v>3</v>
      </c>
      <c r="U125" s="225">
        <v>3</v>
      </c>
      <c r="V125" s="225">
        <v>3</v>
      </c>
      <c r="W125" s="380">
        <v>2</v>
      </c>
      <c r="X125" s="237">
        <v>4</v>
      </c>
      <c r="Y125" s="228"/>
      <c r="Z125" s="228"/>
      <c r="AA125" s="228"/>
      <c r="AB125" s="228"/>
      <c r="AC125" s="228"/>
      <c r="AD125" s="228"/>
      <c r="AE125" s="228"/>
      <c r="AF125" s="229"/>
      <c r="AG125" s="166">
        <v>65</v>
      </c>
      <c r="AH125" s="186">
        <v>129</v>
      </c>
      <c r="AI125" s="186">
        <v>24</v>
      </c>
    </row>
    <row r="126" spans="1:35" ht="15" hidden="1" customHeight="1" x14ac:dyDescent="0.25">
      <c r="A126" s="479"/>
      <c r="B126" s="505"/>
      <c r="C126" s="508"/>
      <c r="D126" s="45" t="s">
        <v>703</v>
      </c>
      <c r="E126" s="46" t="s">
        <v>31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0</v>
      </c>
      <c r="AH126" s="186">
        <v>129</v>
      </c>
      <c r="AI126" s="186">
        <v>24</v>
      </c>
    </row>
    <row r="127" spans="1:35" ht="15.75" hidden="1" customHeight="1" x14ac:dyDescent="0.25">
      <c r="A127" s="479"/>
      <c r="B127" s="505"/>
      <c r="C127" s="508"/>
      <c r="D127" s="45" t="s">
        <v>703</v>
      </c>
      <c r="E127" s="46" t="s">
        <v>32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129</v>
      </c>
      <c r="AI127" s="186">
        <v>24</v>
      </c>
    </row>
    <row r="128" spans="1:35" ht="15.75" hidden="1" customHeight="1" thickBot="1" x14ac:dyDescent="0.3">
      <c r="A128" s="480"/>
      <c r="B128" s="506"/>
      <c r="C128" s="509"/>
      <c r="D128" s="47" t="s">
        <v>703</v>
      </c>
      <c r="E128" s="48" t="s">
        <v>33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129</v>
      </c>
      <c r="AI128" s="187">
        <v>24</v>
      </c>
    </row>
    <row r="129" spans="1:35" ht="15" customHeight="1" x14ac:dyDescent="0.25">
      <c r="A129" s="478">
        <v>25</v>
      </c>
      <c r="B129" s="504">
        <v>24</v>
      </c>
      <c r="C129" s="507" t="s">
        <v>410</v>
      </c>
      <c r="D129" s="43" t="s">
        <v>410</v>
      </c>
      <c r="E129" s="44" t="s">
        <v>29</v>
      </c>
      <c r="F129" s="223">
        <v>3</v>
      </c>
      <c r="G129" s="222">
        <v>3</v>
      </c>
      <c r="H129" s="222">
        <v>3</v>
      </c>
      <c r="I129" s="222">
        <v>3</v>
      </c>
      <c r="J129" s="241">
        <v>3</v>
      </c>
      <c r="K129" s="236">
        <v>4</v>
      </c>
      <c r="L129" s="222">
        <v>3</v>
      </c>
      <c r="M129" s="222">
        <v>3</v>
      </c>
      <c r="N129" s="222">
        <v>4</v>
      </c>
      <c r="O129" s="222">
        <v>4</v>
      </c>
      <c r="P129" s="222">
        <v>4</v>
      </c>
      <c r="Q129" s="236">
        <v>4</v>
      </c>
      <c r="R129" s="222">
        <v>3</v>
      </c>
      <c r="S129" s="222">
        <v>3</v>
      </c>
      <c r="T129" s="236">
        <v>4</v>
      </c>
      <c r="U129" s="241">
        <v>2</v>
      </c>
      <c r="V129" s="222">
        <v>3</v>
      </c>
      <c r="W129" s="387">
        <v>2</v>
      </c>
      <c r="X129" s="236">
        <v>4</v>
      </c>
      <c r="Y129" s="226"/>
      <c r="Z129" s="226"/>
      <c r="AA129" s="226"/>
      <c r="AB129" s="226"/>
      <c r="AC129" s="226"/>
      <c r="AD129" s="226"/>
      <c r="AE129" s="226"/>
      <c r="AF129" s="227"/>
      <c r="AG129" s="184">
        <v>62</v>
      </c>
      <c r="AH129" s="185">
        <v>62</v>
      </c>
      <c r="AI129" s="185">
        <v>16</v>
      </c>
    </row>
    <row r="130" spans="1:35" ht="15" customHeight="1" thickBot="1" x14ac:dyDescent="0.3">
      <c r="A130" s="479"/>
      <c r="B130" s="505"/>
      <c r="C130" s="508"/>
      <c r="D130" s="45" t="s">
        <v>410</v>
      </c>
      <c r="E130" s="46" t="s">
        <v>30</v>
      </c>
      <c r="F130" s="224">
        <v>3</v>
      </c>
      <c r="G130" s="225">
        <v>3</v>
      </c>
      <c r="H130" s="237">
        <v>4</v>
      </c>
      <c r="I130" s="225">
        <v>3</v>
      </c>
      <c r="J130" s="225">
        <v>4</v>
      </c>
      <c r="K130" s="235">
        <v>2</v>
      </c>
      <c r="L130" s="237">
        <v>4</v>
      </c>
      <c r="M130" s="235">
        <v>2</v>
      </c>
      <c r="N130" s="225">
        <v>4</v>
      </c>
      <c r="O130" s="237">
        <v>5</v>
      </c>
      <c r="P130" s="237">
        <v>5</v>
      </c>
      <c r="Q130" s="235">
        <v>2</v>
      </c>
      <c r="R130" s="225">
        <v>3</v>
      </c>
      <c r="S130" s="225">
        <v>3</v>
      </c>
      <c r="T130" s="237">
        <v>4</v>
      </c>
      <c r="U130" s="225">
        <v>3</v>
      </c>
      <c r="V130" s="225">
        <v>3</v>
      </c>
      <c r="W130" s="379">
        <v>6</v>
      </c>
      <c r="X130" s="237">
        <v>4</v>
      </c>
      <c r="Y130" s="228"/>
      <c r="Z130" s="228"/>
      <c r="AA130" s="228"/>
      <c r="AB130" s="228"/>
      <c r="AC130" s="228"/>
      <c r="AD130" s="228"/>
      <c r="AE130" s="228"/>
      <c r="AF130" s="229"/>
      <c r="AG130" s="166">
        <v>67</v>
      </c>
      <c r="AH130" s="186">
        <v>129</v>
      </c>
      <c r="AI130" s="186">
        <v>24</v>
      </c>
    </row>
    <row r="131" spans="1:35" ht="15" hidden="1" customHeight="1" x14ac:dyDescent="0.25">
      <c r="A131" s="479"/>
      <c r="B131" s="505"/>
      <c r="C131" s="508"/>
      <c r="D131" s="45" t="s">
        <v>410</v>
      </c>
      <c r="E131" s="46" t="s">
        <v>31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0</v>
      </c>
      <c r="AH131" s="186">
        <v>129</v>
      </c>
      <c r="AI131" s="186">
        <v>24</v>
      </c>
    </row>
    <row r="132" spans="1:35" ht="15.75" hidden="1" customHeight="1" x14ac:dyDescent="0.25">
      <c r="A132" s="479"/>
      <c r="B132" s="505"/>
      <c r="C132" s="508"/>
      <c r="D132" s="45" t="s">
        <v>410</v>
      </c>
      <c r="E132" s="46" t="s">
        <v>32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129</v>
      </c>
      <c r="AI132" s="186">
        <v>24</v>
      </c>
    </row>
    <row r="133" spans="1:35" ht="15.75" hidden="1" customHeight="1" thickBot="1" x14ac:dyDescent="0.3">
      <c r="A133" s="480"/>
      <c r="B133" s="506"/>
      <c r="C133" s="509"/>
      <c r="D133" s="47" t="s">
        <v>410</v>
      </c>
      <c r="E133" s="48" t="s">
        <v>33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129</v>
      </c>
      <c r="AI133" s="187">
        <v>24</v>
      </c>
    </row>
    <row r="134" spans="1:35" ht="15" customHeight="1" x14ac:dyDescent="0.25">
      <c r="A134" s="478">
        <v>26</v>
      </c>
      <c r="B134" s="504">
        <v>26</v>
      </c>
      <c r="C134" s="507" t="s">
        <v>455</v>
      </c>
      <c r="D134" s="43" t="s">
        <v>455</v>
      </c>
      <c r="E134" s="44" t="s">
        <v>29</v>
      </c>
      <c r="F134" s="358">
        <v>4</v>
      </c>
      <c r="G134" s="236">
        <v>4</v>
      </c>
      <c r="H134" s="222">
        <v>3</v>
      </c>
      <c r="I134" s="222">
        <v>3</v>
      </c>
      <c r="J134" s="222">
        <v>4</v>
      </c>
      <c r="K134" s="222">
        <v>3</v>
      </c>
      <c r="L134" s="222">
        <v>3</v>
      </c>
      <c r="M134" s="222">
        <v>3</v>
      </c>
      <c r="N134" s="222">
        <v>4</v>
      </c>
      <c r="O134" s="222">
        <v>4</v>
      </c>
      <c r="P134" s="222">
        <v>4</v>
      </c>
      <c r="Q134" s="238">
        <v>5</v>
      </c>
      <c r="R134" s="241">
        <v>2</v>
      </c>
      <c r="S134" s="222">
        <v>3</v>
      </c>
      <c r="T134" s="222">
        <v>3</v>
      </c>
      <c r="U134" s="222">
        <v>3</v>
      </c>
      <c r="V134" s="222">
        <v>3</v>
      </c>
      <c r="W134" s="387">
        <v>2</v>
      </c>
      <c r="X134" s="236">
        <v>4</v>
      </c>
      <c r="Y134" s="226"/>
      <c r="Z134" s="226"/>
      <c r="AA134" s="226"/>
      <c r="AB134" s="226"/>
      <c r="AC134" s="226"/>
      <c r="AD134" s="226"/>
      <c r="AE134" s="226"/>
      <c r="AF134" s="227"/>
      <c r="AG134" s="184">
        <v>64</v>
      </c>
      <c r="AH134" s="185">
        <v>64</v>
      </c>
      <c r="AI134" s="185">
        <v>25</v>
      </c>
    </row>
    <row r="135" spans="1:35" ht="15" customHeight="1" thickBot="1" x14ac:dyDescent="0.3">
      <c r="A135" s="479"/>
      <c r="B135" s="505"/>
      <c r="C135" s="508"/>
      <c r="D135" s="45" t="s">
        <v>455</v>
      </c>
      <c r="E135" s="46" t="s">
        <v>30</v>
      </c>
      <c r="F135" s="224">
        <v>3</v>
      </c>
      <c r="G135" s="225">
        <v>3</v>
      </c>
      <c r="H135" s="237">
        <v>4</v>
      </c>
      <c r="I135" s="225">
        <v>3</v>
      </c>
      <c r="J135" s="225">
        <v>4</v>
      </c>
      <c r="K135" s="225">
        <v>3</v>
      </c>
      <c r="L135" s="225">
        <v>3</v>
      </c>
      <c r="M135" s="235">
        <v>2</v>
      </c>
      <c r="N135" s="225">
        <v>4</v>
      </c>
      <c r="O135" s="225">
        <v>4</v>
      </c>
      <c r="P135" s="239">
        <v>6</v>
      </c>
      <c r="Q135" s="237">
        <v>4</v>
      </c>
      <c r="R135" s="225">
        <v>3</v>
      </c>
      <c r="S135" s="237">
        <v>4</v>
      </c>
      <c r="T135" s="225">
        <v>3</v>
      </c>
      <c r="U135" s="225">
        <v>3</v>
      </c>
      <c r="V135" s="235">
        <v>2</v>
      </c>
      <c r="W135" s="378">
        <v>4</v>
      </c>
      <c r="X135" s="237">
        <v>4</v>
      </c>
      <c r="Y135" s="228"/>
      <c r="Z135" s="228"/>
      <c r="AA135" s="228"/>
      <c r="AB135" s="228"/>
      <c r="AC135" s="228"/>
      <c r="AD135" s="228"/>
      <c r="AE135" s="228"/>
      <c r="AF135" s="229"/>
      <c r="AG135" s="166">
        <v>66</v>
      </c>
      <c r="AH135" s="186">
        <v>130</v>
      </c>
      <c r="AI135" s="186">
        <v>26</v>
      </c>
    </row>
    <row r="136" spans="1:35" ht="15" hidden="1" customHeight="1" x14ac:dyDescent="0.25">
      <c r="A136" s="479"/>
      <c r="B136" s="505"/>
      <c r="C136" s="508"/>
      <c r="D136" s="45" t="s">
        <v>455</v>
      </c>
      <c r="E136" s="46" t="s">
        <v>31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0</v>
      </c>
      <c r="AH136" s="186">
        <v>130</v>
      </c>
      <c r="AI136" s="186">
        <v>26</v>
      </c>
    </row>
    <row r="137" spans="1:35" ht="15.75" hidden="1" customHeight="1" x14ac:dyDescent="0.25">
      <c r="A137" s="479"/>
      <c r="B137" s="505"/>
      <c r="C137" s="508"/>
      <c r="D137" s="45" t="s">
        <v>455</v>
      </c>
      <c r="E137" s="46" t="s">
        <v>32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130</v>
      </c>
      <c r="AI137" s="186">
        <v>26</v>
      </c>
    </row>
    <row r="138" spans="1:35" ht="15.75" hidden="1" customHeight="1" thickBot="1" x14ac:dyDescent="0.3">
      <c r="A138" s="480"/>
      <c r="B138" s="506"/>
      <c r="C138" s="509"/>
      <c r="D138" s="47" t="s">
        <v>455</v>
      </c>
      <c r="E138" s="48" t="s">
        <v>33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130</v>
      </c>
      <c r="AI138" s="187">
        <v>26</v>
      </c>
    </row>
    <row r="139" spans="1:35" ht="15" customHeight="1" x14ac:dyDescent="0.25">
      <c r="A139" s="478">
        <v>27</v>
      </c>
      <c r="B139" s="504">
        <v>26</v>
      </c>
      <c r="C139" s="507" t="s">
        <v>704</v>
      </c>
      <c r="D139" s="43" t="s">
        <v>704</v>
      </c>
      <c r="E139" s="44" t="s">
        <v>29</v>
      </c>
      <c r="F139" s="223">
        <v>3</v>
      </c>
      <c r="G139" s="241">
        <v>2</v>
      </c>
      <c r="H139" s="222">
        <v>3</v>
      </c>
      <c r="I139" s="222">
        <v>3</v>
      </c>
      <c r="J139" s="222">
        <v>4</v>
      </c>
      <c r="K139" s="222">
        <v>3</v>
      </c>
      <c r="L139" s="222">
        <v>3</v>
      </c>
      <c r="M139" s="222">
        <v>3</v>
      </c>
      <c r="N139" s="222">
        <v>4</v>
      </c>
      <c r="O139" s="236">
        <v>5</v>
      </c>
      <c r="P139" s="222">
        <v>4</v>
      </c>
      <c r="Q139" s="222">
        <v>3</v>
      </c>
      <c r="R139" s="236">
        <v>4</v>
      </c>
      <c r="S139" s="241">
        <v>2</v>
      </c>
      <c r="T139" s="222">
        <v>3</v>
      </c>
      <c r="U139" s="241">
        <v>2</v>
      </c>
      <c r="V139" s="222">
        <v>3</v>
      </c>
      <c r="W139" s="381">
        <v>4</v>
      </c>
      <c r="X139" s="222">
        <v>3</v>
      </c>
      <c r="Y139" s="226"/>
      <c r="Z139" s="226"/>
      <c r="AA139" s="226"/>
      <c r="AB139" s="226"/>
      <c r="AC139" s="226"/>
      <c r="AD139" s="226"/>
      <c r="AE139" s="226"/>
      <c r="AF139" s="227"/>
      <c r="AG139" s="184">
        <v>61</v>
      </c>
      <c r="AH139" s="185">
        <v>61</v>
      </c>
      <c r="AI139" s="185">
        <v>11</v>
      </c>
    </row>
    <row r="140" spans="1:35" ht="15" customHeight="1" thickBot="1" x14ac:dyDescent="0.3">
      <c r="A140" s="479"/>
      <c r="B140" s="505"/>
      <c r="C140" s="508"/>
      <c r="D140" s="45" t="s">
        <v>704</v>
      </c>
      <c r="E140" s="46" t="s">
        <v>30</v>
      </c>
      <c r="F140" s="359">
        <v>4</v>
      </c>
      <c r="G140" s="225">
        <v>3</v>
      </c>
      <c r="H140" s="237">
        <v>4</v>
      </c>
      <c r="I140" s="225">
        <v>3</v>
      </c>
      <c r="J140" s="225">
        <v>4</v>
      </c>
      <c r="K140" s="225">
        <v>3</v>
      </c>
      <c r="L140" s="237">
        <v>4</v>
      </c>
      <c r="M140" s="225">
        <v>3</v>
      </c>
      <c r="N140" s="225">
        <v>4</v>
      </c>
      <c r="O140" s="225">
        <v>4</v>
      </c>
      <c r="P140" s="225">
        <v>4</v>
      </c>
      <c r="Q140" s="237">
        <v>4</v>
      </c>
      <c r="R140" s="239">
        <v>5</v>
      </c>
      <c r="S140" s="237">
        <v>4</v>
      </c>
      <c r="T140" s="237">
        <v>4</v>
      </c>
      <c r="U140" s="237">
        <v>4</v>
      </c>
      <c r="V140" s="225">
        <v>3</v>
      </c>
      <c r="W140" s="380">
        <v>2</v>
      </c>
      <c r="X140" s="225">
        <v>3</v>
      </c>
      <c r="Y140" s="228"/>
      <c r="Z140" s="228"/>
      <c r="AA140" s="228"/>
      <c r="AB140" s="228"/>
      <c r="AC140" s="228"/>
      <c r="AD140" s="228"/>
      <c r="AE140" s="228"/>
      <c r="AF140" s="229"/>
      <c r="AG140" s="166">
        <v>69</v>
      </c>
      <c r="AH140" s="186">
        <v>130</v>
      </c>
      <c r="AI140" s="186">
        <v>26</v>
      </c>
    </row>
    <row r="141" spans="1:35" ht="15" hidden="1" customHeight="1" x14ac:dyDescent="0.25">
      <c r="A141" s="479"/>
      <c r="B141" s="505"/>
      <c r="C141" s="508"/>
      <c r="D141" s="45" t="s">
        <v>704</v>
      </c>
      <c r="E141" s="46" t="s">
        <v>31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0</v>
      </c>
      <c r="AH141" s="186">
        <v>130</v>
      </c>
      <c r="AI141" s="186">
        <v>26</v>
      </c>
    </row>
    <row r="142" spans="1:35" ht="15.75" hidden="1" customHeight="1" x14ac:dyDescent="0.25">
      <c r="A142" s="479"/>
      <c r="B142" s="505"/>
      <c r="C142" s="508"/>
      <c r="D142" s="45" t="s">
        <v>704</v>
      </c>
      <c r="E142" s="46" t="s">
        <v>32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130</v>
      </c>
      <c r="AI142" s="186">
        <v>26</v>
      </c>
    </row>
    <row r="143" spans="1:35" ht="15.75" hidden="1" customHeight="1" thickBot="1" x14ac:dyDescent="0.3">
      <c r="A143" s="480"/>
      <c r="B143" s="506"/>
      <c r="C143" s="509"/>
      <c r="D143" s="47" t="s">
        <v>704</v>
      </c>
      <c r="E143" s="48" t="s">
        <v>33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130</v>
      </c>
      <c r="AI143" s="187">
        <v>26</v>
      </c>
    </row>
    <row r="144" spans="1:35" ht="15" customHeight="1" x14ac:dyDescent="0.25">
      <c r="A144" s="478">
        <v>28</v>
      </c>
      <c r="B144" s="504">
        <v>28</v>
      </c>
      <c r="C144" s="507" t="s">
        <v>19</v>
      </c>
      <c r="D144" s="43" t="s">
        <v>19</v>
      </c>
      <c r="E144" s="44" t="s">
        <v>29</v>
      </c>
      <c r="F144" s="223">
        <v>3</v>
      </c>
      <c r="G144" s="236">
        <v>4</v>
      </c>
      <c r="H144" s="222">
        <v>3</v>
      </c>
      <c r="I144" s="236">
        <v>4</v>
      </c>
      <c r="J144" s="241">
        <v>3</v>
      </c>
      <c r="K144" s="236">
        <v>4</v>
      </c>
      <c r="L144" s="222">
        <v>3</v>
      </c>
      <c r="M144" s="241">
        <v>2</v>
      </c>
      <c r="N144" s="236">
        <v>5</v>
      </c>
      <c r="O144" s="222">
        <v>4</v>
      </c>
      <c r="P144" s="238">
        <v>6</v>
      </c>
      <c r="Q144" s="222">
        <v>3</v>
      </c>
      <c r="R144" s="236">
        <v>4</v>
      </c>
      <c r="S144" s="222">
        <v>3</v>
      </c>
      <c r="T144" s="238">
        <v>5</v>
      </c>
      <c r="U144" s="222">
        <v>3</v>
      </c>
      <c r="V144" s="222">
        <v>3</v>
      </c>
      <c r="W144" s="387">
        <v>2</v>
      </c>
      <c r="X144" s="222">
        <v>3</v>
      </c>
      <c r="Y144" s="226"/>
      <c r="Z144" s="226"/>
      <c r="AA144" s="226"/>
      <c r="AB144" s="226"/>
      <c r="AC144" s="226"/>
      <c r="AD144" s="226"/>
      <c r="AE144" s="226"/>
      <c r="AF144" s="227"/>
      <c r="AG144" s="184">
        <v>67</v>
      </c>
      <c r="AH144" s="185">
        <v>67</v>
      </c>
      <c r="AI144" s="185">
        <v>35</v>
      </c>
    </row>
    <row r="145" spans="1:35" ht="15" customHeight="1" thickBot="1" x14ac:dyDescent="0.3">
      <c r="A145" s="479"/>
      <c r="B145" s="505"/>
      <c r="C145" s="508"/>
      <c r="D145" s="45" t="s">
        <v>19</v>
      </c>
      <c r="E145" s="46" t="s">
        <v>30</v>
      </c>
      <c r="F145" s="240">
        <v>2</v>
      </c>
      <c r="G145" s="225">
        <v>3</v>
      </c>
      <c r="H145" s="225">
        <v>3</v>
      </c>
      <c r="I145" s="237">
        <v>4</v>
      </c>
      <c r="J145" s="225">
        <v>4</v>
      </c>
      <c r="K145" s="225">
        <v>3</v>
      </c>
      <c r="L145" s="225">
        <v>3</v>
      </c>
      <c r="M145" s="225">
        <v>3</v>
      </c>
      <c r="N145" s="225">
        <v>4</v>
      </c>
      <c r="O145" s="237">
        <v>5</v>
      </c>
      <c r="P145" s="225">
        <v>4</v>
      </c>
      <c r="Q145" s="225">
        <v>3</v>
      </c>
      <c r="R145" s="225">
        <v>3</v>
      </c>
      <c r="S145" s="237">
        <v>4</v>
      </c>
      <c r="T145" s="225">
        <v>3</v>
      </c>
      <c r="U145" s="225">
        <v>3</v>
      </c>
      <c r="V145" s="225">
        <v>3</v>
      </c>
      <c r="W145" s="377">
        <v>3</v>
      </c>
      <c r="X145" s="237">
        <v>4</v>
      </c>
      <c r="Y145" s="228"/>
      <c r="Z145" s="228"/>
      <c r="AA145" s="228"/>
      <c r="AB145" s="228"/>
      <c r="AC145" s="228"/>
      <c r="AD145" s="228"/>
      <c r="AE145" s="228"/>
      <c r="AF145" s="229"/>
      <c r="AG145" s="166">
        <v>64</v>
      </c>
      <c r="AH145" s="186">
        <v>131</v>
      </c>
      <c r="AI145" s="186">
        <v>28</v>
      </c>
    </row>
    <row r="146" spans="1:35" ht="15" hidden="1" customHeight="1" x14ac:dyDescent="0.25">
      <c r="A146" s="479"/>
      <c r="B146" s="505"/>
      <c r="C146" s="508"/>
      <c r="D146" s="45" t="s">
        <v>19</v>
      </c>
      <c r="E146" s="46" t="s">
        <v>31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0</v>
      </c>
      <c r="AH146" s="186">
        <v>131</v>
      </c>
      <c r="AI146" s="186">
        <v>28</v>
      </c>
    </row>
    <row r="147" spans="1:35" ht="15.75" hidden="1" customHeight="1" x14ac:dyDescent="0.25">
      <c r="A147" s="479"/>
      <c r="B147" s="505"/>
      <c r="C147" s="508"/>
      <c r="D147" s="45" t="s">
        <v>19</v>
      </c>
      <c r="E147" s="46" t="s">
        <v>32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131</v>
      </c>
      <c r="AI147" s="186">
        <v>28</v>
      </c>
    </row>
    <row r="148" spans="1:35" ht="15.75" hidden="1" customHeight="1" thickBot="1" x14ac:dyDescent="0.3">
      <c r="A148" s="480"/>
      <c r="B148" s="506"/>
      <c r="C148" s="509"/>
      <c r="D148" s="47" t="s">
        <v>19</v>
      </c>
      <c r="E148" s="48" t="s">
        <v>33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131</v>
      </c>
      <c r="AI148" s="187">
        <v>28</v>
      </c>
    </row>
    <row r="149" spans="1:35" ht="15" customHeight="1" x14ac:dyDescent="0.25">
      <c r="A149" s="478">
        <v>29</v>
      </c>
      <c r="B149" s="504">
        <v>29</v>
      </c>
      <c r="C149" s="507" t="s">
        <v>348</v>
      </c>
      <c r="D149" s="43" t="s">
        <v>348</v>
      </c>
      <c r="E149" s="44" t="s">
        <v>29</v>
      </c>
      <c r="F149" s="223">
        <v>3</v>
      </c>
      <c r="G149" s="222">
        <v>3</v>
      </c>
      <c r="H149" s="222">
        <v>3</v>
      </c>
      <c r="I149" s="236">
        <v>4</v>
      </c>
      <c r="J149" s="241">
        <v>3</v>
      </c>
      <c r="K149" s="222">
        <v>3</v>
      </c>
      <c r="L149" s="236">
        <v>4</v>
      </c>
      <c r="M149" s="222">
        <v>3</v>
      </c>
      <c r="N149" s="241">
        <v>3</v>
      </c>
      <c r="O149" s="236">
        <v>5</v>
      </c>
      <c r="P149" s="222">
        <v>4</v>
      </c>
      <c r="Q149" s="238">
        <v>5</v>
      </c>
      <c r="R149" s="241">
        <v>2</v>
      </c>
      <c r="S149" s="222">
        <v>3</v>
      </c>
      <c r="T149" s="238">
        <v>5</v>
      </c>
      <c r="U149" s="222">
        <v>3</v>
      </c>
      <c r="V149" s="222">
        <v>3</v>
      </c>
      <c r="W149" s="381">
        <v>4</v>
      </c>
      <c r="X149" s="222">
        <v>3</v>
      </c>
      <c r="Y149" s="226"/>
      <c r="Z149" s="226"/>
      <c r="AA149" s="226"/>
      <c r="AB149" s="226"/>
      <c r="AC149" s="226"/>
      <c r="AD149" s="226"/>
      <c r="AE149" s="226"/>
      <c r="AF149" s="227"/>
      <c r="AG149" s="184">
        <v>66</v>
      </c>
      <c r="AH149" s="185">
        <v>66</v>
      </c>
      <c r="AI149" s="185">
        <v>32</v>
      </c>
    </row>
    <row r="150" spans="1:35" ht="15" customHeight="1" thickBot="1" x14ac:dyDescent="0.3">
      <c r="A150" s="479"/>
      <c r="B150" s="505"/>
      <c r="C150" s="508"/>
      <c r="D150" s="45" t="s">
        <v>348</v>
      </c>
      <c r="E150" s="46" t="s">
        <v>30</v>
      </c>
      <c r="F150" s="360">
        <v>5</v>
      </c>
      <c r="G150" s="225">
        <v>3</v>
      </c>
      <c r="H150" s="239">
        <v>5</v>
      </c>
      <c r="I150" s="235">
        <v>2</v>
      </c>
      <c r="J150" s="225">
        <v>4</v>
      </c>
      <c r="K150" s="237">
        <v>4</v>
      </c>
      <c r="L150" s="225">
        <v>3</v>
      </c>
      <c r="M150" s="225">
        <v>3</v>
      </c>
      <c r="N150" s="225">
        <v>4</v>
      </c>
      <c r="O150" s="225">
        <v>4</v>
      </c>
      <c r="P150" s="225">
        <v>4</v>
      </c>
      <c r="Q150" s="225">
        <v>3</v>
      </c>
      <c r="R150" s="225">
        <v>3</v>
      </c>
      <c r="S150" s="237">
        <v>4</v>
      </c>
      <c r="T150" s="225">
        <v>3</v>
      </c>
      <c r="U150" s="225">
        <v>3</v>
      </c>
      <c r="V150" s="225">
        <v>3</v>
      </c>
      <c r="W150" s="380">
        <v>2</v>
      </c>
      <c r="X150" s="237">
        <v>4</v>
      </c>
      <c r="Y150" s="228"/>
      <c r="Z150" s="228"/>
      <c r="AA150" s="228"/>
      <c r="AB150" s="228"/>
      <c r="AC150" s="228"/>
      <c r="AD150" s="228"/>
      <c r="AE150" s="228"/>
      <c r="AF150" s="229"/>
      <c r="AG150" s="166">
        <v>66</v>
      </c>
      <c r="AH150" s="186">
        <v>132</v>
      </c>
      <c r="AI150" s="186">
        <v>29</v>
      </c>
    </row>
    <row r="151" spans="1:35" ht="15" hidden="1" customHeight="1" x14ac:dyDescent="0.25">
      <c r="A151" s="479"/>
      <c r="B151" s="505"/>
      <c r="C151" s="508"/>
      <c r="D151" s="45" t="s">
        <v>348</v>
      </c>
      <c r="E151" s="46" t="s">
        <v>31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0</v>
      </c>
      <c r="AH151" s="186">
        <v>132</v>
      </c>
      <c r="AI151" s="186">
        <v>29</v>
      </c>
    </row>
    <row r="152" spans="1:35" ht="15.75" hidden="1" customHeight="1" x14ac:dyDescent="0.25">
      <c r="A152" s="479"/>
      <c r="B152" s="505"/>
      <c r="C152" s="508"/>
      <c r="D152" s="45" t="s">
        <v>348</v>
      </c>
      <c r="E152" s="46" t="s">
        <v>32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132</v>
      </c>
      <c r="AI152" s="186">
        <v>29</v>
      </c>
    </row>
    <row r="153" spans="1:35" ht="15.75" hidden="1" customHeight="1" thickBot="1" x14ac:dyDescent="0.3">
      <c r="A153" s="480"/>
      <c r="B153" s="506"/>
      <c r="C153" s="509"/>
      <c r="D153" s="47" t="s">
        <v>348</v>
      </c>
      <c r="E153" s="48" t="s">
        <v>33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132</v>
      </c>
      <c r="AI153" s="187">
        <v>29</v>
      </c>
    </row>
    <row r="154" spans="1:35" ht="15" customHeight="1" x14ac:dyDescent="0.25">
      <c r="A154" s="478">
        <v>30</v>
      </c>
      <c r="B154" s="504">
        <v>29</v>
      </c>
      <c r="C154" s="507" t="s">
        <v>539</v>
      </c>
      <c r="D154" s="43" t="s">
        <v>539</v>
      </c>
      <c r="E154" s="44" t="s">
        <v>29</v>
      </c>
      <c r="F154" s="223">
        <v>3</v>
      </c>
      <c r="G154" s="222">
        <v>3</v>
      </c>
      <c r="H154" s="222">
        <v>3</v>
      </c>
      <c r="I154" s="236">
        <v>4</v>
      </c>
      <c r="J154" s="241">
        <v>3</v>
      </c>
      <c r="K154" s="236">
        <v>4</v>
      </c>
      <c r="L154" s="222">
        <v>3</v>
      </c>
      <c r="M154" s="222">
        <v>3</v>
      </c>
      <c r="N154" s="236">
        <v>5</v>
      </c>
      <c r="O154" s="222">
        <v>4</v>
      </c>
      <c r="P154" s="238">
        <v>6</v>
      </c>
      <c r="Q154" s="222">
        <v>3</v>
      </c>
      <c r="R154" s="241">
        <v>2</v>
      </c>
      <c r="S154" s="222">
        <v>3</v>
      </c>
      <c r="T154" s="222">
        <v>3</v>
      </c>
      <c r="U154" s="222">
        <v>3</v>
      </c>
      <c r="V154" s="222">
        <v>3</v>
      </c>
      <c r="W154" s="381">
        <v>4</v>
      </c>
      <c r="X154" s="222">
        <v>3</v>
      </c>
      <c r="Y154" s="226"/>
      <c r="Z154" s="226"/>
      <c r="AA154" s="226"/>
      <c r="AB154" s="226"/>
      <c r="AC154" s="226"/>
      <c r="AD154" s="226"/>
      <c r="AE154" s="226"/>
      <c r="AF154" s="227"/>
      <c r="AG154" s="184">
        <v>65</v>
      </c>
      <c r="AH154" s="185">
        <v>65</v>
      </c>
      <c r="AI154" s="185">
        <v>29</v>
      </c>
    </row>
    <row r="155" spans="1:35" ht="15" customHeight="1" thickBot="1" x14ac:dyDescent="0.3">
      <c r="A155" s="479"/>
      <c r="B155" s="505"/>
      <c r="C155" s="508"/>
      <c r="D155" s="45" t="s">
        <v>539</v>
      </c>
      <c r="E155" s="46" t="s">
        <v>30</v>
      </c>
      <c r="F155" s="240">
        <v>2</v>
      </c>
      <c r="G155" s="225">
        <v>3</v>
      </c>
      <c r="H155" s="237">
        <v>4</v>
      </c>
      <c r="I155" s="225">
        <v>3</v>
      </c>
      <c r="J155" s="225">
        <v>4</v>
      </c>
      <c r="K155" s="225">
        <v>3</v>
      </c>
      <c r="L155" s="239">
        <v>5</v>
      </c>
      <c r="M155" s="225">
        <v>3</v>
      </c>
      <c r="N155" s="237">
        <v>5</v>
      </c>
      <c r="O155" s="239">
        <v>6</v>
      </c>
      <c r="P155" s="237">
        <v>5</v>
      </c>
      <c r="Q155" s="225">
        <v>3</v>
      </c>
      <c r="R155" s="237">
        <v>4</v>
      </c>
      <c r="S155" s="225">
        <v>3</v>
      </c>
      <c r="T155" s="235">
        <v>2</v>
      </c>
      <c r="U155" s="225">
        <v>3</v>
      </c>
      <c r="V155" s="225">
        <v>3</v>
      </c>
      <c r="W155" s="380">
        <v>2</v>
      </c>
      <c r="X155" s="237">
        <v>4</v>
      </c>
      <c r="Y155" s="228"/>
      <c r="Z155" s="228"/>
      <c r="AA155" s="228"/>
      <c r="AB155" s="228"/>
      <c r="AC155" s="228"/>
      <c r="AD155" s="228"/>
      <c r="AE155" s="228"/>
      <c r="AF155" s="229"/>
      <c r="AG155" s="166">
        <v>67</v>
      </c>
      <c r="AH155" s="186">
        <v>132</v>
      </c>
      <c r="AI155" s="186">
        <v>29</v>
      </c>
    </row>
    <row r="156" spans="1:35" ht="15" hidden="1" customHeight="1" x14ac:dyDescent="0.25">
      <c r="A156" s="479"/>
      <c r="B156" s="505"/>
      <c r="C156" s="508"/>
      <c r="D156" s="45" t="s">
        <v>539</v>
      </c>
      <c r="E156" s="46" t="s">
        <v>31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0</v>
      </c>
      <c r="AH156" s="186">
        <v>132</v>
      </c>
      <c r="AI156" s="186">
        <v>29</v>
      </c>
    </row>
    <row r="157" spans="1:35" ht="15.75" hidden="1" customHeight="1" x14ac:dyDescent="0.25">
      <c r="A157" s="479"/>
      <c r="B157" s="505"/>
      <c r="C157" s="508"/>
      <c r="D157" s="45" t="s">
        <v>539</v>
      </c>
      <c r="E157" s="46" t="s">
        <v>32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132</v>
      </c>
      <c r="AI157" s="186">
        <v>29</v>
      </c>
    </row>
    <row r="158" spans="1:35" ht="15.75" hidden="1" customHeight="1" thickBot="1" x14ac:dyDescent="0.3">
      <c r="A158" s="480"/>
      <c r="B158" s="506"/>
      <c r="C158" s="509"/>
      <c r="D158" s="47" t="s">
        <v>539</v>
      </c>
      <c r="E158" s="48" t="s">
        <v>33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132</v>
      </c>
      <c r="AI158" s="187">
        <v>29</v>
      </c>
    </row>
    <row r="159" spans="1:35" ht="15" customHeight="1" x14ac:dyDescent="0.25">
      <c r="A159" s="478">
        <v>31</v>
      </c>
      <c r="B159" s="504">
        <v>29</v>
      </c>
      <c r="C159" s="507" t="s">
        <v>464</v>
      </c>
      <c r="D159" s="43" t="s">
        <v>464</v>
      </c>
      <c r="E159" s="44" t="s">
        <v>29</v>
      </c>
      <c r="F159" s="223">
        <v>3</v>
      </c>
      <c r="G159" s="222">
        <v>3</v>
      </c>
      <c r="H159" s="222">
        <v>3</v>
      </c>
      <c r="I159" s="222">
        <v>3</v>
      </c>
      <c r="J159" s="236">
        <v>5</v>
      </c>
      <c r="K159" s="236">
        <v>4</v>
      </c>
      <c r="L159" s="241">
        <v>2</v>
      </c>
      <c r="M159" s="241">
        <v>2</v>
      </c>
      <c r="N159" s="236">
        <v>5</v>
      </c>
      <c r="O159" s="222">
        <v>4</v>
      </c>
      <c r="P159" s="236">
        <v>5</v>
      </c>
      <c r="Q159" s="241">
        <v>2</v>
      </c>
      <c r="R159" s="222">
        <v>3</v>
      </c>
      <c r="S159" s="236">
        <v>4</v>
      </c>
      <c r="T159" s="236">
        <v>4</v>
      </c>
      <c r="U159" s="241">
        <v>2</v>
      </c>
      <c r="V159" s="241">
        <v>2</v>
      </c>
      <c r="W159" s="382">
        <v>5</v>
      </c>
      <c r="X159" s="236">
        <v>4</v>
      </c>
      <c r="Y159" s="226"/>
      <c r="Z159" s="226"/>
      <c r="AA159" s="226"/>
      <c r="AB159" s="226"/>
      <c r="AC159" s="226"/>
      <c r="AD159" s="226"/>
      <c r="AE159" s="226"/>
      <c r="AF159" s="227"/>
      <c r="AG159" s="184">
        <v>65</v>
      </c>
      <c r="AH159" s="185">
        <v>65</v>
      </c>
      <c r="AI159" s="185">
        <v>29</v>
      </c>
    </row>
    <row r="160" spans="1:35" ht="15" customHeight="1" thickBot="1" x14ac:dyDescent="0.3">
      <c r="A160" s="479"/>
      <c r="B160" s="505"/>
      <c r="C160" s="508"/>
      <c r="D160" s="45" t="s">
        <v>464</v>
      </c>
      <c r="E160" s="46" t="s">
        <v>30</v>
      </c>
      <c r="F160" s="224">
        <v>3</v>
      </c>
      <c r="G160" s="225">
        <v>3</v>
      </c>
      <c r="H160" s="225">
        <v>3</v>
      </c>
      <c r="I160" s="225">
        <v>3</v>
      </c>
      <c r="J160" s="237">
        <v>5</v>
      </c>
      <c r="K160" s="237">
        <v>4</v>
      </c>
      <c r="L160" s="225">
        <v>3</v>
      </c>
      <c r="M160" s="225">
        <v>3</v>
      </c>
      <c r="N160" s="225">
        <v>4</v>
      </c>
      <c r="O160" s="225">
        <v>4</v>
      </c>
      <c r="P160" s="225">
        <v>4</v>
      </c>
      <c r="Q160" s="237">
        <v>4</v>
      </c>
      <c r="R160" s="225">
        <v>3</v>
      </c>
      <c r="S160" s="225">
        <v>3</v>
      </c>
      <c r="T160" s="225">
        <v>3</v>
      </c>
      <c r="U160" s="225">
        <v>3</v>
      </c>
      <c r="V160" s="225">
        <v>3</v>
      </c>
      <c r="W160" s="379">
        <v>6</v>
      </c>
      <c r="X160" s="225">
        <v>3</v>
      </c>
      <c r="Y160" s="228"/>
      <c r="Z160" s="228"/>
      <c r="AA160" s="228"/>
      <c r="AB160" s="228"/>
      <c r="AC160" s="228"/>
      <c r="AD160" s="228"/>
      <c r="AE160" s="228"/>
      <c r="AF160" s="229"/>
      <c r="AG160" s="166">
        <v>67</v>
      </c>
      <c r="AH160" s="186">
        <v>132</v>
      </c>
      <c r="AI160" s="186">
        <v>29</v>
      </c>
    </row>
    <row r="161" spans="1:35" ht="15" hidden="1" customHeight="1" x14ac:dyDescent="0.25">
      <c r="A161" s="479"/>
      <c r="B161" s="505"/>
      <c r="C161" s="508"/>
      <c r="D161" s="45" t="s">
        <v>464</v>
      </c>
      <c r="E161" s="46" t="s">
        <v>31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0</v>
      </c>
      <c r="AH161" s="186">
        <v>132</v>
      </c>
      <c r="AI161" s="186">
        <v>29</v>
      </c>
    </row>
    <row r="162" spans="1:35" ht="15.75" hidden="1" customHeight="1" x14ac:dyDescent="0.25">
      <c r="A162" s="479"/>
      <c r="B162" s="505"/>
      <c r="C162" s="508"/>
      <c r="D162" s="45" t="s">
        <v>464</v>
      </c>
      <c r="E162" s="46" t="s">
        <v>32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132</v>
      </c>
      <c r="AI162" s="186">
        <v>29</v>
      </c>
    </row>
    <row r="163" spans="1:35" ht="15.75" hidden="1" customHeight="1" thickBot="1" x14ac:dyDescent="0.3">
      <c r="A163" s="480"/>
      <c r="B163" s="506"/>
      <c r="C163" s="509"/>
      <c r="D163" s="47" t="s">
        <v>464</v>
      </c>
      <c r="E163" s="48" t="s">
        <v>33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132</v>
      </c>
      <c r="AI163" s="187">
        <v>29</v>
      </c>
    </row>
    <row r="164" spans="1:35" ht="15" customHeight="1" x14ac:dyDescent="0.25">
      <c r="A164" s="478">
        <v>32</v>
      </c>
      <c r="B164" s="504">
        <v>29</v>
      </c>
      <c r="C164" s="507" t="s">
        <v>706</v>
      </c>
      <c r="D164" s="43" t="s">
        <v>706</v>
      </c>
      <c r="E164" s="44" t="s">
        <v>29</v>
      </c>
      <c r="F164" s="223">
        <v>3</v>
      </c>
      <c r="G164" s="222">
        <v>3</v>
      </c>
      <c r="H164" s="222">
        <v>3</v>
      </c>
      <c r="I164" s="236">
        <v>4</v>
      </c>
      <c r="J164" s="222">
        <v>4</v>
      </c>
      <c r="K164" s="222">
        <v>3</v>
      </c>
      <c r="L164" s="241">
        <v>2</v>
      </c>
      <c r="M164" s="241">
        <v>2</v>
      </c>
      <c r="N164" s="222">
        <v>4</v>
      </c>
      <c r="O164" s="222">
        <v>4</v>
      </c>
      <c r="P164" s="238">
        <v>6</v>
      </c>
      <c r="Q164" s="222">
        <v>3</v>
      </c>
      <c r="R164" s="222">
        <v>3</v>
      </c>
      <c r="S164" s="241">
        <v>2</v>
      </c>
      <c r="T164" s="238">
        <v>5</v>
      </c>
      <c r="U164" s="222">
        <v>3</v>
      </c>
      <c r="V164" s="222">
        <v>3</v>
      </c>
      <c r="W164" s="376">
        <v>3</v>
      </c>
      <c r="X164" s="222">
        <v>3</v>
      </c>
      <c r="Y164" s="226"/>
      <c r="Z164" s="226"/>
      <c r="AA164" s="226"/>
      <c r="AB164" s="226"/>
      <c r="AC164" s="226"/>
      <c r="AD164" s="226"/>
      <c r="AE164" s="226"/>
      <c r="AF164" s="227"/>
      <c r="AG164" s="184">
        <v>63</v>
      </c>
      <c r="AH164" s="185">
        <v>63</v>
      </c>
      <c r="AI164" s="185">
        <v>18</v>
      </c>
    </row>
    <row r="165" spans="1:35" ht="15" customHeight="1" thickBot="1" x14ac:dyDescent="0.3">
      <c r="A165" s="479"/>
      <c r="B165" s="505"/>
      <c r="C165" s="508"/>
      <c r="D165" s="45" t="s">
        <v>706</v>
      </c>
      <c r="E165" s="46" t="s">
        <v>30</v>
      </c>
      <c r="F165" s="224">
        <v>3</v>
      </c>
      <c r="G165" s="225">
        <v>3</v>
      </c>
      <c r="H165" s="225">
        <v>3</v>
      </c>
      <c r="I165" s="225">
        <v>3</v>
      </c>
      <c r="J165" s="237">
        <v>5</v>
      </c>
      <c r="K165" s="237">
        <v>4</v>
      </c>
      <c r="L165" s="237">
        <v>4</v>
      </c>
      <c r="M165" s="237">
        <v>4</v>
      </c>
      <c r="N165" s="237">
        <v>5</v>
      </c>
      <c r="O165" s="237">
        <v>5</v>
      </c>
      <c r="P165" s="225">
        <v>4</v>
      </c>
      <c r="Q165" s="225">
        <v>3</v>
      </c>
      <c r="R165" s="225">
        <v>3</v>
      </c>
      <c r="S165" s="225">
        <v>3</v>
      </c>
      <c r="T165" s="237">
        <v>4</v>
      </c>
      <c r="U165" s="235">
        <v>2</v>
      </c>
      <c r="V165" s="225">
        <v>3</v>
      </c>
      <c r="W165" s="377">
        <v>3</v>
      </c>
      <c r="X165" s="239">
        <v>5</v>
      </c>
      <c r="Y165" s="228"/>
      <c r="Z165" s="228"/>
      <c r="AA165" s="228"/>
      <c r="AB165" s="228"/>
      <c r="AC165" s="228"/>
      <c r="AD165" s="228"/>
      <c r="AE165" s="228"/>
      <c r="AF165" s="229"/>
      <c r="AG165" s="166">
        <v>69</v>
      </c>
      <c r="AH165" s="186">
        <v>132</v>
      </c>
      <c r="AI165" s="186">
        <v>29</v>
      </c>
    </row>
    <row r="166" spans="1:35" ht="15" hidden="1" customHeight="1" x14ac:dyDescent="0.25">
      <c r="A166" s="479"/>
      <c r="B166" s="505"/>
      <c r="C166" s="508"/>
      <c r="D166" s="45" t="s">
        <v>706</v>
      </c>
      <c r="E166" s="46" t="s">
        <v>31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0</v>
      </c>
      <c r="AH166" s="186">
        <v>132</v>
      </c>
      <c r="AI166" s="186">
        <v>29</v>
      </c>
    </row>
    <row r="167" spans="1:35" ht="15.75" hidden="1" customHeight="1" x14ac:dyDescent="0.25">
      <c r="A167" s="479"/>
      <c r="B167" s="505"/>
      <c r="C167" s="508"/>
      <c r="D167" s="45" t="s">
        <v>706</v>
      </c>
      <c r="E167" s="46" t="s">
        <v>32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132</v>
      </c>
      <c r="AI167" s="186">
        <v>29</v>
      </c>
    </row>
    <row r="168" spans="1:35" ht="15.75" hidden="1" customHeight="1" thickBot="1" x14ac:dyDescent="0.3">
      <c r="A168" s="480"/>
      <c r="B168" s="506"/>
      <c r="C168" s="509"/>
      <c r="D168" s="47" t="s">
        <v>706</v>
      </c>
      <c r="E168" s="48" t="s">
        <v>33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132</v>
      </c>
      <c r="AI168" s="187">
        <v>29</v>
      </c>
    </row>
    <row r="169" spans="1:35" ht="15" customHeight="1" x14ac:dyDescent="0.25">
      <c r="A169" s="478">
        <v>33</v>
      </c>
      <c r="B169" s="504">
        <v>29</v>
      </c>
      <c r="C169" s="507" t="s">
        <v>707</v>
      </c>
      <c r="D169" s="43" t="s">
        <v>707</v>
      </c>
      <c r="E169" s="44" t="s">
        <v>29</v>
      </c>
      <c r="F169" s="223">
        <v>3</v>
      </c>
      <c r="G169" s="222">
        <v>3</v>
      </c>
      <c r="H169" s="236">
        <v>4</v>
      </c>
      <c r="I169" s="236">
        <v>4</v>
      </c>
      <c r="J169" s="241">
        <v>3</v>
      </c>
      <c r="K169" s="222">
        <v>3</v>
      </c>
      <c r="L169" s="222">
        <v>3</v>
      </c>
      <c r="M169" s="222">
        <v>3</v>
      </c>
      <c r="N169" s="222">
        <v>4</v>
      </c>
      <c r="O169" s="236">
        <v>5</v>
      </c>
      <c r="P169" s="236">
        <v>5</v>
      </c>
      <c r="Q169" s="222">
        <v>3</v>
      </c>
      <c r="R169" s="222">
        <v>3</v>
      </c>
      <c r="S169" s="222">
        <v>3</v>
      </c>
      <c r="T169" s="236">
        <v>4</v>
      </c>
      <c r="U169" s="241">
        <v>2</v>
      </c>
      <c r="V169" s="222">
        <v>3</v>
      </c>
      <c r="W169" s="387">
        <v>2</v>
      </c>
      <c r="X169" s="222">
        <v>3</v>
      </c>
      <c r="Y169" s="226"/>
      <c r="Z169" s="226"/>
      <c r="AA169" s="226"/>
      <c r="AB169" s="226"/>
      <c r="AC169" s="226"/>
      <c r="AD169" s="226"/>
      <c r="AE169" s="226"/>
      <c r="AF169" s="227"/>
      <c r="AG169" s="184">
        <v>63</v>
      </c>
      <c r="AH169" s="185">
        <v>63</v>
      </c>
      <c r="AI169" s="185">
        <v>18</v>
      </c>
    </row>
    <row r="170" spans="1:35" ht="15" customHeight="1" thickBot="1" x14ac:dyDescent="0.3">
      <c r="A170" s="479"/>
      <c r="B170" s="505"/>
      <c r="C170" s="508"/>
      <c r="D170" s="45" t="s">
        <v>707</v>
      </c>
      <c r="E170" s="46" t="s">
        <v>30</v>
      </c>
      <c r="F170" s="359">
        <v>4</v>
      </c>
      <c r="G170" s="225">
        <v>3</v>
      </c>
      <c r="H170" s="225">
        <v>3</v>
      </c>
      <c r="I170" s="225">
        <v>3</v>
      </c>
      <c r="J170" s="225">
        <v>4</v>
      </c>
      <c r="K170" s="237">
        <v>4</v>
      </c>
      <c r="L170" s="225">
        <v>3</v>
      </c>
      <c r="M170" s="235">
        <v>2</v>
      </c>
      <c r="N170" s="237">
        <v>5</v>
      </c>
      <c r="O170" s="225">
        <v>4</v>
      </c>
      <c r="P170" s="225">
        <v>4</v>
      </c>
      <c r="Q170" s="237">
        <v>4</v>
      </c>
      <c r="R170" s="225">
        <v>3</v>
      </c>
      <c r="S170" s="237">
        <v>4</v>
      </c>
      <c r="T170" s="237">
        <v>4</v>
      </c>
      <c r="U170" s="225">
        <v>3</v>
      </c>
      <c r="V170" s="225">
        <v>3</v>
      </c>
      <c r="W170" s="379">
        <v>5</v>
      </c>
      <c r="X170" s="237">
        <v>4</v>
      </c>
      <c r="Y170" s="228"/>
      <c r="Z170" s="228"/>
      <c r="AA170" s="228"/>
      <c r="AB170" s="228"/>
      <c r="AC170" s="228"/>
      <c r="AD170" s="228"/>
      <c r="AE170" s="228"/>
      <c r="AF170" s="229"/>
      <c r="AG170" s="166">
        <v>69</v>
      </c>
      <c r="AH170" s="186">
        <v>132</v>
      </c>
      <c r="AI170" s="186">
        <v>29</v>
      </c>
    </row>
    <row r="171" spans="1:35" ht="15" hidden="1" customHeight="1" x14ac:dyDescent="0.25">
      <c r="A171" s="479"/>
      <c r="B171" s="505"/>
      <c r="C171" s="508"/>
      <c r="D171" s="45" t="s">
        <v>707</v>
      </c>
      <c r="E171" s="46" t="s">
        <v>31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0</v>
      </c>
      <c r="AH171" s="186">
        <v>132</v>
      </c>
      <c r="AI171" s="186">
        <v>29</v>
      </c>
    </row>
    <row r="172" spans="1:35" ht="15.75" hidden="1" customHeight="1" x14ac:dyDescent="0.25">
      <c r="A172" s="479"/>
      <c r="B172" s="505"/>
      <c r="C172" s="508"/>
      <c r="D172" s="45" t="s">
        <v>707</v>
      </c>
      <c r="E172" s="46" t="s">
        <v>32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132</v>
      </c>
      <c r="AI172" s="186">
        <v>29</v>
      </c>
    </row>
    <row r="173" spans="1:35" ht="15.75" hidden="1" customHeight="1" thickBot="1" x14ac:dyDescent="0.3">
      <c r="A173" s="480"/>
      <c r="B173" s="506"/>
      <c r="C173" s="509"/>
      <c r="D173" s="47" t="s">
        <v>707</v>
      </c>
      <c r="E173" s="48" t="s">
        <v>33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132</v>
      </c>
      <c r="AI173" s="187">
        <v>29</v>
      </c>
    </row>
    <row r="174" spans="1:35" ht="15" customHeight="1" x14ac:dyDescent="0.25">
      <c r="A174" s="478">
        <v>34</v>
      </c>
      <c r="B174" s="504">
        <v>34</v>
      </c>
      <c r="C174" s="507" t="s">
        <v>708</v>
      </c>
      <c r="D174" s="43" t="s">
        <v>708</v>
      </c>
      <c r="E174" s="44" t="s">
        <v>29</v>
      </c>
      <c r="F174" s="245">
        <v>2</v>
      </c>
      <c r="G174" s="241">
        <v>2</v>
      </c>
      <c r="H174" s="222">
        <v>3</v>
      </c>
      <c r="I174" s="222">
        <v>3</v>
      </c>
      <c r="J174" s="222">
        <v>4</v>
      </c>
      <c r="K174" s="236">
        <v>4</v>
      </c>
      <c r="L174" s="236">
        <v>4</v>
      </c>
      <c r="M174" s="236">
        <v>4</v>
      </c>
      <c r="N174" s="238">
        <v>6</v>
      </c>
      <c r="O174" s="222">
        <v>4</v>
      </c>
      <c r="P174" s="236">
        <v>5</v>
      </c>
      <c r="Q174" s="222">
        <v>3</v>
      </c>
      <c r="R174" s="236">
        <v>4</v>
      </c>
      <c r="S174" s="222">
        <v>3</v>
      </c>
      <c r="T174" s="222">
        <v>3</v>
      </c>
      <c r="U174" s="241">
        <v>2</v>
      </c>
      <c r="V174" s="222">
        <v>3</v>
      </c>
      <c r="W174" s="381">
        <v>4</v>
      </c>
      <c r="X174" s="236">
        <v>4</v>
      </c>
      <c r="Y174" s="226"/>
      <c r="Z174" s="226"/>
      <c r="AA174" s="226"/>
      <c r="AB174" s="226"/>
      <c r="AC174" s="226"/>
      <c r="AD174" s="226"/>
      <c r="AE174" s="226"/>
      <c r="AF174" s="227"/>
      <c r="AG174" s="184">
        <v>67</v>
      </c>
      <c r="AH174" s="185">
        <v>67</v>
      </c>
      <c r="AI174" s="185">
        <v>35</v>
      </c>
    </row>
    <row r="175" spans="1:35" ht="15" customHeight="1" thickBot="1" x14ac:dyDescent="0.3">
      <c r="A175" s="479"/>
      <c r="B175" s="505"/>
      <c r="C175" s="508"/>
      <c r="D175" s="45" t="s">
        <v>708</v>
      </c>
      <c r="E175" s="46" t="s">
        <v>30</v>
      </c>
      <c r="F175" s="240">
        <v>2</v>
      </c>
      <c r="G175" s="225">
        <v>3</v>
      </c>
      <c r="H175" s="239">
        <v>5</v>
      </c>
      <c r="I175" s="225">
        <v>3</v>
      </c>
      <c r="J175" s="237">
        <v>5</v>
      </c>
      <c r="K175" s="239">
        <v>5</v>
      </c>
      <c r="L175" s="225">
        <v>3</v>
      </c>
      <c r="M175" s="225">
        <v>3</v>
      </c>
      <c r="N175" s="235">
        <v>3</v>
      </c>
      <c r="O175" s="225">
        <v>4</v>
      </c>
      <c r="P175" s="237">
        <v>5</v>
      </c>
      <c r="Q175" s="225">
        <v>3</v>
      </c>
      <c r="R175" s="237">
        <v>4</v>
      </c>
      <c r="S175" s="225">
        <v>3</v>
      </c>
      <c r="T175" s="225">
        <v>3</v>
      </c>
      <c r="U175" s="237">
        <v>4</v>
      </c>
      <c r="V175" s="235">
        <v>2</v>
      </c>
      <c r="W175" s="377">
        <v>3</v>
      </c>
      <c r="X175" s="237">
        <v>4</v>
      </c>
      <c r="Y175" s="228"/>
      <c r="Z175" s="228"/>
      <c r="AA175" s="228"/>
      <c r="AB175" s="228"/>
      <c r="AC175" s="228"/>
      <c r="AD175" s="228"/>
      <c r="AE175" s="228"/>
      <c r="AF175" s="229"/>
      <c r="AG175" s="166">
        <v>67</v>
      </c>
      <c r="AH175" s="186">
        <v>134</v>
      </c>
      <c r="AI175" s="186">
        <v>34</v>
      </c>
    </row>
    <row r="176" spans="1:35" ht="15" hidden="1" customHeight="1" x14ac:dyDescent="0.25">
      <c r="A176" s="479"/>
      <c r="B176" s="505"/>
      <c r="C176" s="508"/>
      <c r="D176" s="45" t="s">
        <v>708</v>
      </c>
      <c r="E176" s="46" t="s">
        <v>31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0</v>
      </c>
      <c r="AH176" s="186">
        <v>134</v>
      </c>
      <c r="AI176" s="186">
        <v>34</v>
      </c>
    </row>
    <row r="177" spans="1:35" ht="15.75" hidden="1" customHeight="1" x14ac:dyDescent="0.25">
      <c r="A177" s="479"/>
      <c r="B177" s="505"/>
      <c r="C177" s="508"/>
      <c r="D177" s="45" t="s">
        <v>708</v>
      </c>
      <c r="E177" s="46" t="s">
        <v>32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134</v>
      </c>
      <c r="AI177" s="186">
        <v>34</v>
      </c>
    </row>
    <row r="178" spans="1:35" ht="15.75" hidden="1" customHeight="1" thickBot="1" x14ac:dyDescent="0.3">
      <c r="A178" s="480"/>
      <c r="B178" s="506"/>
      <c r="C178" s="509"/>
      <c r="D178" s="47" t="s">
        <v>708</v>
      </c>
      <c r="E178" s="48" t="s">
        <v>33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134</v>
      </c>
      <c r="AI178" s="187">
        <v>34</v>
      </c>
    </row>
    <row r="179" spans="1:35" ht="15" customHeight="1" x14ac:dyDescent="0.25">
      <c r="A179" s="478">
        <v>35</v>
      </c>
      <c r="B179" s="504">
        <v>34</v>
      </c>
      <c r="C179" s="507" t="s">
        <v>709</v>
      </c>
      <c r="D179" s="43" t="s">
        <v>709</v>
      </c>
      <c r="E179" s="44" t="s">
        <v>29</v>
      </c>
      <c r="F179" s="245">
        <v>2</v>
      </c>
      <c r="G179" s="222">
        <v>3</v>
      </c>
      <c r="H179" s="222">
        <v>3</v>
      </c>
      <c r="I179" s="222">
        <v>3</v>
      </c>
      <c r="J179" s="222">
        <v>4</v>
      </c>
      <c r="K179" s="222">
        <v>3</v>
      </c>
      <c r="L179" s="222">
        <v>3</v>
      </c>
      <c r="M179" s="236">
        <v>4</v>
      </c>
      <c r="N179" s="222">
        <v>4</v>
      </c>
      <c r="O179" s="236">
        <v>5</v>
      </c>
      <c r="P179" s="222">
        <v>4</v>
      </c>
      <c r="Q179" s="238">
        <v>5</v>
      </c>
      <c r="R179" s="222">
        <v>3</v>
      </c>
      <c r="S179" s="236">
        <v>4</v>
      </c>
      <c r="T179" s="222">
        <v>3</v>
      </c>
      <c r="U179" s="238">
        <v>5</v>
      </c>
      <c r="V179" s="222">
        <v>3</v>
      </c>
      <c r="W179" s="387">
        <v>2</v>
      </c>
      <c r="X179" s="222">
        <v>3</v>
      </c>
      <c r="Y179" s="226"/>
      <c r="Z179" s="226"/>
      <c r="AA179" s="226"/>
      <c r="AB179" s="226"/>
      <c r="AC179" s="226"/>
      <c r="AD179" s="226"/>
      <c r="AE179" s="226"/>
      <c r="AF179" s="227"/>
      <c r="AG179" s="184">
        <v>66</v>
      </c>
      <c r="AH179" s="185">
        <v>66</v>
      </c>
      <c r="AI179" s="185">
        <v>32</v>
      </c>
    </row>
    <row r="180" spans="1:35" ht="15" customHeight="1" thickBot="1" x14ac:dyDescent="0.3">
      <c r="A180" s="479"/>
      <c r="B180" s="505"/>
      <c r="C180" s="508"/>
      <c r="D180" s="45" t="s">
        <v>709</v>
      </c>
      <c r="E180" s="46" t="s">
        <v>30</v>
      </c>
      <c r="F180" s="224">
        <v>3</v>
      </c>
      <c r="G180" s="225">
        <v>3</v>
      </c>
      <c r="H180" s="225">
        <v>3</v>
      </c>
      <c r="I180" s="225">
        <v>3</v>
      </c>
      <c r="J180" s="225">
        <v>4</v>
      </c>
      <c r="K180" s="237">
        <v>4</v>
      </c>
      <c r="L180" s="225">
        <v>3</v>
      </c>
      <c r="M180" s="225">
        <v>3</v>
      </c>
      <c r="N180" s="235">
        <v>3</v>
      </c>
      <c r="O180" s="237">
        <v>5</v>
      </c>
      <c r="P180" s="237">
        <v>5</v>
      </c>
      <c r="Q180" s="225">
        <v>3</v>
      </c>
      <c r="R180" s="225">
        <v>3</v>
      </c>
      <c r="S180" s="237">
        <v>4</v>
      </c>
      <c r="T180" s="237">
        <v>4</v>
      </c>
      <c r="U180" s="225">
        <v>3</v>
      </c>
      <c r="V180" s="225">
        <v>3</v>
      </c>
      <c r="W180" s="379">
        <v>5</v>
      </c>
      <c r="X180" s="237">
        <v>4</v>
      </c>
      <c r="Y180" s="228"/>
      <c r="Z180" s="228"/>
      <c r="AA180" s="228"/>
      <c r="AB180" s="228"/>
      <c r="AC180" s="228"/>
      <c r="AD180" s="228"/>
      <c r="AE180" s="228"/>
      <c r="AF180" s="229"/>
      <c r="AG180" s="166">
        <v>68</v>
      </c>
      <c r="AH180" s="186">
        <v>134</v>
      </c>
      <c r="AI180" s="186">
        <v>34</v>
      </c>
    </row>
    <row r="181" spans="1:35" ht="15" hidden="1" customHeight="1" x14ac:dyDescent="0.25">
      <c r="A181" s="479"/>
      <c r="B181" s="505"/>
      <c r="C181" s="508"/>
      <c r="D181" s="45" t="s">
        <v>709</v>
      </c>
      <c r="E181" s="46" t="s">
        <v>31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0</v>
      </c>
      <c r="AH181" s="186">
        <v>134</v>
      </c>
      <c r="AI181" s="186">
        <v>34</v>
      </c>
    </row>
    <row r="182" spans="1:35" ht="15.75" hidden="1" customHeight="1" x14ac:dyDescent="0.25">
      <c r="A182" s="479"/>
      <c r="B182" s="505"/>
      <c r="C182" s="508"/>
      <c r="D182" s="45" t="s">
        <v>709</v>
      </c>
      <c r="E182" s="46" t="s">
        <v>32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134</v>
      </c>
      <c r="AI182" s="186">
        <v>34</v>
      </c>
    </row>
    <row r="183" spans="1:35" ht="15.75" hidden="1" customHeight="1" thickBot="1" x14ac:dyDescent="0.3">
      <c r="A183" s="480"/>
      <c r="B183" s="506"/>
      <c r="C183" s="509"/>
      <c r="D183" s="47" t="s">
        <v>709</v>
      </c>
      <c r="E183" s="48" t="s">
        <v>33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134</v>
      </c>
      <c r="AI183" s="187">
        <v>34</v>
      </c>
    </row>
    <row r="184" spans="1:35" ht="15" customHeight="1" x14ac:dyDescent="0.25">
      <c r="A184" s="478">
        <v>36</v>
      </c>
      <c r="B184" s="504">
        <v>36</v>
      </c>
      <c r="C184" s="507" t="s">
        <v>710</v>
      </c>
      <c r="D184" s="43" t="s">
        <v>710</v>
      </c>
      <c r="E184" s="44" t="s">
        <v>29</v>
      </c>
      <c r="F184" s="245">
        <v>2</v>
      </c>
      <c r="G184" s="222">
        <v>3</v>
      </c>
      <c r="H184" s="236">
        <v>4</v>
      </c>
      <c r="I184" s="236">
        <v>4</v>
      </c>
      <c r="J184" s="222">
        <v>4</v>
      </c>
      <c r="K184" s="222">
        <v>3</v>
      </c>
      <c r="L184" s="222">
        <v>3</v>
      </c>
      <c r="M184" s="222">
        <v>3</v>
      </c>
      <c r="N184" s="236">
        <v>5</v>
      </c>
      <c r="O184" s="222">
        <v>4</v>
      </c>
      <c r="P184" s="236">
        <v>5</v>
      </c>
      <c r="Q184" s="222">
        <v>3</v>
      </c>
      <c r="R184" s="241">
        <v>2</v>
      </c>
      <c r="S184" s="222">
        <v>3</v>
      </c>
      <c r="T184" s="222">
        <v>3</v>
      </c>
      <c r="U184" s="222">
        <v>3</v>
      </c>
      <c r="V184" s="236">
        <v>4</v>
      </c>
      <c r="W184" s="376">
        <v>3</v>
      </c>
      <c r="X184" s="222">
        <v>3</v>
      </c>
      <c r="Y184" s="226"/>
      <c r="Z184" s="226"/>
      <c r="AA184" s="226"/>
      <c r="AB184" s="226"/>
      <c r="AC184" s="226"/>
      <c r="AD184" s="226"/>
      <c r="AE184" s="226"/>
      <c r="AF184" s="227"/>
      <c r="AG184" s="184">
        <v>64</v>
      </c>
      <c r="AH184" s="185">
        <v>64</v>
      </c>
      <c r="AI184" s="185">
        <v>25</v>
      </c>
    </row>
    <row r="185" spans="1:35" ht="15" customHeight="1" thickBot="1" x14ac:dyDescent="0.3">
      <c r="A185" s="479"/>
      <c r="B185" s="505"/>
      <c r="C185" s="508"/>
      <c r="D185" s="45" t="s">
        <v>710</v>
      </c>
      <c r="E185" s="46" t="s">
        <v>30</v>
      </c>
      <c r="F185" s="224">
        <v>3</v>
      </c>
      <c r="G185" s="225">
        <v>3</v>
      </c>
      <c r="H185" s="225">
        <v>3</v>
      </c>
      <c r="I185" s="225">
        <v>3</v>
      </c>
      <c r="J185" s="225">
        <v>4</v>
      </c>
      <c r="K185" s="237">
        <v>4</v>
      </c>
      <c r="L185" s="225">
        <v>3</v>
      </c>
      <c r="M185" s="225">
        <v>3</v>
      </c>
      <c r="N185" s="225">
        <v>4</v>
      </c>
      <c r="O185" s="239">
        <v>7</v>
      </c>
      <c r="P185" s="225">
        <v>4</v>
      </c>
      <c r="Q185" s="225">
        <v>3</v>
      </c>
      <c r="R185" s="237">
        <v>4</v>
      </c>
      <c r="S185" s="235">
        <v>2</v>
      </c>
      <c r="T185" s="237">
        <v>4</v>
      </c>
      <c r="U185" s="225">
        <v>3</v>
      </c>
      <c r="V185" s="239">
        <v>5</v>
      </c>
      <c r="W185" s="379">
        <v>5</v>
      </c>
      <c r="X185" s="237">
        <v>4</v>
      </c>
      <c r="Y185" s="228"/>
      <c r="Z185" s="228"/>
      <c r="AA185" s="228"/>
      <c r="AB185" s="228"/>
      <c r="AC185" s="228"/>
      <c r="AD185" s="228"/>
      <c r="AE185" s="228"/>
      <c r="AF185" s="229"/>
      <c r="AG185" s="166">
        <v>71</v>
      </c>
      <c r="AH185" s="186">
        <v>135</v>
      </c>
      <c r="AI185" s="186">
        <v>36</v>
      </c>
    </row>
    <row r="186" spans="1:35" ht="15" hidden="1" customHeight="1" x14ac:dyDescent="0.25">
      <c r="A186" s="479"/>
      <c r="B186" s="505"/>
      <c r="C186" s="508"/>
      <c r="D186" s="45" t="s">
        <v>710</v>
      </c>
      <c r="E186" s="46" t="s">
        <v>31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0</v>
      </c>
      <c r="AH186" s="186">
        <v>135</v>
      </c>
      <c r="AI186" s="186">
        <v>36</v>
      </c>
    </row>
    <row r="187" spans="1:35" ht="15.75" hidden="1" customHeight="1" x14ac:dyDescent="0.25">
      <c r="A187" s="479"/>
      <c r="B187" s="505"/>
      <c r="C187" s="508"/>
      <c r="D187" s="45" t="s">
        <v>710</v>
      </c>
      <c r="E187" s="46" t="s">
        <v>32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135</v>
      </c>
      <c r="AI187" s="186">
        <v>36</v>
      </c>
    </row>
    <row r="188" spans="1:35" ht="15.75" hidden="1" customHeight="1" thickBot="1" x14ac:dyDescent="0.3">
      <c r="A188" s="480"/>
      <c r="B188" s="506"/>
      <c r="C188" s="509"/>
      <c r="D188" s="47" t="s">
        <v>710</v>
      </c>
      <c r="E188" s="48" t="s">
        <v>33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135</v>
      </c>
      <c r="AI188" s="187">
        <v>36</v>
      </c>
    </row>
    <row r="189" spans="1:35" ht="15" customHeight="1" x14ac:dyDescent="0.25">
      <c r="A189" s="478">
        <v>37</v>
      </c>
      <c r="B189" s="504">
        <v>37</v>
      </c>
      <c r="C189" s="507" t="s">
        <v>711</v>
      </c>
      <c r="D189" s="43" t="s">
        <v>711</v>
      </c>
      <c r="E189" s="44" t="s">
        <v>29</v>
      </c>
      <c r="F189" s="245">
        <v>2</v>
      </c>
      <c r="G189" s="222">
        <v>3</v>
      </c>
      <c r="H189" s="236">
        <v>4</v>
      </c>
      <c r="I189" s="238">
        <v>5</v>
      </c>
      <c r="J189" s="222">
        <v>4</v>
      </c>
      <c r="K189" s="222">
        <v>3</v>
      </c>
      <c r="L189" s="222">
        <v>3</v>
      </c>
      <c r="M189" s="236">
        <v>4</v>
      </c>
      <c r="N189" s="236">
        <v>5</v>
      </c>
      <c r="O189" s="222">
        <v>4</v>
      </c>
      <c r="P189" s="238">
        <v>6</v>
      </c>
      <c r="Q189" s="222">
        <v>3</v>
      </c>
      <c r="R189" s="222">
        <v>3</v>
      </c>
      <c r="S189" s="222">
        <v>3</v>
      </c>
      <c r="T189" s="236">
        <v>4</v>
      </c>
      <c r="U189" s="222">
        <v>3</v>
      </c>
      <c r="V189" s="236">
        <v>4</v>
      </c>
      <c r="W189" s="387">
        <v>2</v>
      </c>
      <c r="X189" s="236">
        <v>4</v>
      </c>
      <c r="Y189" s="226"/>
      <c r="Z189" s="226"/>
      <c r="AA189" s="226"/>
      <c r="AB189" s="226"/>
      <c r="AC189" s="226"/>
      <c r="AD189" s="226"/>
      <c r="AE189" s="226"/>
      <c r="AF189" s="227"/>
      <c r="AG189" s="184">
        <v>69</v>
      </c>
      <c r="AH189" s="185">
        <v>69</v>
      </c>
      <c r="AI189" s="185">
        <v>41</v>
      </c>
    </row>
    <row r="190" spans="1:35" ht="15" customHeight="1" thickBot="1" x14ac:dyDescent="0.3">
      <c r="A190" s="479"/>
      <c r="B190" s="505"/>
      <c r="C190" s="508"/>
      <c r="D190" s="45" t="s">
        <v>711</v>
      </c>
      <c r="E190" s="46" t="s">
        <v>30</v>
      </c>
      <c r="F190" s="359">
        <v>4</v>
      </c>
      <c r="G190" s="237">
        <v>4</v>
      </c>
      <c r="H190" s="225">
        <v>3</v>
      </c>
      <c r="I190" s="239">
        <v>5</v>
      </c>
      <c r="J190" s="225">
        <v>4</v>
      </c>
      <c r="K190" s="237">
        <v>4</v>
      </c>
      <c r="L190" s="225">
        <v>3</v>
      </c>
      <c r="M190" s="225">
        <v>3</v>
      </c>
      <c r="N190" s="225">
        <v>4</v>
      </c>
      <c r="O190" s="225">
        <v>4</v>
      </c>
      <c r="P190" s="237">
        <v>5</v>
      </c>
      <c r="Q190" s="225">
        <v>3</v>
      </c>
      <c r="R190" s="225">
        <v>3</v>
      </c>
      <c r="S190" s="237">
        <v>4</v>
      </c>
      <c r="T190" s="225">
        <v>3</v>
      </c>
      <c r="U190" s="235">
        <v>2</v>
      </c>
      <c r="V190" s="225">
        <v>3</v>
      </c>
      <c r="W190" s="378">
        <v>4</v>
      </c>
      <c r="X190" s="237">
        <v>4</v>
      </c>
      <c r="Y190" s="228"/>
      <c r="Z190" s="228"/>
      <c r="AA190" s="228"/>
      <c r="AB190" s="228"/>
      <c r="AC190" s="228"/>
      <c r="AD190" s="228"/>
      <c r="AE190" s="228"/>
      <c r="AF190" s="229"/>
      <c r="AG190" s="166">
        <v>69</v>
      </c>
      <c r="AH190" s="186">
        <v>138</v>
      </c>
      <c r="AI190" s="186">
        <v>37</v>
      </c>
    </row>
    <row r="191" spans="1:35" ht="15" hidden="1" customHeight="1" x14ac:dyDescent="0.25">
      <c r="A191" s="479"/>
      <c r="B191" s="505"/>
      <c r="C191" s="508"/>
      <c r="D191" s="45" t="s">
        <v>711</v>
      </c>
      <c r="E191" s="46" t="s">
        <v>31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0</v>
      </c>
      <c r="AH191" s="186">
        <v>138</v>
      </c>
      <c r="AI191" s="186">
        <v>37</v>
      </c>
    </row>
    <row r="192" spans="1:35" ht="15.75" hidden="1" customHeight="1" x14ac:dyDescent="0.25">
      <c r="A192" s="479"/>
      <c r="B192" s="505"/>
      <c r="C192" s="508"/>
      <c r="D192" s="45" t="s">
        <v>711</v>
      </c>
      <c r="E192" s="46" t="s">
        <v>32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138</v>
      </c>
      <c r="AI192" s="186">
        <v>37</v>
      </c>
    </row>
    <row r="193" spans="1:35" ht="15.75" hidden="1" customHeight="1" thickBot="1" x14ac:dyDescent="0.3">
      <c r="A193" s="480"/>
      <c r="B193" s="506"/>
      <c r="C193" s="509"/>
      <c r="D193" s="47" t="s">
        <v>711</v>
      </c>
      <c r="E193" s="48" t="s">
        <v>33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138</v>
      </c>
      <c r="AI193" s="187">
        <v>37</v>
      </c>
    </row>
    <row r="194" spans="1:35" ht="15" customHeight="1" x14ac:dyDescent="0.25">
      <c r="A194" s="478">
        <v>38</v>
      </c>
      <c r="B194" s="504">
        <v>38</v>
      </c>
      <c r="C194" s="507" t="s">
        <v>690</v>
      </c>
      <c r="D194" s="43" t="s">
        <v>690</v>
      </c>
      <c r="E194" s="44" t="s">
        <v>29</v>
      </c>
      <c r="F194" s="223">
        <v>3</v>
      </c>
      <c r="G194" s="236">
        <v>4</v>
      </c>
      <c r="H194" s="236">
        <v>4</v>
      </c>
      <c r="I194" s="236">
        <v>4</v>
      </c>
      <c r="J194" s="236">
        <v>5</v>
      </c>
      <c r="K194" s="236">
        <v>4</v>
      </c>
      <c r="L194" s="222">
        <v>3</v>
      </c>
      <c r="M194" s="222">
        <v>3</v>
      </c>
      <c r="N194" s="222">
        <v>4</v>
      </c>
      <c r="O194" s="238">
        <v>6</v>
      </c>
      <c r="P194" s="222">
        <v>4</v>
      </c>
      <c r="Q194" s="238">
        <v>5</v>
      </c>
      <c r="R194" s="222">
        <v>3</v>
      </c>
      <c r="S194" s="222">
        <v>3</v>
      </c>
      <c r="T194" s="238">
        <v>5</v>
      </c>
      <c r="U194" s="222">
        <v>3</v>
      </c>
      <c r="V194" s="236">
        <v>4</v>
      </c>
      <c r="W194" s="376">
        <v>3</v>
      </c>
      <c r="X194" s="222">
        <v>3</v>
      </c>
      <c r="Y194" s="226"/>
      <c r="Z194" s="226"/>
      <c r="AA194" s="226"/>
      <c r="AB194" s="226"/>
      <c r="AC194" s="226"/>
      <c r="AD194" s="226"/>
      <c r="AE194" s="226"/>
      <c r="AF194" s="227"/>
      <c r="AG194" s="184">
        <v>73</v>
      </c>
      <c r="AH194" s="185">
        <v>73</v>
      </c>
      <c r="AI194" s="185">
        <v>48</v>
      </c>
    </row>
    <row r="195" spans="1:35" ht="15" customHeight="1" thickBot="1" x14ac:dyDescent="0.3">
      <c r="A195" s="479"/>
      <c r="B195" s="505"/>
      <c r="C195" s="508"/>
      <c r="D195" s="45" t="s">
        <v>690</v>
      </c>
      <c r="E195" s="46" t="s">
        <v>30</v>
      </c>
      <c r="F195" s="224">
        <v>3</v>
      </c>
      <c r="G195" s="235">
        <v>2</v>
      </c>
      <c r="H195" s="225">
        <v>3</v>
      </c>
      <c r="I195" s="239">
        <v>5</v>
      </c>
      <c r="J195" s="225">
        <v>4</v>
      </c>
      <c r="K195" s="225">
        <v>3</v>
      </c>
      <c r="L195" s="225">
        <v>3</v>
      </c>
      <c r="M195" s="225">
        <v>3</v>
      </c>
      <c r="N195" s="225">
        <v>4</v>
      </c>
      <c r="O195" s="225">
        <v>4</v>
      </c>
      <c r="P195" s="225">
        <v>4</v>
      </c>
      <c r="Q195" s="225">
        <v>3</v>
      </c>
      <c r="R195" s="225">
        <v>3</v>
      </c>
      <c r="S195" s="237">
        <v>4</v>
      </c>
      <c r="T195" s="239">
        <v>5</v>
      </c>
      <c r="U195" s="225">
        <v>3</v>
      </c>
      <c r="V195" s="225">
        <v>3</v>
      </c>
      <c r="W195" s="378">
        <v>4</v>
      </c>
      <c r="X195" s="225">
        <v>3</v>
      </c>
      <c r="Y195" s="228"/>
      <c r="Z195" s="228"/>
      <c r="AA195" s="228"/>
      <c r="AB195" s="228"/>
      <c r="AC195" s="228"/>
      <c r="AD195" s="228"/>
      <c r="AE195" s="228"/>
      <c r="AF195" s="229"/>
      <c r="AG195" s="166">
        <v>66</v>
      </c>
      <c r="AH195" s="186">
        <v>139</v>
      </c>
      <c r="AI195" s="186">
        <v>38</v>
      </c>
    </row>
    <row r="196" spans="1:35" ht="15" hidden="1" customHeight="1" x14ac:dyDescent="0.25">
      <c r="A196" s="479"/>
      <c r="B196" s="505"/>
      <c r="C196" s="508"/>
      <c r="D196" s="45" t="s">
        <v>690</v>
      </c>
      <c r="E196" s="46" t="s">
        <v>31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0</v>
      </c>
      <c r="AH196" s="186">
        <v>139</v>
      </c>
      <c r="AI196" s="186">
        <v>38</v>
      </c>
    </row>
    <row r="197" spans="1:35" ht="15.75" hidden="1" customHeight="1" x14ac:dyDescent="0.25">
      <c r="A197" s="479"/>
      <c r="B197" s="505"/>
      <c r="C197" s="508"/>
      <c r="D197" s="45" t="s">
        <v>690</v>
      </c>
      <c r="E197" s="46" t="s">
        <v>32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139</v>
      </c>
      <c r="AI197" s="186">
        <v>38</v>
      </c>
    </row>
    <row r="198" spans="1:35" ht="15.75" hidden="1" customHeight="1" thickBot="1" x14ac:dyDescent="0.3">
      <c r="A198" s="480"/>
      <c r="B198" s="506"/>
      <c r="C198" s="509"/>
      <c r="D198" s="47" t="s">
        <v>690</v>
      </c>
      <c r="E198" s="48" t="s">
        <v>33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139</v>
      </c>
      <c r="AI198" s="187">
        <v>38</v>
      </c>
    </row>
    <row r="199" spans="1:35" ht="15" customHeight="1" x14ac:dyDescent="0.25">
      <c r="A199" s="478">
        <v>39</v>
      </c>
      <c r="B199" s="504">
        <v>39</v>
      </c>
      <c r="C199" s="507" t="s">
        <v>712</v>
      </c>
      <c r="D199" s="43" t="s">
        <v>712</v>
      </c>
      <c r="E199" s="44" t="s">
        <v>29</v>
      </c>
      <c r="F199" s="223">
        <v>3</v>
      </c>
      <c r="G199" s="236">
        <v>4</v>
      </c>
      <c r="H199" s="236">
        <v>4</v>
      </c>
      <c r="I199" s="222">
        <v>3</v>
      </c>
      <c r="J199" s="241">
        <v>3</v>
      </c>
      <c r="K199" s="241">
        <v>2</v>
      </c>
      <c r="L199" s="222">
        <v>3</v>
      </c>
      <c r="M199" s="222">
        <v>3</v>
      </c>
      <c r="N199" s="238">
        <v>7</v>
      </c>
      <c r="O199" s="222">
        <v>4</v>
      </c>
      <c r="P199" s="236">
        <v>5</v>
      </c>
      <c r="Q199" s="241">
        <v>2</v>
      </c>
      <c r="R199" s="222">
        <v>3</v>
      </c>
      <c r="S199" s="222">
        <v>3</v>
      </c>
      <c r="T199" s="236">
        <v>4</v>
      </c>
      <c r="U199" s="222">
        <v>3</v>
      </c>
      <c r="V199" s="236">
        <v>4</v>
      </c>
      <c r="W199" s="382">
        <v>5</v>
      </c>
      <c r="X199" s="222">
        <v>3</v>
      </c>
      <c r="Y199" s="226"/>
      <c r="Z199" s="226"/>
      <c r="AA199" s="226"/>
      <c r="AB199" s="226"/>
      <c r="AC199" s="226"/>
      <c r="AD199" s="226"/>
      <c r="AE199" s="226"/>
      <c r="AF199" s="227"/>
      <c r="AG199" s="184">
        <v>68</v>
      </c>
      <c r="AH199" s="185">
        <v>68</v>
      </c>
      <c r="AI199" s="185">
        <v>39</v>
      </c>
    </row>
    <row r="200" spans="1:35" ht="15" customHeight="1" thickBot="1" x14ac:dyDescent="0.3">
      <c r="A200" s="479"/>
      <c r="B200" s="505"/>
      <c r="C200" s="508"/>
      <c r="D200" s="45" t="s">
        <v>712</v>
      </c>
      <c r="E200" s="46" t="s">
        <v>30</v>
      </c>
      <c r="F200" s="359">
        <v>4</v>
      </c>
      <c r="G200" s="225">
        <v>3</v>
      </c>
      <c r="H200" s="237">
        <v>4</v>
      </c>
      <c r="I200" s="237">
        <v>4</v>
      </c>
      <c r="J200" s="237">
        <v>5</v>
      </c>
      <c r="K200" s="237">
        <v>4</v>
      </c>
      <c r="L200" s="237">
        <v>4</v>
      </c>
      <c r="M200" s="225">
        <v>3</v>
      </c>
      <c r="N200" s="225">
        <v>4</v>
      </c>
      <c r="O200" s="237">
        <v>5</v>
      </c>
      <c r="P200" s="237">
        <v>5</v>
      </c>
      <c r="Q200" s="239">
        <v>5</v>
      </c>
      <c r="R200" s="225">
        <v>3</v>
      </c>
      <c r="S200" s="237">
        <v>4</v>
      </c>
      <c r="T200" s="225">
        <v>3</v>
      </c>
      <c r="U200" s="225">
        <v>3</v>
      </c>
      <c r="V200" s="225">
        <v>3</v>
      </c>
      <c r="W200" s="380">
        <v>2</v>
      </c>
      <c r="X200" s="237">
        <v>4</v>
      </c>
      <c r="Y200" s="228"/>
      <c r="Z200" s="228"/>
      <c r="AA200" s="228"/>
      <c r="AB200" s="228"/>
      <c r="AC200" s="228"/>
      <c r="AD200" s="228"/>
      <c r="AE200" s="228"/>
      <c r="AF200" s="229"/>
      <c r="AG200" s="166">
        <v>72</v>
      </c>
      <c r="AH200" s="186">
        <v>140</v>
      </c>
      <c r="AI200" s="186">
        <v>39</v>
      </c>
    </row>
    <row r="201" spans="1:35" ht="15" hidden="1" customHeight="1" x14ac:dyDescent="0.25">
      <c r="A201" s="479"/>
      <c r="B201" s="505"/>
      <c r="C201" s="508"/>
      <c r="D201" s="45" t="s">
        <v>712</v>
      </c>
      <c r="E201" s="46" t="s">
        <v>31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0</v>
      </c>
      <c r="AH201" s="186">
        <v>140</v>
      </c>
      <c r="AI201" s="186">
        <v>39</v>
      </c>
    </row>
    <row r="202" spans="1:35" ht="15.75" hidden="1" customHeight="1" x14ac:dyDescent="0.25">
      <c r="A202" s="479"/>
      <c r="B202" s="505"/>
      <c r="C202" s="508"/>
      <c r="D202" s="45" t="s">
        <v>712</v>
      </c>
      <c r="E202" s="46" t="s">
        <v>32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140</v>
      </c>
      <c r="AI202" s="186">
        <v>39</v>
      </c>
    </row>
    <row r="203" spans="1:35" ht="15.75" hidden="1" customHeight="1" thickBot="1" x14ac:dyDescent="0.3">
      <c r="A203" s="480"/>
      <c r="B203" s="506"/>
      <c r="C203" s="509"/>
      <c r="D203" s="47" t="s">
        <v>712</v>
      </c>
      <c r="E203" s="48" t="s">
        <v>33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140</v>
      </c>
      <c r="AI203" s="187">
        <v>39</v>
      </c>
    </row>
    <row r="204" spans="1:35" ht="15" customHeight="1" x14ac:dyDescent="0.25">
      <c r="A204" s="478">
        <v>40</v>
      </c>
      <c r="B204" s="504">
        <v>40</v>
      </c>
      <c r="C204" s="507" t="s">
        <v>713</v>
      </c>
      <c r="D204" s="43" t="s">
        <v>713</v>
      </c>
      <c r="E204" s="44" t="s">
        <v>29</v>
      </c>
      <c r="F204" s="245">
        <v>2</v>
      </c>
      <c r="G204" s="222">
        <v>3</v>
      </c>
      <c r="H204" s="222">
        <v>3</v>
      </c>
      <c r="I204" s="222">
        <v>3</v>
      </c>
      <c r="J204" s="236">
        <v>5</v>
      </c>
      <c r="K204" s="222">
        <v>3</v>
      </c>
      <c r="L204" s="236">
        <v>4</v>
      </c>
      <c r="M204" s="222">
        <v>3</v>
      </c>
      <c r="N204" s="236">
        <v>5</v>
      </c>
      <c r="O204" s="236">
        <v>5</v>
      </c>
      <c r="P204" s="222">
        <v>4</v>
      </c>
      <c r="Q204" s="222">
        <v>3</v>
      </c>
      <c r="R204" s="222">
        <v>3</v>
      </c>
      <c r="S204" s="222">
        <v>3</v>
      </c>
      <c r="T204" s="222">
        <v>3</v>
      </c>
      <c r="U204" s="222">
        <v>3</v>
      </c>
      <c r="V204" s="236">
        <v>4</v>
      </c>
      <c r="W204" s="381">
        <v>4</v>
      </c>
      <c r="X204" s="236">
        <v>4</v>
      </c>
      <c r="Y204" s="226"/>
      <c r="Z204" s="226"/>
      <c r="AA204" s="226"/>
      <c r="AB204" s="226"/>
      <c r="AC204" s="226"/>
      <c r="AD204" s="226"/>
      <c r="AE204" s="226"/>
      <c r="AF204" s="227"/>
      <c r="AG204" s="184">
        <v>67</v>
      </c>
      <c r="AH204" s="185">
        <v>67</v>
      </c>
      <c r="AI204" s="185">
        <v>35</v>
      </c>
    </row>
    <row r="205" spans="1:35" ht="15" customHeight="1" thickBot="1" x14ac:dyDescent="0.3">
      <c r="A205" s="479"/>
      <c r="B205" s="505"/>
      <c r="C205" s="508"/>
      <c r="D205" s="45" t="s">
        <v>713</v>
      </c>
      <c r="E205" s="46" t="s">
        <v>30</v>
      </c>
      <c r="F205" s="359">
        <v>4</v>
      </c>
      <c r="G205" s="225">
        <v>3</v>
      </c>
      <c r="H205" s="239">
        <v>6</v>
      </c>
      <c r="I205" s="225">
        <v>3</v>
      </c>
      <c r="J205" s="237">
        <v>5</v>
      </c>
      <c r="K205" s="237">
        <v>4</v>
      </c>
      <c r="L205" s="225">
        <v>3</v>
      </c>
      <c r="M205" s="225">
        <v>3</v>
      </c>
      <c r="N205" s="225">
        <v>4</v>
      </c>
      <c r="O205" s="225">
        <v>4</v>
      </c>
      <c r="P205" s="237">
        <v>5</v>
      </c>
      <c r="Q205" s="225">
        <v>3</v>
      </c>
      <c r="R205" s="237">
        <v>4</v>
      </c>
      <c r="S205" s="237">
        <v>4</v>
      </c>
      <c r="T205" s="237">
        <v>4</v>
      </c>
      <c r="U205" s="225">
        <v>3</v>
      </c>
      <c r="V205" s="237">
        <v>4</v>
      </c>
      <c r="W205" s="378">
        <v>4</v>
      </c>
      <c r="X205" s="237">
        <v>4</v>
      </c>
      <c r="Y205" s="228"/>
      <c r="Z205" s="228"/>
      <c r="AA205" s="228"/>
      <c r="AB205" s="228"/>
      <c r="AC205" s="228"/>
      <c r="AD205" s="228"/>
      <c r="AE205" s="228"/>
      <c r="AF205" s="229"/>
      <c r="AG205" s="166">
        <v>74</v>
      </c>
      <c r="AH205" s="186">
        <v>141</v>
      </c>
      <c r="AI205" s="186">
        <v>40</v>
      </c>
    </row>
    <row r="206" spans="1:35" ht="15" hidden="1" customHeight="1" x14ac:dyDescent="0.25">
      <c r="A206" s="479"/>
      <c r="B206" s="505"/>
      <c r="C206" s="508"/>
      <c r="D206" s="45" t="s">
        <v>713</v>
      </c>
      <c r="E206" s="46" t="s">
        <v>31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0</v>
      </c>
      <c r="AH206" s="186">
        <v>141</v>
      </c>
      <c r="AI206" s="186">
        <v>40</v>
      </c>
    </row>
    <row r="207" spans="1:35" ht="15.75" hidden="1" customHeight="1" x14ac:dyDescent="0.25">
      <c r="A207" s="479"/>
      <c r="B207" s="505"/>
      <c r="C207" s="508"/>
      <c r="D207" s="45" t="s">
        <v>713</v>
      </c>
      <c r="E207" s="46" t="s">
        <v>32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141</v>
      </c>
      <c r="AI207" s="186">
        <v>40</v>
      </c>
    </row>
    <row r="208" spans="1:35" ht="15.75" hidden="1" customHeight="1" thickBot="1" x14ac:dyDescent="0.3">
      <c r="A208" s="480"/>
      <c r="B208" s="506"/>
      <c r="C208" s="509"/>
      <c r="D208" s="47" t="s">
        <v>713</v>
      </c>
      <c r="E208" s="48" t="s">
        <v>33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141</v>
      </c>
      <c r="AI208" s="187">
        <v>40</v>
      </c>
    </row>
    <row r="209" spans="1:35" ht="15" customHeight="1" x14ac:dyDescent="0.25">
      <c r="A209" s="478">
        <v>41</v>
      </c>
      <c r="B209" s="504">
        <v>41</v>
      </c>
      <c r="C209" s="507" t="s">
        <v>691</v>
      </c>
      <c r="D209" s="43" t="s">
        <v>691</v>
      </c>
      <c r="E209" s="44" t="s">
        <v>29</v>
      </c>
      <c r="F209" s="223">
        <v>3</v>
      </c>
      <c r="G209" s="222">
        <v>3</v>
      </c>
      <c r="H209" s="236">
        <v>4</v>
      </c>
      <c r="I209" s="222">
        <v>3</v>
      </c>
      <c r="J209" s="222">
        <v>4</v>
      </c>
      <c r="K209" s="238">
        <v>5</v>
      </c>
      <c r="L209" s="236">
        <v>4</v>
      </c>
      <c r="M209" s="222">
        <v>3</v>
      </c>
      <c r="N209" s="236">
        <v>5</v>
      </c>
      <c r="O209" s="222">
        <v>4</v>
      </c>
      <c r="P209" s="238">
        <v>6</v>
      </c>
      <c r="Q209" s="222">
        <v>3</v>
      </c>
      <c r="R209" s="236">
        <v>4</v>
      </c>
      <c r="S209" s="222">
        <v>3</v>
      </c>
      <c r="T209" s="236">
        <v>4</v>
      </c>
      <c r="U209" s="222">
        <v>3</v>
      </c>
      <c r="V209" s="236">
        <v>4</v>
      </c>
      <c r="W209" s="381">
        <v>4</v>
      </c>
      <c r="X209" s="222">
        <v>3</v>
      </c>
      <c r="Y209" s="226"/>
      <c r="Z209" s="226"/>
      <c r="AA209" s="226"/>
      <c r="AB209" s="226"/>
      <c r="AC209" s="226"/>
      <c r="AD209" s="226"/>
      <c r="AE209" s="226"/>
      <c r="AF209" s="227"/>
      <c r="AG209" s="184">
        <v>72</v>
      </c>
      <c r="AH209" s="185">
        <v>72</v>
      </c>
      <c r="AI209" s="185">
        <v>47</v>
      </c>
    </row>
    <row r="210" spans="1:35" ht="15" customHeight="1" thickBot="1" x14ac:dyDescent="0.3">
      <c r="A210" s="479"/>
      <c r="B210" s="505"/>
      <c r="C210" s="508"/>
      <c r="D210" s="45" t="s">
        <v>691</v>
      </c>
      <c r="E210" s="46" t="s">
        <v>30</v>
      </c>
      <c r="F210" s="359">
        <v>4</v>
      </c>
      <c r="G210" s="225">
        <v>3</v>
      </c>
      <c r="H210" s="239">
        <v>5</v>
      </c>
      <c r="I210" s="225">
        <v>3</v>
      </c>
      <c r="J210" s="225">
        <v>4</v>
      </c>
      <c r="K210" s="239">
        <v>5</v>
      </c>
      <c r="L210" s="225">
        <v>3</v>
      </c>
      <c r="M210" s="225">
        <v>3</v>
      </c>
      <c r="N210" s="225">
        <v>4</v>
      </c>
      <c r="O210" s="237">
        <v>5</v>
      </c>
      <c r="P210" s="225">
        <v>4</v>
      </c>
      <c r="Q210" s="225">
        <v>3</v>
      </c>
      <c r="R210" s="237">
        <v>4</v>
      </c>
      <c r="S210" s="225">
        <v>3</v>
      </c>
      <c r="T210" s="239">
        <v>5</v>
      </c>
      <c r="U210" s="225">
        <v>3</v>
      </c>
      <c r="V210" s="237">
        <v>4</v>
      </c>
      <c r="W210" s="380">
        <v>2</v>
      </c>
      <c r="X210" s="237">
        <v>4</v>
      </c>
      <c r="Y210" s="228"/>
      <c r="Z210" s="228"/>
      <c r="AA210" s="228"/>
      <c r="AB210" s="228"/>
      <c r="AC210" s="228"/>
      <c r="AD210" s="228"/>
      <c r="AE210" s="228"/>
      <c r="AF210" s="229"/>
      <c r="AG210" s="166">
        <v>71</v>
      </c>
      <c r="AH210" s="186">
        <v>143</v>
      </c>
      <c r="AI210" s="186">
        <v>41</v>
      </c>
    </row>
    <row r="211" spans="1:35" ht="15" hidden="1" customHeight="1" x14ac:dyDescent="0.25">
      <c r="A211" s="479"/>
      <c r="B211" s="505"/>
      <c r="C211" s="508"/>
      <c r="D211" s="45" t="s">
        <v>691</v>
      </c>
      <c r="E211" s="46" t="s">
        <v>31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0</v>
      </c>
      <c r="AH211" s="186">
        <v>143</v>
      </c>
      <c r="AI211" s="186">
        <v>41</v>
      </c>
    </row>
    <row r="212" spans="1:35" ht="15.75" hidden="1" customHeight="1" x14ac:dyDescent="0.25">
      <c r="A212" s="479"/>
      <c r="B212" s="505"/>
      <c r="C212" s="508"/>
      <c r="D212" s="45" t="s">
        <v>691</v>
      </c>
      <c r="E212" s="46" t="s">
        <v>32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143</v>
      </c>
      <c r="AI212" s="186">
        <v>41</v>
      </c>
    </row>
    <row r="213" spans="1:35" ht="15.75" hidden="1" customHeight="1" thickBot="1" x14ac:dyDescent="0.3">
      <c r="A213" s="480"/>
      <c r="B213" s="506"/>
      <c r="C213" s="509"/>
      <c r="D213" s="47" t="s">
        <v>691</v>
      </c>
      <c r="E213" s="48" t="s">
        <v>33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143</v>
      </c>
      <c r="AI213" s="187">
        <v>41</v>
      </c>
    </row>
    <row r="214" spans="1:35" ht="15" customHeight="1" x14ac:dyDescent="0.25">
      <c r="A214" s="478">
        <v>42</v>
      </c>
      <c r="B214" s="504">
        <v>42</v>
      </c>
      <c r="C214" s="507" t="s">
        <v>571</v>
      </c>
      <c r="D214" s="43" t="s">
        <v>571</v>
      </c>
      <c r="E214" s="44" t="s">
        <v>29</v>
      </c>
      <c r="F214" s="223">
        <v>3</v>
      </c>
      <c r="G214" s="222">
        <v>3</v>
      </c>
      <c r="H214" s="222">
        <v>3</v>
      </c>
      <c r="I214" s="222">
        <v>3</v>
      </c>
      <c r="J214" s="222">
        <v>4</v>
      </c>
      <c r="K214" s="236">
        <v>4</v>
      </c>
      <c r="L214" s="222">
        <v>3</v>
      </c>
      <c r="M214" s="222">
        <v>3</v>
      </c>
      <c r="N214" s="222">
        <v>4</v>
      </c>
      <c r="O214" s="222">
        <v>4</v>
      </c>
      <c r="P214" s="236">
        <v>5</v>
      </c>
      <c r="Q214" s="238">
        <v>5</v>
      </c>
      <c r="R214" s="236">
        <v>4</v>
      </c>
      <c r="S214" s="222">
        <v>3</v>
      </c>
      <c r="T214" s="222">
        <v>3</v>
      </c>
      <c r="U214" s="236">
        <v>4</v>
      </c>
      <c r="V214" s="222">
        <v>3</v>
      </c>
      <c r="W214" s="381">
        <v>4</v>
      </c>
      <c r="X214" s="222">
        <v>3</v>
      </c>
      <c r="Y214" s="226"/>
      <c r="Z214" s="226"/>
      <c r="AA214" s="226"/>
      <c r="AB214" s="226"/>
      <c r="AC214" s="226"/>
      <c r="AD214" s="226"/>
      <c r="AE214" s="226"/>
      <c r="AF214" s="227"/>
      <c r="AG214" s="184">
        <v>68</v>
      </c>
      <c r="AH214" s="185">
        <v>68</v>
      </c>
      <c r="AI214" s="185">
        <v>39</v>
      </c>
    </row>
    <row r="215" spans="1:35" ht="15" customHeight="1" thickBot="1" x14ac:dyDescent="0.3">
      <c r="A215" s="479"/>
      <c r="B215" s="505"/>
      <c r="C215" s="508"/>
      <c r="D215" s="45" t="s">
        <v>571</v>
      </c>
      <c r="E215" s="46" t="s">
        <v>30</v>
      </c>
      <c r="F215" s="359">
        <v>4</v>
      </c>
      <c r="G215" s="237">
        <v>4</v>
      </c>
      <c r="H215" s="237">
        <v>4</v>
      </c>
      <c r="I215" s="225">
        <v>3</v>
      </c>
      <c r="J215" s="225">
        <v>4</v>
      </c>
      <c r="K215" s="239">
        <v>6</v>
      </c>
      <c r="L215" s="239">
        <v>5</v>
      </c>
      <c r="M215" s="225">
        <v>3</v>
      </c>
      <c r="N215" s="225">
        <v>4</v>
      </c>
      <c r="O215" s="237">
        <v>5</v>
      </c>
      <c r="P215" s="237">
        <v>5</v>
      </c>
      <c r="Q215" s="225">
        <v>3</v>
      </c>
      <c r="R215" s="225">
        <v>3</v>
      </c>
      <c r="S215" s="225">
        <v>3</v>
      </c>
      <c r="T215" s="225">
        <v>3</v>
      </c>
      <c r="U215" s="235">
        <v>2</v>
      </c>
      <c r="V215" s="239">
        <v>5</v>
      </c>
      <c r="W215" s="379">
        <v>6</v>
      </c>
      <c r="X215" s="237">
        <v>4</v>
      </c>
      <c r="Y215" s="228"/>
      <c r="Z215" s="228"/>
      <c r="AA215" s="228"/>
      <c r="AB215" s="228"/>
      <c r="AC215" s="228"/>
      <c r="AD215" s="228"/>
      <c r="AE215" s="228"/>
      <c r="AF215" s="229"/>
      <c r="AG215" s="166">
        <v>76</v>
      </c>
      <c r="AH215" s="186">
        <v>144</v>
      </c>
      <c r="AI215" s="186">
        <v>42</v>
      </c>
    </row>
    <row r="216" spans="1:35" ht="15" hidden="1" customHeight="1" x14ac:dyDescent="0.25">
      <c r="A216" s="479"/>
      <c r="B216" s="505"/>
      <c r="C216" s="508"/>
      <c r="D216" s="45" t="s">
        <v>571</v>
      </c>
      <c r="E216" s="46" t="s">
        <v>31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0</v>
      </c>
      <c r="AH216" s="186">
        <v>144</v>
      </c>
      <c r="AI216" s="186">
        <v>42</v>
      </c>
    </row>
    <row r="217" spans="1:35" ht="15.75" hidden="1" customHeight="1" x14ac:dyDescent="0.25">
      <c r="A217" s="479"/>
      <c r="B217" s="505"/>
      <c r="C217" s="508"/>
      <c r="D217" s="45" t="s">
        <v>571</v>
      </c>
      <c r="E217" s="46" t="s">
        <v>32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144</v>
      </c>
      <c r="AI217" s="186">
        <v>42</v>
      </c>
    </row>
    <row r="218" spans="1:35" ht="15.75" hidden="1" customHeight="1" thickBot="1" x14ac:dyDescent="0.3">
      <c r="A218" s="480"/>
      <c r="B218" s="506"/>
      <c r="C218" s="509"/>
      <c r="D218" s="47" t="s">
        <v>571</v>
      </c>
      <c r="E218" s="48" t="s">
        <v>33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144</v>
      </c>
      <c r="AI218" s="187">
        <v>42</v>
      </c>
    </row>
    <row r="219" spans="1:35" ht="15" customHeight="1" x14ac:dyDescent="0.25">
      <c r="A219" s="478">
        <v>43</v>
      </c>
      <c r="B219" s="504">
        <v>43</v>
      </c>
      <c r="C219" s="507" t="s">
        <v>486</v>
      </c>
      <c r="D219" s="43" t="s">
        <v>486</v>
      </c>
      <c r="E219" s="44" t="s">
        <v>29</v>
      </c>
      <c r="F219" s="223">
        <v>3</v>
      </c>
      <c r="G219" s="222">
        <v>3</v>
      </c>
      <c r="H219" s="236">
        <v>4</v>
      </c>
      <c r="I219" s="236">
        <v>4</v>
      </c>
      <c r="J219" s="236">
        <v>5</v>
      </c>
      <c r="K219" s="236">
        <v>4</v>
      </c>
      <c r="L219" s="236">
        <v>4</v>
      </c>
      <c r="M219" s="222">
        <v>3</v>
      </c>
      <c r="N219" s="238">
        <v>6</v>
      </c>
      <c r="O219" s="222">
        <v>4</v>
      </c>
      <c r="P219" s="238">
        <v>6</v>
      </c>
      <c r="Q219" s="238">
        <v>5</v>
      </c>
      <c r="R219" s="222">
        <v>3</v>
      </c>
      <c r="S219" s="222">
        <v>3</v>
      </c>
      <c r="T219" s="222">
        <v>3</v>
      </c>
      <c r="U219" s="222">
        <v>3</v>
      </c>
      <c r="V219" s="236">
        <v>4</v>
      </c>
      <c r="W219" s="381">
        <v>4</v>
      </c>
      <c r="X219" s="222">
        <v>3</v>
      </c>
      <c r="Y219" s="226"/>
      <c r="Z219" s="226"/>
      <c r="AA219" s="226"/>
      <c r="AB219" s="226"/>
      <c r="AC219" s="226"/>
      <c r="AD219" s="226"/>
      <c r="AE219" s="226"/>
      <c r="AF219" s="227"/>
      <c r="AG219" s="184">
        <v>74</v>
      </c>
      <c r="AH219" s="185">
        <v>74</v>
      </c>
      <c r="AI219" s="185">
        <v>49</v>
      </c>
    </row>
    <row r="220" spans="1:35" ht="15" customHeight="1" thickBot="1" x14ac:dyDescent="0.3">
      <c r="A220" s="479"/>
      <c r="B220" s="505"/>
      <c r="C220" s="508"/>
      <c r="D220" s="45" t="s">
        <v>486</v>
      </c>
      <c r="E220" s="46" t="s">
        <v>30</v>
      </c>
      <c r="F220" s="224">
        <v>3</v>
      </c>
      <c r="G220" s="225">
        <v>3</v>
      </c>
      <c r="H220" s="237">
        <v>4</v>
      </c>
      <c r="I220" s="225">
        <v>3</v>
      </c>
      <c r="J220" s="225">
        <v>4</v>
      </c>
      <c r="K220" s="239">
        <v>5</v>
      </c>
      <c r="L220" s="237">
        <v>4</v>
      </c>
      <c r="M220" s="225">
        <v>3</v>
      </c>
      <c r="N220" s="237">
        <v>5</v>
      </c>
      <c r="O220" s="237">
        <v>5</v>
      </c>
      <c r="P220" s="239">
        <v>6</v>
      </c>
      <c r="Q220" s="225">
        <v>3</v>
      </c>
      <c r="R220" s="225">
        <v>3</v>
      </c>
      <c r="S220" s="237">
        <v>4</v>
      </c>
      <c r="T220" s="237">
        <v>4</v>
      </c>
      <c r="U220" s="237">
        <v>4</v>
      </c>
      <c r="V220" s="225">
        <v>3</v>
      </c>
      <c r="W220" s="380">
        <v>2</v>
      </c>
      <c r="X220" s="225">
        <v>3</v>
      </c>
      <c r="Y220" s="228"/>
      <c r="Z220" s="228"/>
      <c r="AA220" s="228"/>
      <c r="AB220" s="228"/>
      <c r="AC220" s="228"/>
      <c r="AD220" s="228"/>
      <c r="AE220" s="228"/>
      <c r="AF220" s="229"/>
      <c r="AG220" s="166">
        <v>71</v>
      </c>
      <c r="AH220" s="186">
        <v>145</v>
      </c>
      <c r="AI220" s="186">
        <v>43</v>
      </c>
    </row>
    <row r="221" spans="1:35" ht="15" hidden="1" customHeight="1" x14ac:dyDescent="0.25">
      <c r="A221" s="479"/>
      <c r="B221" s="505"/>
      <c r="C221" s="508"/>
      <c r="D221" s="45" t="s">
        <v>486</v>
      </c>
      <c r="E221" s="46" t="s">
        <v>31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0</v>
      </c>
      <c r="AH221" s="186">
        <v>145</v>
      </c>
      <c r="AI221" s="186">
        <v>43</v>
      </c>
    </row>
    <row r="222" spans="1:35" ht="15.75" hidden="1" customHeight="1" x14ac:dyDescent="0.25">
      <c r="A222" s="479"/>
      <c r="B222" s="505"/>
      <c r="C222" s="508"/>
      <c r="D222" s="45" t="s">
        <v>486</v>
      </c>
      <c r="E222" s="46" t="s">
        <v>32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145</v>
      </c>
      <c r="AI222" s="186">
        <v>43</v>
      </c>
    </row>
    <row r="223" spans="1:35" ht="15.75" hidden="1" customHeight="1" thickBot="1" x14ac:dyDescent="0.3">
      <c r="A223" s="480"/>
      <c r="B223" s="506"/>
      <c r="C223" s="509"/>
      <c r="D223" s="47" t="s">
        <v>486</v>
      </c>
      <c r="E223" s="48" t="s">
        <v>33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145</v>
      </c>
      <c r="AI223" s="187">
        <v>43</v>
      </c>
    </row>
    <row r="224" spans="1:35" ht="15" customHeight="1" x14ac:dyDescent="0.25">
      <c r="A224" s="478">
        <v>44</v>
      </c>
      <c r="B224" s="504">
        <v>44</v>
      </c>
      <c r="C224" s="507" t="s">
        <v>13</v>
      </c>
      <c r="D224" s="43" t="s">
        <v>13</v>
      </c>
      <c r="E224" s="44" t="s">
        <v>29</v>
      </c>
      <c r="F224" s="358">
        <v>4</v>
      </c>
      <c r="G224" s="222">
        <v>3</v>
      </c>
      <c r="H224" s="222">
        <v>3</v>
      </c>
      <c r="I224" s="238">
        <v>5</v>
      </c>
      <c r="J224" s="238">
        <v>6</v>
      </c>
      <c r="K224" s="222">
        <v>3</v>
      </c>
      <c r="L224" s="222">
        <v>3</v>
      </c>
      <c r="M224" s="222">
        <v>3</v>
      </c>
      <c r="N224" s="236">
        <v>5</v>
      </c>
      <c r="O224" s="238">
        <v>6</v>
      </c>
      <c r="P224" s="236">
        <v>5</v>
      </c>
      <c r="Q224" s="238">
        <v>5</v>
      </c>
      <c r="R224" s="222">
        <v>3</v>
      </c>
      <c r="S224" s="236">
        <v>4</v>
      </c>
      <c r="T224" s="222">
        <v>3</v>
      </c>
      <c r="U224" s="222">
        <v>3</v>
      </c>
      <c r="V224" s="236">
        <v>4</v>
      </c>
      <c r="W224" s="387">
        <v>2</v>
      </c>
      <c r="X224" s="236">
        <v>4</v>
      </c>
      <c r="Y224" s="226"/>
      <c r="Z224" s="226"/>
      <c r="AA224" s="226"/>
      <c r="AB224" s="226"/>
      <c r="AC224" s="226"/>
      <c r="AD224" s="226"/>
      <c r="AE224" s="226"/>
      <c r="AF224" s="227"/>
      <c r="AG224" s="184">
        <v>74</v>
      </c>
      <c r="AH224" s="185">
        <v>74</v>
      </c>
      <c r="AI224" s="185">
        <v>49</v>
      </c>
    </row>
    <row r="225" spans="1:35" ht="15" customHeight="1" thickBot="1" x14ac:dyDescent="0.3">
      <c r="A225" s="479"/>
      <c r="B225" s="505"/>
      <c r="C225" s="508"/>
      <c r="D225" s="45" t="s">
        <v>13</v>
      </c>
      <c r="E225" s="46" t="s">
        <v>30</v>
      </c>
      <c r="F225" s="240">
        <v>2</v>
      </c>
      <c r="G225" s="225">
        <v>3</v>
      </c>
      <c r="H225" s="237">
        <v>4</v>
      </c>
      <c r="I225" s="225">
        <v>3</v>
      </c>
      <c r="J225" s="237">
        <v>5</v>
      </c>
      <c r="K225" s="237">
        <v>4</v>
      </c>
      <c r="L225" s="237">
        <v>4</v>
      </c>
      <c r="M225" s="225">
        <v>3</v>
      </c>
      <c r="N225" s="239">
        <v>6</v>
      </c>
      <c r="O225" s="225">
        <v>4</v>
      </c>
      <c r="P225" s="237">
        <v>5</v>
      </c>
      <c r="Q225" s="237">
        <v>4</v>
      </c>
      <c r="R225" s="235">
        <v>2</v>
      </c>
      <c r="S225" s="225">
        <v>3</v>
      </c>
      <c r="T225" s="225">
        <v>3</v>
      </c>
      <c r="U225" s="225">
        <v>3</v>
      </c>
      <c r="V225" s="237">
        <v>4</v>
      </c>
      <c r="W225" s="379">
        <v>6</v>
      </c>
      <c r="X225" s="237">
        <v>4</v>
      </c>
      <c r="Y225" s="228"/>
      <c r="Z225" s="228"/>
      <c r="AA225" s="228"/>
      <c r="AB225" s="228"/>
      <c r="AC225" s="228"/>
      <c r="AD225" s="228"/>
      <c r="AE225" s="228"/>
      <c r="AF225" s="229"/>
      <c r="AG225" s="166">
        <v>72</v>
      </c>
      <c r="AH225" s="186">
        <v>146</v>
      </c>
      <c r="AI225" s="186">
        <v>44</v>
      </c>
    </row>
    <row r="226" spans="1:35" ht="15" hidden="1" customHeight="1" x14ac:dyDescent="0.25">
      <c r="A226" s="479"/>
      <c r="B226" s="505"/>
      <c r="C226" s="508"/>
      <c r="D226" s="45" t="s">
        <v>13</v>
      </c>
      <c r="E226" s="46" t="s">
        <v>31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0</v>
      </c>
      <c r="AH226" s="186">
        <v>146</v>
      </c>
      <c r="AI226" s="186">
        <v>44</v>
      </c>
    </row>
    <row r="227" spans="1:35" ht="15.75" hidden="1" customHeight="1" x14ac:dyDescent="0.25">
      <c r="A227" s="479"/>
      <c r="B227" s="505"/>
      <c r="C227" s="508"/>
      <c r="D227" s="45" t="s">
        <v>13</v>
      </c>
      <c r="E227" s="46" t="s">
        <v>32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146</v>
      </c>
      <c r="AI227" s="186">
        <v>44</v>
      </c>
    </row>
    <row r="228" spans="1:35" ht="15.75" hidden="1" customHeight="1" thickBot="1" x14ac:dyDescent="0.3">
      <c r="A228" s="480"/>
      <c r="B228" s="506"/>
      <c r="C228" s="509"/>
      <c r="D228" s="47" t="s">
        <v>13</v>
      </c>
      <c r="E228" s="48" t="s">
        <v>33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146</v>
      </c>
      <c r="AI228" s="187">
        <v>44</v>
      </c>
    </row>
    <row r="229" spans="1:35" ht="15" customHeight="1" x14ac:dyDescent="0.25">
      <c r="A229" s="478">
        <v>45</v>
      </c>
      <c r="B229" s="504">
        <v>44</v>
      </c>
      <c r="C229" s="507" t="s">
        <v>456</v>
      </c>
      <c r="D229" s="43" t="s">
        <v>456</v>
      </c>
      <c r="E229" s="44" t="s">
        <v>29</v>
      </c>
      <c r="F229" s="223">
        <v>3</v>
      </c>
      <c r="G229" s="236">
        <v>4</v>
      </c>
      <c r="H229" s="236">
        <v>4</v>
      </c>
      <c r="I229" s="236">
        <v>4</v>
      </c>
      <c r="J229" s="241">
        <v>3</v>
      </c>
      <c r="K229" s="238">
        <v>5</v>
      </c>
      <c r="L229" s="222">
        <v>3</v>
      </c>
      <c r="M229" s="222">
        <v>3</v>
      </c>
      <c r="N229" s="238">
        <v>6</v>
      </c>
      <c r="O229" s="222">
        <v>4</v>
      </c>
      <c r="P229" s="236">
        <v>5</v>
      </c>
      <c r="Q229" s="222">
        <v>3</v>
      </c>
      <c r="R229" s="222">
        <v>3</v>
      </c>
      <c r="S229" s="238">
        <v>5</v>
      </c>
      <c r="T229" s="222">
        <v>3</v>
      </c>
      <c r="U229" s="222">
        <v>3</v>
      </c>
      <c r="V229" s="238">
        <v>5</v>
      </c>
      <c r="W229" s="381">
        <v>4</v>
      </c>
      <c r="X229" s="236">
        <v>4</v>
      </c>
      <c r="Y229" s="226"/>
      <c r="Z229" s="226"/>
      <c r="AA229" s="226"/>
      <c r="AB229" s="226"/>
      <c r="AC229" s="226"/>
      <c r="AD229" s="226"/>
      <c r="AE229" s="226"/>
      <c r="AF229" s="227"/>
      <c r="AG229" s="184">
        <v>74</v>
      </c>
      <c r="AH229" s="185">
        <v>74</v>
      </c>
      <c r="AI229" s="185">
        <v>49</v>
      </c>
    </row>
    <row r="230" spans="1:35" ht="15" customHeight="1" thickBot="1" x14ac:dyDescent="0.3">
      <c r="A230" s="479"/>
      <c r="B230" s="505"/>
      <c r="C230" s="508"/>
      <c r="D230" s="45" t="s">
        <v>456</v>
      </c>
      <c r="E230" s="46" t="s">
        <v>30</v>
      </c>
      <c r="F230" s="359">
        <v>4</v>
      </c>
      <c r="G230" s="239">
        <v>5</v>
      </c>
      <c r="H230" s="225">
        <v>3</v>
      </c>
      <c r="I230" s="237">
        <v>4</v>
      </c>
      <c r="J230" s="237">
        <v>5</v>
      </c>
      <c r="K230" s="237">
        <v>4</v>
      </c>
      <c r="L230" s="235">
        <v>2</v>
      </c>
      <c r="M230" s="237">
        <v>4</v>
      </c>
      <c r="N230" s="237">
        <v>5</v>
      </c>
      <c r="O230" s="225">
        <v>4</v>
      </c>
      <c r="P230" s="237">
        <v>5</v>
      </c>
      <c r="Q230" s="225">
        <v>3</v>
      </c>
      <c r="R230" s="225">
        <v>3</v>
      </c>
      <c r="S230" s="225">
        <v>3</v>
      </c>
      <c r="T230" s="225">
        <v>3</v>
      </c>
      <c r="U230" s="225">
        <v>3</v>
      </c>
      <c r="V230" s="237">
        <v>4</v>
      </c>
      <c r="W230" s="379">
        <v>5</v>
      </c>
      <c r="X230" s="225">
        <v>3</v>
      </c>
      <c r="Y230" s="228"/>
      <c r="Z230" s="228"/>
      <c r="AA230" s="228"/>
      <c r="AB230" s="228"/>
      <c r="AC230" s="228"/>
      <c r="AD230" s="228"/>
      <c r="AE230" s="228"/>
      <c r="AF230" s="229"/>
      <c r="AG230" s="166">
        <v>72</v>
      </c>
      <c r="AH230" s="186">
        <v>146</v>
      </c>
      <c r="AI230" s="186">
        <v>44</v>
      </c>
    </row>
    <row r="231" spans="1:35" ht="15" hidden="1" customHeight="1" x14ac:dyDescent="0.25">
      <c r="A231" s="479"/>
      <c r="B231" s="505"/>
      <c r="C231" s="508"/>
      <c r="D231" s="45" t="s">
        <v>456</v>
      </c>
      <c r="E231" s="46" t="s">
        <v>31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0</v>
      </c>
      <c r="AH231" s="186">
        <v>146</v>
      </c>
      <c r="AI231" s="186">
        <v>44</v>
      </c>
    </row>
    <row r="232" spans="1:35" ht="15.75" hidden="1" customHeight="1" x14ac:dyDescent="0.25">
      <c r="A232" s="479"/>
      <c r="B232" s="505"/>
      <c r="C232" s="508"/>
      <c r="D232" s="45" t="s">
        <v>456</v>
      </c>
      <c r="E232" s="46" t="s">
        <v>32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146</v>
      </c>
      <c r="AI232" s="186">
        <v>44</v>
      </c>
    </row>
    <row r="233" spans="1:35" ht="15.75" hidden="1" customHeight="1" thickBot="1" x14ac:dyDescent="0.3">
      <c r="A233" s="480"/>
      <c r="B233" s="506"/>
      <c r="C233" s="509"/>
      <c r="D233" s="47" t="s">
        <v>456</v>
      </c>
      <c r="E233" s="48" t="s">
        <v>33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146</v>
      </c>
      <c r="AI233" s="187">
        <v>44</v>
      </c>
    </row>
    <row r="234" spans="1:35" ht="15" customHeight="1" x14ac:dyDescent="0.25">
      <c r="A234" s="478">
        <v>46</v>
      </c>
      <c r="B234" s="504">
        <v>44</v>
      </c>
      <c r="C234" s="507" t="s">
        <v>577</v>
      </c>
      <c r="D234" s="43" t="s">
        <v>577</v>
      </c>
      <c r="E234" s="44" t="s">
        <v>29</v>
      </c>
      <c r="F234" s="223">
        <v>3</v>
      </c>
      <c r="G234" s="236">
        <v>4</v>
      </c>
      <c r="H234" s="236">
        <v>4</v>
      </c>
      <c r="I234" s="236">
        <v>4</v>
      </c>
      <c r="J234" s="222">
        <v>4</v>
      </c>
      <c r="K234" s="236">
        <v>4</v>
      </c>
      <c r="L234" s="236">
        <v>4</v>
      </c>
      <c r="M234" s="236">
        <v>4</v>
      </c>
      <c r="N234" s="222">
        <v>4</v>
      </c>
      <c r="O234" s="236">
        <v>5</v>
      </c>
      <c r="P234" s="236">
        <v>5</v>
      </c>
      <c r="Q234" s="222">
        <v>3</v>
      </c>
      <c r="R234" s="222">
        <v>3</v>
      </c>
      <c r="S234" s="238">
        <v>5</v>
      </c>
      <c r="T234" s="222">
        <v>3</v>
      </c>
      <c r="U234" s="222">
        <v>3</v>
      </c>
      <c r="V234" s="236">
        <v>4</v>
      </c>
      <c r="W234" s="387">
        <v>2</v>
      </c>
      <c r="X234" s="222">
        <v>3</v>
      </c>
      <c r="Y234" s="226"/>
      <c r="Z234" s="226"/>
      <c r="AA234" s="226"/>
      <c r="AB234" s="226"/>
      <c r="AC234" s="226"/>
      <c r="AD234" s="226"/>
      <c r="AE234" s="226"/>
      <c r="AF234" s="227"/>
      <c r="AG234" s="184">
        <v>71</v>
      </c>
      <c r="AH234" s="185">
        <v>71</v>
      </c>
      <c r="AI234" s="185">
        <v>45</v>
      </c>
    </row>
    <row r="235" spans="1:35" ht="15" customHeight="1" thickBot="1" x14ac:dyDescent="0.3">
      <c r="A235" s="479"/>
      <c r="B235" s="505"/>
      <c r="C235" s="508"/>
      <c r="D235" s="45" t="s">
        <v>577</v>
      </c>
      <c r="E235" s="46" t="s">
        <v>30</v>
      </c>
      <c r="F235" s="360">
        <v>5</v>
      </c>
      <c r="G235" s="225">
        <v>3</v>
      </c>
      <c r="H235" s="239">
        <v>5</v>
      </c>
      <c r="I235" s="225">
        <v>3</v>
      </c>
      <c r="J235" s="225">
        <v>4</v>
      </c>
      <c r="K235" s="237">
        <v>4</v>
      </c>
      <c r="L235" s="237">
        <v>4</v>
      </c>
      <c r="M235" s="225">
        <v>3</v>
      </c>
      <c r="N235" s="225">
        <v>4</v>
      </c>
      <c r="O235" s="225">
        <v>4</v>
      </c>
      <c r="P235" s="237">
        <v>5</v>
      </c>
      <c r="Q235" s="239">
        <v>5</v>
      </c>
      <c r="R235" s="225">
        <v>3</v>
      </c>
      <c r="S235" s="237">
        <v>4</v>
      </c>
      <c r="T235" s="225">
        <v>3</v>
      </c>
      <c r="U235" s="225">
        <v>3</v>
      </c>
      <c r="V235" s="225">
        <v>3</v>
      </c>
      <c r="W235" s="379">
        <v>6</v>
      </c>
      <c r="X235" s="237">
        <v>4</v>
      </c>
      <c r="Y235" s="228"/>
      <c r="Z235" s="228"/>
      <c r="AA235" s="228"/>
      <c r="AB235" s="228"/>
      <c r="AC235" s="228"/>
      <c r="AD235" s="228"/>
      <c r="AE235" s="228"/>
      <c r="AF235" s="229"/>
      <c r="AG235" s="166">
        <v>75</v>
      </c>
      <c r="AH235" s="186">
        <v>146</v>
      </c>
      <c r="AI235" s="186">
        <v>44</v>
      </c>
    </row>
    <row r="236" spans="1:35" ht="15" hidden="1" customHeight="1" x14ac:dyDescent="0.25">
      <c r="A236" s="479"/>
      <c r="B236" s="505"/>
      <c r="C236" s="508"/>
      <c r="D236" s="45" t="s">
        <v>577</v>
      </c>
      <c r="E236" s="46" t="s">
        <v>31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0</v>
      </c>
      <c r="AH236" s="186">
        <v>146</v>
      </c>
      <c r="AI236" s="186">
        <v>44</v>
      </c>
    </row>
    <row r="237" spans="1:35" ht="15.75" hidden="1" customHeight="1" x14ac:dyDescent="0.25">
      <c r="A237" s="479"/>
      <c r="B237" s="505"/>
      <c r="C237" s="508"/>
      <c r="D237" s="45" t="s">
        <v>577</v>
      </c>
      <c r="E237" s="46" t="s">
        <v>32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146</v>
      </c>
      <c r="AI237" s="186">
        <v>44</v>
      </c>
    </row>
    <row r="238" spans="1:35" ht="15.75" hidden="1" customHeight="1" thickBot="1" x14ac:dyDescent="0.3">
      <c r="A238" s="480"/>
      <c r="B238" s="506"/>
      <c r="C238" s="509"/>
      <c r="D238" s="47" t="s">
        <v>577</v>
      </c>
      <c r="E238" s="48" t="s">
        <v>33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146</v>
      </c>
      <c r="AI238" s="187">
        <v>44</v>
      </c>
    </row>
    <row r="239" spans="1:35" ht="15" customHeight="1" x14ac:dyDescent="0.25">
      <c r="A239" s="478">
        <v>47</v>
      </c>
      <c r="B239" s="504">
        <v>44</v>
      </c>
      <c r="C239" s="507" t="s">
        <v>714</v>
      </c>
      <c r="D239" s="43" t="s">
        <v>714</v>
      </c>
      <c r="E239" s="44" t="s">
        <v>29</v>
      </c>
      <c r="F239" s="223">
        <v>3</v>
      </c>
      <c r="G239" s="236">
        <v>4</v>
      </c>
      <c r="H239" s="241">
        <v>2</v>
      </c>
      <c r="I239" s="222">
        <v>3</v>
      </c>
      <c r="J239" s="222">
        <v>4</v>
      </c>
      <c r="K239" s="222">
        <v>3</v>
      </c>
      <c r="L239" s="222">
        <v>3</v>
      </c>
      <c r="M239" s="222">
        <v>3</v>
      </c>
      <c r="N239" s="236">
        <v>5</v>
      </c>
      <c r="O239" s="236">
        <v>5</v>
      </c>
      <c r="P239" s="236">
        <v>5</v>
      </c>
      <c r="Q239" s="236">
        <v>4</v>
      </c>
      <c r="R239" s="222">
        <v>3</v>
      </c>
      <c r="S239" s="236">
        <v>4</v>
      </c>
      <c r="T239" s="236">
        <v>4</v>
      </c>
      <c r="U239" s="222">
        <v>3</v>
      </c>
      <c r="V239" s="236">
        <v>4</v>
      </c>
      <c r="W239" s="387">
        <v>2</v>
      </c>
      <c r="X239" s="238">
        <v>5</v>
      </c>
      <c r="Y239" s="226"/>
      <c r="Z239" s="226"/>
      <c r="AA239" s="226"/>
      <c r="AB239" s="226"/>
      <c r="AC239" s="226"/>
      <c r="AD239" s="226"/>
      <c r="AE239" s="226"/>
      <c r="AF239" s="227"/>
      <c r="AG239" s="184">
        <v>69</v>
      </c>
      <c r="AH239" s="185">
        <v>69</v>
      </c>
      <c r="AI239" s="185">
        <v>41</v>
      </c>
    </row>
    <row r="240" spans="1:35" ht="15" customHeight="1" thickBot="1" x14ac:dyDescent="0.3">
      <c r="A240" s="479"/>
      <c r="B240" s="505"/>
      <c r="C240" s="508"/>
      <c r="D240" s="45" t="s">
        <v>714</v>
      </c>
      <c r="E240" s="46" t="s">
        <v>30</v>
      </c>
      <c r="F240" s="359">
        <v>4</v>
      </c>
      <c r="G240" s="237">
        <v>4</v>
      </c>
      <c r="H240" s="225">
        <v>3</v>
      </c>
      <c r="I240" s="225">
        <v>3</v>
      </c>
      <c r="J240" s="239">
        <v>6</v>
      </c>
      <c r="K240" s="237">
        <v>4</v>
      </c>
      <c r="L240" s="225">
        <v>3</v>
      </c>
      <c r="M240" s="225">
        <v>3</v>
      </c>
      <c r="N240" s="237">
        <v>5</v>
      </c>
      <c r="O240" s="225">
        <v>4</v>
      </c>
      <c r="P240" s="239">
        <v>7</v>
      </c>
      <c r="Q240" s="225">
        <v>3</v>
      </c>
      <c r="R240" s="237">
        <v>4</v>
      </c>
      <c r="S240" s="225">
        <v>3</v>
      </c>
      <c r="T240" s="239">
        <v>5</v>
      </c>
      <c r="U240" s="225">
        <v>3</v>
      </c>
      <c r="V240" s="239">
        <v>5</v>
      </c>
      <c r="W240" s="378">
        <v>4</v>
      </c>
      <c r="X240" s="237">
        <v>4</v>
      </c>
      <c r="Y240" s="228"/>
      <c r="Z240" s="228"/>
      <c r="AA240" s="228"/>
      <c r="AB240" s="228"/>
      <c r="AC240" s="228"/>
      <c r="AD240" s="228"/>
      <c r="AE240" s="228"/>
      <c r="AF240" s="229"/>
      <c r="AG240" s="166">
        <v>77</v>
      </c>
      <c r="AH240" s="186">
        <v>146</v>
      </c>
      <c r="AI240" s="186">
        <v>44</v>
      </c>
    </row>
    <row r="241" spans="1:35" ht="15" hidden="1" customHeight="1" x14ac:dyDescent="0.25">
      <c r="A241" s="479"/>
      <c r="B241" s="505"/>
      <c r="C241" s="508"/>
      <c r="D241" s="45" t="s">
        <v>714</v>
      </c>
      <c r="E241" s="46" t="s">
        <v>31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146</v>
      </c>
      <c r="AI241" s="186">
        <v>44</v>
      </c>
    </row>
    <row r="242" spans="1:35" ht="15.75" hidden="1" customHeight="1" x14ac:dyDescent="0.25">
      <c r="A242" s="479"/>
      <c r="B242" s="505"/>
      <c r="C242" s="508"/>
      <c r="D242" s="45" t="s">
        <v>714</v>
      </c>
      <c r="E242" s="46" t="s">
        <v>32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146</v>
      </c>
      <c r="AI242" s="186">
        <v>44</v>
      </c>
    </row>
    <row r="243" spans="1:35" ht="15.75" hidden="1" customHeight="1" thickBot="1" x14ac:dyDescent="0.3">
      <c r="A243" s="480"/>
      <c r="B243" s="506"/>
      <c r="C243" s="509"/>
      <c r="D243" s="47" t="s">
        <v>714</v>
      </c>
      <c r="E243" s="48" t="s">
        <v>33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146</v>
      </c>
      <c r="AI243" s="187">
        <v>44</v>
      </c>
    </row>
    <row r="244" spans="1:35" ht="15" customHeight="1" x14ac:dyDescent="0.25">
      <c r="A244" s="478">
        <v>48</v>
      </c>
      <c r="B244" s="504">
        <v>48</v>
      </c>
      <c r="C244" s="507" t="s">
        <v>411</v>
      </c>
      <c r="D244" s="43" t="s">
        <v>411</v>
      </c>
      <c r="E244" s="44" t="s">
        <v>29</v>
      </c>
      <c r="F244" s="386">
        <v>5</v>
      </c>
      <c r="G244" s="241">
        <v>2</v>
      </c>
      <c r="H244" s="236">
        <v>4</v>
      </c>
      <c r="I244" s="236">
        <v>4</v>
      </c>
      <c r="J244" s="236">
        <v>5</v>
      </c>
      <c r="K244" s="222">
        <v>3</v>
      </c>
      <c r="L244" s="222">
        <v>3</v>
      </c>
      <c r="M244" s="222">
        <v>3</v>
      </c>
      <c r="N244" s="238">
        <v>6</v>
      </c>
      <c r="O244" s="222">
        <v>4</v>
      </c>
      <c r="P244" s="236">
        <v>5</v>
      </c>
      <c r="Q244" s="238">
        <v>6</v>
      </c>
      <c r="R244" s="238">
        <v>5</v>
      </c>
      <c r="S244" s="222">
        <v>3</v>
      </c>
      <c r="T244" s="236">
        <v>4</v>
      </c>
      <c r="U244" s="222">
        <v>3</v>
      </c>
      <c r="V244" s="236">
        <v>4</v>
      </c>
      <c r="W244" s="387">
        <v>2</v>
      </c>
      <c r="X244" s="222">
        <v>3</v>
      </c>
      <c r="Y244" s="226"/>
      <c r="Z244" s="226"/>
      <c r="AA244" s="226"/>
      <c r="AB244" s="226"/>
      <c r="AC244" s="226"/>
      <c r="AD244" s="226"/>
      <c r="AE244" s="226"/>
      <c r="AF244" s="227"/>
      <c r="AG244" s="184">
        <v>74</v>
      </c>
      <c r="AH244" s="185">
        <v>74</v>
      </c>
      <c r="AI244" s="185">
        <v>49</v>
      </c>
    </row>
    <row r="245" spans="1:35" ht="15" customHeight="1" thickBot="1" x14ac:dyDescent="0.3">
      <c r="A245" s="479"/>
      <c r="B245" s="505"/>
      <c r="C245" s="508"/>
      <c r="D245" s="45" t="s">
        <v>411</v>
      </c>
      <c r="E245" s="46" t="s">
        <v>30</v>
      </c>
      <c r="F245" s="359">
        <v>4</v>
      </c>
      <c r="G245" s="225">
        <v>3</v>
      </c>
      <c r="H245" s="237">
        <v>4</v>
      </c>
      <c r="I245" s="225">
        <v>3</v>
      </c>
      <c r="J245" s="237">
        <v>5</v>
      </c>
      <c r="K245" s="239">
        <v>5</v>
      </c>
      <c r="L245" s="239">
        <v>5</v>
      </c>
      <c r="M245" s="225">
        <v>3</v>
      </c>
      <c r="N245" s="225">
        <v>4</v>
      </c>
      <c r="O245" s="235">
        <v>3</v>
      </c>
      <c r="P245" s="237">
        <v>5</v>
      </c>
      <c r="Q245" s="225">
        <v>3</v>
      </c>
      <c r="R245" s="239">
        <v>5</v>
      </c>
      <c r="S245" s="225">
        <v>3</v>
      </c>
      <c r="T245" s="225">
        <v>3</v>
      </c>
      <c r="U245" s="225">
        <v>3</v>
      </c>
      <c r="V245" s="239">
        <v>5</v>
      </c>
      <c r="W245" s="378">
        <v>4</v>
      </c>
      <c r="X245" s="225">
        <v>3</v>
      </c>
      <c r="Y245" s="228"/>
      <c r="Z245" s="228"/>
      <c r="AA245" s="228"/>
      <c r="AB245" s="228"/>
      <c r="AC245" s="228"/>
      <c r="AD245" s="228"/>
      <c r="AE245" s="228"/>
      <c r="AF245" s="229"/>
      <c r="AG245" s="166">
        <v>73</v>
      </c>
      <c r="AH245" s="186">
        <v>147</v>
      </c>
      <c r="AI245" s="186">
        <v>48</v>
      </c>
    </row>
    <row r="246" spans="1:35" ht="15" hidden="1" customHeight="1" x14ac:dyDescent="0.25">
      <c r="A246" s="479"/>
      <c r="B246" s="505"/>
      <c r="C246" s="508"/>
      <c r="D246" s="45" t="s">
        <v>411</v>
      </c>
      <c r="E246" s="46" t="s">
        <v>31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147</v>
      </c>
      <c r="AI246" s="186">
        <v>48</v>
      </c>
    </row>
    <row r="247" spans="1:35" ht="15.75" hidden="1" customHeight="1" x14ac:dyDescent="0.25">
      <c r="A247" s="479"/>
      <c r="B247" s="505"/>
      <c r="C247" s="508"/>
      <c r="D247" s="45" t="s">
        <v>411</v>
      </c>
      <c r="E247" s="46" t="s">
        <v>32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147</v>
      </c>
      <c r="AI247" s="186">
        <v>48</v>
      </c>
    </row>
    <row r="248" spans="1:35" ht="15.75" hidden="1" customHeight="1" thickBot="1" x14ac:dyDescent="0.3">
      <c r="A248" s="480"/>
      <c r="B248" s="506"/>
      <c r="C248" s="509"/>
      <c r="D248" s="47" t="s">
        <v>411</v>
      </c>
      <c r="E248" s="48" t="s">
        <v>33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147</v>
      </c>
      <c r="AI248" s="187">
        <v>48</v>
      </c>
    </row>
    <row r="249" spans="1:35" ht="15" customHeight="1" x14ac:dyDescent="0.25">
      <c r="A249" s="478">
        <v>49</v>
      </c>
      <c r="B249" s="504">
        <v>48</v>
      </c>
      <c r="C249" s="507" t="s">
        <v>447</v>
      </c>
      <c r="D249" s="43" t="s">
        <v>447</v>
      </c>
      <c r="E249" s="44" t="s">
        <v>29</v>
      </c>
      <c r="F249" s="223">
        <v>3</v>
      </c>
      <c r="G249" s="236">
        <v>4</v>
      </c>
      <c r="H249" s="222">
        <v>3</v>
      </c>
      <c r="I249" s="222">
        <v>3</v>
      </c>
      <c r="J249" s="222">
        <v>4</v>
      </c>
      <c r="K249" s="222">
        <v>3</v>
      </c>
      <c r="L249" s="222">
        <v>3</v>
      </c>
      <c r="M249" s="236">
        <v>4</v>
      </c>
      <c r="N249" s="222">
        <v>4</v>
      </c>
      <c r="O249" s="238">
        <v>6</v>
      </c>
      <c r="P249" s="236">
        <v>5</v>
      </c>
      <c r="Q249" s="236">
        <v>4</v>
      </c>
      <c r="R249" s="222">
        <v>3</v>
      </c>
      <c r="S249" s="238">
        <v>6</v>
      </c>
      <c r="T249" s="236">
        <v>4</v>
      </c>
      <c r="U249" s="222">
        <v>3</v>
      </c>
      <c r="V249" s="236">
        <v>4</v>
      </c>
      <c r="W249" s="382">
        <v>5</v>
      </c>
      <c r="X249" s="222">
        <v>3</v>
      </c>
      <c r="Y249" s="226"/>
      <c r="Z249" s="226"/>
      <c r="AA249" s="226"/>
      <c r="AB249" s="226"/>
      <c r="AC249" s="226"/>
      <c r="AD249" s="226"/>
      <c r="AE249" s="226"/>
      <c r="AF249" s="227"/>
      <c r="AG249" s="184">
        <v>74</v>
      </c>
      <c r="AH249" s="185">
        <v>74</v>
      </c>
      <c r="AI249" s="185">
        <v>49</v>
      </c>
    </row>
    <row r="250" spans="1:35" ht="15" customHeight="1" thickBot="1" x14ac:dyDescent="0.3">
      <c r="A250" s="479"/>
      <c r="B250" s="505"/>
      <c r="C250" s="508"/>
      <c r="D250" s="45" t="s">
        <v>447</v>
      </c>
      <c r="E250" s="46" t="s">
        <v>30</v>
      </c>
      <c r="F250" s="359">
        <v>4</v>
      </c>
      <c r="G250" s="237">
        <v>4</v>
      </c>
      <c r="H250" s="237">
        <v>4</v>
      </c>
      <c r="I250" s="239">
        <v>5</v>
      </c>
      <c r="J250" s="225">
        <v>4</v>
      </c>
      <c r="K250" s="237">
        <v>4</v>
      </c>
      <c r="L250" s="237">
        <v>4</v>
      </c>
      <c r="M250" s="225">
        <v>3</v>
      </c>
      <c r="N250" s="225">
        <v>4</v>
      </c>
      <c r="O250" s="237">
        <v>5</v>
      </c>
      <c r="P250" s="237">
        <v>5</v>
      </c>
      <c r="Q250" s="237">
        <v>4</v>
      </c>
      <c r="R250" s="225">
        <v>3</v>
      </c>
      <c r="S250" s="225">
        <v>3</v>
      </c>
      <c r="T250" s="225">
        <v>3</v>
      </c>
      <c r="U250" s="225">
        <v>3</v>
      </c>
      <c r="V250" s="225">
        <v>3</v>
      </c>
      <c r="W250" s="378">
        <v>4</v>
      </c>
      <c r="X250" s="237">
        <v>4</v>
      </c>
      <c r="Y250" s="228"/>
      <c r="Z250" s="228"/>
      <c r="AA250" s="228"/>
      <c r="AB250" s="228"/>
      <c r="AC250" s="228"/>
      <c r="AD250" s="228"/>
      <c r="AE250" s="228"/>
      <c r="AF250" s="229"/>
      <c r="AG250" s="166">
        <v>73</v>
      </c>
      <c r="AH250" s="186">
        <v>147</v>
      </c>
      <c r="AI250" s="186">
        <v>48</v>
      </c>
    </row>
    <row r="251" spans="1:35" ht="15" hidden="1" customHeight="1" x14ac:dyDescent="0.25">
      <c r="A251" s="479"/>
      <c r="B251" s="505"/>
      <c r="C251" s="508"/>
      <c r="D251" s="45" t="s">
        <v>447</v>
      </c>
      <c r="E251" s="46" t="s">
        <v>31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147</v>
      </c>
      <c r="AI251" s="186">
        <v>48</v>
      </c>
    </row>
    <row r="252" spans="1:35" ht="15.75" hidden="1" customHeight="1" x14ac:dyDescent="0.25">
      <c r="A252" s="479"/>
      <c r="B252" s="505"/>
      <c r="C252" s="508"/>
      <c r="D252" s="45" t="s">
        <v>447</v>
      </c>
      <c r="E252" s="46" t="s">
        <v>32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147</v>
      </c>
      <c r="AI252" s="186">
        <v>48</v>
      </c>
    </row>
    <row r="253" spans="1:35" ht="15.75" hidden="1" customHeight="1" thickBot="1" x14ac:dyDescent="0.3">
      <c r="A253" s="480"/>
      <c r="B253" s="506"/>
      <c r="C253" s="509"/>
      <c r="D253" s="47" t="s">
        <v>447</v>
      </c>
      <c r="E253" s="48" t="s">
        <v>33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147</v>
      </c>
      <c r="AI253" s="187">
        <v>48</v>
      </c>
    </row>
    <row r="254" spans="1:35" ht="15" customHeight="1" x14ac:dyDescent="0.25">
      <c r="A254" s="478">
        <v>50</v>
      </c>
      <c r="B254" s="504">
        <v>48</v>
      </c>
      <c r="C254" s="507" t="s">
        <v>408</v>
      </c>
      <c r="D254" s="43" t="s">
        <v>408</v>
      </c>
      <c r="E254" s="44" t="s">
        <v>29</v>
      </c>
      <c r="F254" s="223">
        <v>3</v>
      </c>
      <c r="G254" s="222">
        <v>3</v>
      </c>
      <c r="H254" s="236">
        <v>4</v>
      </c>
      <c r="I254" s="241">
        <v>2</v>
      </c>
      <c r="J254" s="241">
        <v>3</v>
      </c>
      <c r="K254" s="236">
        <v>4</v>
      </c>
      <c r="L254" s="222">
        <v>3</v>
      </c>
      <c r="M254" s="222">
        <v>3</v>
      </c>
      <c r="N254" s="236">
        <v>5</v>
      </c>
      <c r="O254" s="238">
        <v>6</v>
      </c>
      <c r="P254" s="236">
        <v>5</v>
      </c>
      <c r="Q254" s="222">
        <v>3</v>
      </c>
      <c r="R254" s="222">
        <v>3</v>
      </c>
      <c r="S254" s="238">
        <v>8</v>
      </c>
      <c r="T254" s="238">
        <v>6</v>
      </c>
      <c r="U254" s="241">
        <v>2</v>
      </c>
      <c r="V254" s="222">
        <v>3</v>
      </c>
      <c r="W254" s="387">
        <v>2</v>
      </c>
      <c r="X254" s="222">
        <v>3</v>
      </c>
      <c r="Y254" s="226"/>
      <c r="Z254" s="226"/>
      <c r="AA254" s="226"/>
      <c r="AB254" s="226"/>
      <c r="AC254" s="226"/>
      <c r="AD254" s="226"/>
      <c r="AE254" s="226"/>
      <c r="AF254" s="227"/>
      <c r="AG254" s="184">
        <v>71</v>
      </c>
      <c r="AH254" s="185">
        <v>71</v>
      </c>
      <c r="AI254" s="185">
        <v>45</v>
      </c>
    </row>
    <row r="255" spans="1:35" ht="15" customHeight="1" thickBot="1" x14ac:dyDescent="0.3">
      <c r="A255" s="479"/>
      <c r="B255" s="505"/>
      <c r="C255" s="508"/>
      <c r="D255" s="45" t="s">
        <v>408</v>
      </c>
      <c r="E255" s="46" t="s">
        <v>30</v>
      </c>
      <c r="F255" s="359">
        <v>4</v>
      </c>
      <c r="G255" s="235">
        <v>2</v>
      </c>
      <c r="H255" s="237">
        <v>4</v>
      </c>
      <c r="I255" s="225">
        <v>3</v>
      </c>
      <c r="J255" s="225">
        <v>4</v>
      </c>
      <c r="K255" s="225">
        <v>3</v>
      </c>
      <c r="L255" s="225">
        <v>3</v>
      </c>
      <c r="M255" s="225">
        <v>3</v>
      </c>
      <c r="N255" s="237">
        <v>5</v>
      </c>
      <c r="O255" s="237">
        <v>5</v>
      </c>
      <c r="P255" s="239">
        <v>7</v>
      </c>
      <c r="Q255" s="225">
        <v>3</v>
      </c>
      <c r="R255" s="225">
        <v>3</v>
      </c>
      <c r="S255" s="237">
        <v>4</v>
      </c>
      <c r="T255" s="237">
        <v>4</v>
      </c>
      <c r="U255" s="239">
        <v>6</v>
      </c>
      <c r="V255" s="237">
        <v>4</v>
      </c>
      <c r="W255" s="379">
        <v>5</v>
      </c>
      <c r="X255" s="237">
        <v>4</v>
      </c>
      <c r="Y255" s="228"/>
      <c r="Z255" s="228"/>
      <c r="AA255" s="228"/>
      <c r="AB255" s="228"/>
      <c r="AC255" s="228"/>
      <c r="AD255" s="228"/>
      <c r="AE255" s="228"/>
      <c r="AF255" s="229"/>
      <c r="AG255" s="166">
        <v>76</v>
      </c>
      <c r="AH255" s="186">
        <v>147</v>
      </c>
      <c r="AI255" s="186">
        <v>48</v>
      </c>
    </row>
    <row r="256" spans="1:35" ht="15" hidden="1" customHeight="1" x14ac:dyDescent="0.25">
      <c r="A256" s="479"/>
      <c r="B256" s="505"/>
      <c r="C256" s="508"/>
      <c r="D256" s="45" t="s">
        <v>408</v>
      </c>
      <c r="E256" s="46" t="s">
        <v>31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147</v>
      </c>
      <c r="AI256" s="186">
        <v>48</v>
      </c>
    </row>
    <row r="257" spans="1:35" ht="15.75" hidden="1" customHeight="1" x14ac:dyDescent="0.25">
      <c r="A257" s="479"/>
      <c r="B257" s="505"/>
      <c r="C257" s="508"/>
      <c r="D257" s="45" t="s">
        <v>408</v>
      </c>
      <c r="E257" s="46" t="s">
        <v>32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147</v>
      </c>
      <c r="AI257" s="186">
        <v>48</v>
      </c>
    </row>
    <row r="258" spans="1:35" ht="15.75" hidden="1" customHeight="1" thickBot="1" x14ac:dyDescent="0.3">
      <c r="A258" s="480"/>
      <c r="B258" s="506"/>
      <c r="C258" s="509"/>
      <c r="D258" s="47" t="s">
        <v>408</v>
      </c>
      <c r="E258" s="48" t="s">
        <v>33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147</v>
      </c>
      <c r="AI258" s="187">
        <v>48</v>
      </c>
    </row>
    <row r="259" spans="1:35" ht="15" customHeight="1" x14ac:dyDescent="0.25">
      <c r="A259" s="478">
        <v>51</v>
      </c>
      <c r="B259" s="504">
        <v>51</v>
      </c>
      <c r="C259" s="507" t="s">
        <v>445</v>
      </c>
      <c r="D259" s="43" t="s">
        <v>445</v>
      </c>
      <c r="E259" s="44" t="s">
        <v>29</v>
      </c>
      <c r="F259" s="358">
        <v>4</v>
      </c>
      <c r="G259" s="222">
        <v>3</v>
      </c>
      <c r="H259" s="222">
        <v>3</v>
      </c>
      <c r="I259" s="236">
        <v>4</v>
      </c>
      <c r="J259" s="236">
        <v>5</v>
      </c>
      <c r="K259" s="238">
        <v>5</v>
      </c>
      <c r="L259" s="222">
        <v>3</v>
      </c>
      <c r="M259" s="236">
        <v>4</v>
      </c>
      <c r="N259" s="222">
        <v>4</v>
      </c>
      <c r="O259" s="222">
        <v>4</v>
      </c>
      <c r="P259" s="238">
        <v>6</v>
      </c>
      <c r="Q259" s="238">
        <v>6</v>
      </c>
      <c r="R259" s="236">
        <v>4</v>
      </c>
      <c r="S259" s="222">
        <v>3</v>
      </c>
      <c r="T259" s="222">
        <v>3</v>
      </c>
      <c r="U259" s="222">
        <v>3</v>
      </c>
      <c r="V259" s="236">
        <v>4</v>
      </c>
      <c r="W259" s="376">
        <v>3</v>
      </c>
      <c r="X259" s="238">
        <v>5</v>
      </c>
      <c r="Y259" s="226"/>
      <c r="Z259" s="226"/>
      <c r="AA259" s="226"/>
      <c r="AB259" s="226"/>
      <c r="AC259" s="226"/>
      <c r="AD259" s="226"/>
      <c r="AE259" s="226"/>
      <c r="AF259" s="227"/>
      <c r="AG259" s="184">
        <v>76</v>
      </c>
      <c r="AH259" s="185">
        <v>76</v>
      </c>
      <c r="AI259" s="185">
        <v>59</v>
      </c>
    </row>
    <row r="260" spans="1:35" ht="15" customHeight="1" thickBot="1" x14ac:dyDescent="0.3">
      <c r="A260" s="479"/>
      <c r="B260" s="505"/>
      <c r="C260" s="508"/>
      <c r="D260" s="45" t="s">
        <v>445</v>
      </c>
      <c r="E260" s="46" t="s">
        <v>30</v>
      </c>
      <c r="F260" s="359">
        <v>4</v>
      </c>
      <c r="G260" s="237">
        <v>4</v>
      </c>
      <c r="H260" s="239">
        <v>5</v>
      </c>
      <c r="I260" s="237">
        <v>4</v>
      </c>
      <c r="J260" s="237">
        <v>5</v>
      </c>
      <c r="K260" s="237">
        <v>4</v>
      </c>
      <c r="L260" s="237">
        <v>4</v>
      </c>
      <c r="M260" s="225">
        <v>3</v>
      </c>
      <c r="N260" s="237">
        <v>5</v>
      </c>
      <c r="O260" s="237">
        <v>5</v>
      </c>
      <c r="P260" s="225">
        <v>4</v>
      </c>
      <c r="Q260" s="225">
        <v>3</v>
      </c>
      <c r="R260" s="225">
        <v>3</v>
      </c>
      <c r="S260" s="237">
        <v>4</v>
      </c>
      <c r="T260" s="225">
        <v>3</v>
      </c>
      <c r="U260" s="225">
        <v>3</v>
      </c>
      <c r="V260" s="225">
        <v>3</v>
      </c>
      <c r="W260" s="377">
        <v>3</v>
      </c>
      <c r="X260" s="237">
        <v>4</v>
      </c>
      <c r="Y260" s="228"/>
      <c r="Z260" s="228"/>
      <c r="AA260" s="228"/>
      <c r="AB260" s="228"/>
      <c r="AC260" s="228"/>
      <c r="AD260" s="228"/>
      <c r="AE260" s="228"/>
      <c r="AF260" s="229"/>
      <c r="AG260" s="166">
        <v>73</v>
      </c>
      <c r="AH260" s="186">
        <v>149</v>
      </c>
      <c r="AI260" s="186">
        <v>51</v>
      </c>
    </row>
    <row r="261" spans="1:35" ht="15" hidden="1" customHeight="1" x14ac:dyDescent="0.25">
      <c r="A261" s="479"/>
      <c r="B261" s="505"/>
      <c r="C261" s="508"/>
      <c r="D261" s="45" t="s">
        <v>445</v>
      </c>
      <c r="E261" s="46" t="s">
        <v>31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149</v>
      </c>
      <c r="AI261" s="186">
        <v>51</v>
      </c>
    </row>
    <row r="262" spans="1:35" ht="15.75" hidden="1" customHeight="1" x14ac:dyDescent="0.25">
      <c r="A262" s="479"/>
      <c r="B262" s="505"/>
      <c r="C262" s="508"/>
      <c r="D262" s="45" t="s">
        <v>445</v>
      </c>
      <c r="E262" s="46" t="s">
        <v>32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149</v>
      </c>
      <c r="AI262" s="186">
        <v>51</v>
      </c>
    </row>
    <row r="263" spans="1:35" ht="15.75" hidden="1" customHeight="1" thickBot="1" x14ac:dyDescent="0.3">
      <c r="A263" s="480"/>
      <c r="B263" s="506"/>
      <c r="C263" s="509"/>
      <c r="D263" s="47" t="s">
        <v>445</v>
      </c>
      <c r="E263" s="48" t="s">
        <v>33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149</v>
      </c>
      <c r="AI263" s="187">
        <v>51</v>
      </c>
    </row>
    <row r="264" spans="1:35" ht="15" customHeight="1" x14ac:dyDescent="0.25">
      <c r="A264" s="478">
        <v>52</v>
      </c>
      <c r="B264" s="504">
        <v>52</v>
      </c>
      <c r="C264" s="507" t="s">
        <v>591</v>
      </c>
      <c r="D264" s="43" t="s">
        <v>591</v>
      </c>
      <c r="E264" s="44" t="s">
        <v>29</v>
      </c>
      <c r="F264" s="358">
        <v>4</v>
      </c>
      <c r="G264" s="222">
        <v>3</v>
      </c>
      <c r="H264" s="222">
        <v>3</v>
      </c>
      <c r="I264" s="222">
        <v>3</v>
      </c>
      <c r="J264" s="222">
        <v>4</v>
      </c>
      <c r="K264" s="222">
        <v>3</v>
      </c>
      <c r="L264" s="236">
        <v>4</v>
      </c>
      <c r="M264" s="236">
        <v>4</v>
      </c>
      <c r="N264" s="238">
        <v>7</v>
      </c>
      <c r="O264" s="236">
        <v>5</v>
      </c>
      <c r="P264" s="222">
        <v>4</v>
      </c>
      <c r="Q264" s="222">
        <v>3</v>
      </c>
      <c r="R264" s="222">
        <v>3</v>
      </c>
      <c r="S264" s="236">
        <v>4</v>
      </c>
      <c r="T264" s="241">
        <v>2</v>
      </c>
      <c r="U264" s="222">
        <v>3</v>
      </c>
      <c r="V264" s="222">
        <v>3</v>
      </c>
      <c r="W264" s="381">
        <v>4</v>
      </c>
      <c r="X264" s="222">
        <v>3</v>
      </c>
      <c r="Y264" s="226"/>
      <c r="Z264" s="226"/>
      <c r="AA264" s="226"/>
      <c r="AB264" s="226"/>
      <c r="AC264" s="226"/>
      <c r="AD264" s="226"/>
      <c r="AE264" s="226"/>
      <c r="AF264" s="227"/>
      <c r="AG264" s="184">
        <v>69</v>
      </c>
      <c r="AH264" s="185">
        <v>69</v>
      </c>
      <c r="AI264" s="185">
        <v>41</v>
      </c>
    </row>
    <row r="265" spans="1:35" ht="15" customHeight="1" thickBot="1" x14ac:dyDescent="0.3">
      <c r="A265" s="479"/>
      <c r="B265" s="505"/>
      <c r="C265" s="508"/>
      <c r="D265" s="45" t="s">
        <v>591</v>
      </c>
      <c r="E265" s="46" t="s">
        <v>30</v>
      </c>
      <c r="F265" s="359">
        <v>4</v>
      </c>
      <c r="G265" s="237">
        <v>4</v>
      </c>
      <c r="H265" s="237">
        <v>4</v>
      </c>
      <c r="I265" s="237">
        <v>4</v>
      </c>
      <c r="J265" s="237">
        <v>5</v>
      </c>
      <c r="K265" s="237">
        <v>4</v>
      </c>
      <c r="L265" s="225">
        <v>3</v>
      </c>
      <c r="M265" s="237">
        <v>4</v>
      </c>
      <c r="N265" s="225">
        <v>4</v>
      </c>
      <c r="O265" s="237">
        <v>5</v>
      </c>
      <c r="P265" s="237">
        <v>5</v>
      </c>
      <c r="Q265" s="225">
        <v>3</v>
      </c>
      <c r="R265" s="237">
        <v>4</v>
      </c>
      <c r="S265" s="237">
        <v>4</v>
      </c>
      <c r="T265" s="239">
        <v>5</v>
      </c>
      <c r="U265" s="239">
        <v>5</v>
      </c>
      <c r="V265" s="237">
        <v>4</v>
      </c>
      <c r="W265" s="379">
        <v>6</v>
      </c>
      <c r="X265" s="237">
        <v>4</v>
      </c>
      <c r="Y265" s="228"/>
      <c r="Z265" s="228"/>
      <c r="AA265" s="228"/>
      <c r="AB265" s="228"/>
      <c r="AC265" s="228"/>
      <c r="AD265" s="228"/>
      <c r="AE265" s="228"/>
      <c r="AF265" s="229"/>
      <c r="AG265" s="166">
        <v>81</v>
      </c>
      <c r="AH265" s="186">
        <v>150</v>
      </c>
      <c r="AI265" s="186">
        <v>52</v>
      </c>
    </row>
    <row r="266" spans="1:35" ht="15" hidden="1" customHeight="1" x14ac:dyDescent="0.25">
      <c r="A266" s="479"/>
      <c r="B266" s="505"/>
      <c r="C266" s="508"/>
      <c r="D266" s="45" t="s">
        <v>591</v>
      </c>
      <c r="E266" s="46" t="s">
        <v>31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150</v>
      </c>
      <c r="AI266" s="186">
        <v>52</v>
      </c>
    </row>
    <row r="267" spans="1:35" ht="15.75" hidden="1" customHeight="1" x14ac:dyDescent="0.25">
      <c r="A267" s="479"/>
      <c r="B267" s="505"/>
      <c r="C267" s="508"/>
      <c r="D267" s="45" t="s">
        <v>591</v>
      </c>
      <c r="E267" s="46" t="s">
        <v>32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150</v>
      </c>
      <c r="AI267" s="186">
        <v>52</v>
      </c>
    </row>
    <row r="268" spans="1:35" ht="15.75" hidden="1" customHeight="1" thickBot="1" x14ac:dyDescent="0.3">
      <c r="A268" s="480"/>
      <c r="B268" s="506"/>
      <c r="C268" s="509"/>
      <c r="D268" s="47" t="s">
        <v>591</v>
      </c>
      <c r="E268" s="48" t="s">
        <v>33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150</v>
      </c>
      <c r="AI268" s="187">
        <v>52</v>
      </c>
    </row>
    <row r="269" spans="1:35" ht="15" customHeight="1" x14ac:dyDescent="0.25">
      <c r="A269" s="478">
        <v>53</v>
      </c>
      <c r="B269" s="504">
        <v>53</v>
      </c>
      <c r="C269" s="507" t="s">
        <v>210</v>
      </c>
      <c r="D269" s="43" t="s">
        <v>210</v>
      </c>
      <c r="E269" s="44" t="s">
        <v>29</v>
      </c>
      <c r="F269" s="223">
        <v>3</v>
      </c>
      <c r="G269" s="236">
        <v>4</v>
      </c>
      <c r="H269" s="222">
        <v>3</v>
      </c>
      <c r="I269" s="236">
        <v>4</v>
      </c>
      <c r="J269" s="222">
        <v>4</v>
      </c>
      <c r="K269" s="222">
        <v>3</v>
      </c>
      <c r="L269" s="236">
        <v>4</v>
      </c>
      <c r="M269" s="222">
        <v>3</v>
      </c>
      <c r="N269" s="222">
        <v>4</v>
      </c>
      <c r="O269" s="238">
        <v>7</v>
      </c>
      <c r="P269" s="238">
        <v>6</v>
      </c>
      <c r="Q269" s="238">
        <v>5</v>
      </c>
      <c r="R269" s="236">
        <v>4</v>
      </c>
      <c r="S269" s="241">
        <v>2</v>
      </c>
      <c r="T269" s="236">
        <v>4</v>
      </c>
      <c r="U269" s="222">
        <v>3</v>
      </c>
      <c r="V269" s="236">
        <v>4</v>
      </c>
      <c r="W269" s="387">
        <v>2</v>
      </c>
      <c r="X269" s="238">
        <v>5</v>
      </c>
      <c r="Y269" s="226"/>
      <c r="Z269" s="226"/>
      <c r="AA269" s="226"/>
      <c r="AB269" s="226"/>
      <c r="AC269" s="226"/>
      <c r="AD269" s="226"/>
      <c r="AE269" s="226"/>
      <c r="AF269" s="227"/>
      <c r="AG269" s="184">
        <v>74</v>
      </c>
      <c r="AH269" s="185">
        <v>74</v>
      </c>
      <c r="AI269" s="185">
        <v>49</v>
      </c>
    </row>
    <row r="270" spans="1:35" ht="15" customHeight="1" thickBot="1" x14ac:dyDescent="0.3">
      <c r="A270" s="479"/>
      <c r="B270" s="505"/>
      <c r="C270" s="508"/>
      <c r="D270" s="45" t="s">
        <v>210</v>
      </c>
      <c r="E270" s="46" t="s">
        <v>30</v>
      </c>
      <c r="F270" s="359">
        <v>4</v>
      </c>
      <c r="G270" s="225">
        <v>3</v>
      </c>
      <c r="H270" s="237">
        <v>4</v>
      </c>
      <c r="I270" s="239">
        <v>5</v>
      </c>
      <c r="J270" s="225">
        <v>4</v>
      </c>
      <c r="K270" s="237">
        <v>4</v>
      </c>
      <c r="L270" s="237">
        <v>4</v>
      </c>
      <c r="M270" s="237">
        <v>4</v>
      </c>
      <c r="N270" s="237">
        <v>5</v>
      </c>
      <c r="O270" s="237">
        <v>5</v>
      </c>
      <c r="P270" s="237">
        <v>5</v>
      </c>
      <c r="Q270" s="237">
        <v>4</v>
      </c>
      <c r="R270" s="237">
        <v>4</v>
      </c>
      <c r="S270" s="237">
        <v>4</v>
      </c>
      <c r="T270" s="237">
        <v>4</v>
      </c>
      <c r="U270" s="225">
        <v>3</v>
      </c>
      <c r="V270" s="225">
        <v>3</v>
      </c>
      <c r="W270" s="378">
        <v>4</v>
      </c>
      <c r="X270" s="237">
        <v>4</v>
      </c>
      <c r="Y270" s="228"/>
      <c r="Z270" s="228"/>
      <c r="AA270" s="228"/>
      <c r="AB270" s="228"/>
      <c r="AC270" s="228"/>
      <c r="AD270" s="228"/>
      <c r="AE270" s="228"/>
      <c r="AF270" s="229"/>
      <c r="AG270" s="166">
        <v>77</v>
      </c>
      <c r="AH270" s="186">
        <v>151</v>
      </c>
      <c r="AI270" s="186">
        <v>53</v>
      </c>
    </row>
    <row r="271" spans="1:35" ht="15" hidden="1" customHeight="1" x14ac:dyDescent="0.25">
      <c r="A271" s="479"/>
      <c r="B271" s="505"/>
      <c r="C271" s="508"/>
      <c r="D271" s="45" t="s">
        <v>210</v>
      </c>
      <c r="E271" s="46" t="s">
        <v>31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151</v>
      </c>
      <c r="AI271" s="186">
        <v>53</v>
      </c>
    </row>
    <row r="272" spans="1:35" ht="15.75" hidden="1" customHeight="1" x14ac:dyDescent="0.25">
      <c r="A272" s="479"/>
      <c r="B272" s="505"/>
      <c r="C272" s="508"/>
      <c r="D272" s="45" t="s">
        <v>210</v>
      </c>
      <c r="E272" s="46" t="s">
        <v>32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151</v>
      </c>
      <c r="AI272" s="186">
        <v>53</v>
      </c>
    </row>
    <row r="273" spans="1:35" ht="15.75" hidden="1" customHeight="1" thickBot="1" x14ac:dyDescent="0.3">
      <c r="A273" s="480"/>
      <c r="B273" s="506"/>
      <c r="C273" s="509"/>
      <c r="D273" s="47" t="s">
        <v>210</v>
      </c>
      <c r="E273" s="48" t="s">
        <v>33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151</v>
      </c>
      <c r="AI273" s="187">
        <v>53</v>
      </c>
    </row>
    <row r="274" spans="1:35" ht="15" customHeight="1" x14ac:dyDescent="0.25">
      <c r="A274" s="478">
        <v>54</v>
      </c>
      <c r="B274" s="504">
        <v>53</v>
      </c>
      <c r="C274" s="507" t="s">
        <v>715</v>
      </c>
      <c r="D274" s="43" t="s">
        <v>715</v>
      </c>
      <c r="E274" s="44" t="s">
        <v>29</v>
      </c>
      <c r="F274" s="245">
        <v>2</v>
      </c>
      <c r="G274" s="236">
        <v>4</v>
      </c>
      <c r="H274" s="236">
        <v>4</v>
      </c>
      <c r="I274" s="222">
        <v>3</v>
      </c>
      <c r="J274" s="236">
        <v>5</v>
      </c>
      <c r="K274" s="222">
        <v>3</v>
      </c>
      <c r="L274" s="222">
        <v>3</v>
      </c>
      <c r="M274" s="222">
        <v>3</v>
      </c>
      <c r="N274" s="222">
        <v>4</v>
      </c>
      <c r="O274" s="238">
        <v>6</v>
      </c>
      <c r="P274" s="222">
        <v>4</v>
      </c>
      <c r="Q274" s="222">
        <v>3</v>
      </c>
      <c r="R274" s="238">
        <v>6</v>
      </c>
      <c r="S274" s="222">
        <v>3</v>
      </c>
      <c r="T274" s="238">
        <v>5</v>
      </c>
      <c r="U274" s="241">
        <v>2</v>
      </c>
      <c r="V274" s="222">
        <v>3</v>
      </c>
      <c r="W274" s="387">
        <v>2</v>
      </c>
      <c r="X274" s="236">
        <v>4</v>
      </c>
      <c r="Y274" s="226"/>
      <c r="Z274" s="226"/>
      <c r="AA274" s="226"/>
      <c r="AB274" s="226"/>
      <c r="AC274" s="226"/>
      <c r="AD274" s="226"/>
      <c r="AE274" s="226"/>
      <c r="AF274" s="227"/>
      <c r="AG274" s="184">
        <v>69</v>
      </c>
      <c r="AH274" s="185">
        <v>69</v>
      </c>
      <c r="AI274" s="185">
        <v>41</v>
      </c>
    </row>
    <row r="275" spans="1:35" ht="15" customHeight="1" thickBot="1" x14ac:dyDescent="0.3">
      <c r="A275" s="479"/>
      <c r="B275" s="505"/>
      <c r="C275" s="508"/>
      <c r="D275" s="45" t="s">
        <v>715</v>
      </c>
      <c r="E275" s="46" t="s">
        <v>30</v>
      </c>
      <c r="F275" s="360">
        <v>5</v>
      </c>
      <c r="G275" s="239">
        <v>6</v>
      </c>
      <c r="H275" s="239">
        <v>5</v>
      </c>
      <c r="I275" s="237">
        <v>4</v>
      </c>
      <c r="J275" s="225">
        <v>4</v>
      </c>
      <c r="K275" s="237">
        <v>4</v>
      </c>
      <c r="L275" s="237">
        <v>4</v>
      </c>
      <c r="M275" s="237">
        <v>4</v>
      </c>
      <c r="N275" s="237">
        <v>5</v>
      </c>
      <c r="O275" s="239">
        <v>7</v>
      </c>
      <c r="P275" s="225">
        <v>4</v>
      </c>
      <c r="Q275" s="237">
        <v>4</v>
      </c>
      <c r="R275" s="239">
        <v>6</v>
      </c>
      <c r="S275" s="225">
        <v>3</v>
      </c>
      <c r="T275" s="225">
        <v>3</v>
      </c>
      <c r="U275" s="225">
        <v>3</v>
      </c>
      <c r="V275" s="225">
        <v>3</v>
      </c>
      <c r="W275" s="378">
        <v>4</v>
      </c>
      <c r="X275" s="237">
        <v>4</v>
      </c>
      <c r="Y275" s="228"/>
      <c r="Z275" s="228"/>
      <c r="AA275" s="228"/>
      <c r="AB275" s="228"/>
      <c r="AC275" s="228"/>
      <c r="AD275" s="228"/>
      <c r="AE275" s="228"/>
      <c r="AF275" s="229"/>
      <c r="AG275" s="166">
        <v>82</v>
      </c>
      <c r="AH275" s="186">
        <v>151</v>
      </c>
      <c r="AI275" s="186">
        <v>53</v>
      </c>
    </row>
    <row r="276" spans="1:35" ht="15" hidden="1" customHeight="1" x14ac:dyDescent="0.25">
      <c r="A276" s="479"/>
      <c r="B276" s="505"/>
      <c r="C276" s="508"/>
      <c r="D276" s="45" t="s">
        <v>715</v>
      </c>
      <c r="E276" s="46" t="s">
        <v>31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151</v>
      </c>
      <c r="AI276" s="186">
        <v>53</v>
      </c>
    </row>
    <row r="277" spans="1:35" ht="15.75" hidden="1" customHeight="1" x14ac:dyDescent="0.25">
      <c r="A277" s="479"/>
      <c r="B277" s="505"/>
      <c r="C277" s="508"/>
      <c r="D277" s="45" t="s">
        <v>715</v>
      </c>
      <c r="E277" s="46" t="s">
        <v>32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151</v>
      </c>
      <c r="AI277" s="186">
        <v>53</v>
      </c>
    </row>
    <row r="278" spans="1:35" ht="15.75" hidden="1" customHeight="1" thickBot="1" x14ac:dyDescent="0.3">
      <c r="A278" s="480"/>
      <c r="B278" s="506"/>
      <c r="C278" s="509"/>
      <c r="D278" s="47" t="s">
        <v>715</v>
      </c>
      <c r="E278" s="48" t="s">
        <v>33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151</v>
      </c>
      <c r="AI278" s="187">
        <v>53</v>
      </c>
    </row>
    <row r="279" spans="1:35" ht="15" customHeight="1" x14ac:dyDescent="0.25">
      <c r="A279" s="478">
        <v>55</v>
      </c>
      <c r="B279" s="504">
        <v>55</v>
      </c>
      <c r="C279" s="507" t="s">
        <v>688</v>
      </c>
      <c r="D279" s="43" t="s">
        <v>688</v>
      </c>
      <c r="E279" s="44" t="s">
        <v>29</v>
      </c>
      <c r="F279" s="358">
        <v>4</v>
      </c>
      <c r="G279" s="238">
        <v>5</v>
      </c>
      <c r="H279" s="238">
        <v>5</v>
      </c>
      <c r="I279" s="236">
        <v>4</v>
      </c>
      <c r="J279" s="222">
        <v>4</v>
      </c>
      <c r="K279" s="236">
        <v>4</v>
      </c>
      <c r="L279" s="236">
        <v>4</v>
      </c>
      <c r="M279" s="222">
        <v>3</v>
      </c>
      <c r="N279" s="222">
        <v>4</v>
      </c>
      <c r="O279" s="222">
        <v>4</v>
      </c>
      <c r="P279" s="238">
        <v>6</v>
      </c>
      <c r="Q279" s="222">
        <v>3</v>
      </c>
      <c r="R279" s="222">
        <v>3</v>
      </c>
      <c r="S279" s="222">
        <v>3</v>
      </c>
      <c r="T279" s="222">
        <v>3</v>
      </c>
      <c r="U279" s="238">
        <v>5</v>
      </c>
      <c r="V279" s="222">
        <v>3</v>
      </c>
      <c r="W279" s="381">
        <v>4</v>
      </c>
      <c r="X279" s="236">
        <v>4</v>
      </c>
      <c r="Y279" s="226"/>
      <c r="Z279" s="226"/>
      <c r="AA279" s="226"/>
      <c r="AB279" s="226"/>
      <c r="AC279" s="226"/>
      <c r="AD279" s="226"/>
      <c r="AE279" s="226"/>
      <c r="AF279" s="227"/>
      <c r="AG279" s="184">
        <v>75</v>
      </c>
      <c r="AH279" s="185">
        <v>75</v>
      </c>
      <c r="AI279" s="185">
        <v>56</v>
      </c>
    </row>
    <row r="280" spans="1:35" ht="15" customHeight="1" thickBot="1" x14ac:dyDescent="0.3">
      <c r="A280" s="479"/>
      <c r="B280" s="505"/>
      <c r="C280" s="508"/>
      <c r="D280" s="45" t="s">
        <v>688</v>
      </c>
      <c r="E280" s="46" t="s">
        <v>30</v>
      </c>
      <c r="F280" s="224">
        <v>3</v>
      </c>
      <c r="G280" s="239">
        <v>5</v>
      </c>
      <c r="H280" s="237">
        <v>4</v>
      </c>
      <c r="I280" s="237">
        <v>4</v>
      </c>
      <c r="J280" s="239">
        <v>6</v>
      </c>
      <c r="K280" s="237">
        <v>4</v>
      </c>
      <c r="L280" s="237">
        <v>4</v>
      </c>
      <c r="M280" s="225">
        <v>3</v>
      </c>
      <c r="N280" s="237">
        <v>5</v>
      </c>
      <c r="O280" s="239">
        <v>6</v>
      </c>
      <c r="P280" s="239">
        <v>6</v>
      </c>
      <c r="Q280" s="225">
        <v>3</v>
      </c>
      <c r="R280" s="225">
        <v>3</v>
      </c>
      <c r="S280" s="225">
        <v>3</v>
      </c>
      <c r="T280" s="225">
        <v>3</v>
      </c>
      <c r="U280" s="225">
        <v>3</v>
      </c>
      <c r="V280" s="225">
        <v>3</v>
      </c>
      <c r="W280" s="379">
        <v>6</v>
      </c>
      <c r="X280" s="239">
        <v>5</v>
      </c>
      <c r="Y280" s="228"/>
      <c r="Z280" s="228"/>
      <c r="AA280" s="228"/>
      <c r="AB280" s="228"/>
      <c r="AC280" s="228"/>
      <c r="AD280" s="228"/>
      <c r="AE280" s="228"/>
      <c r="AF280" s="229"/>
      <c r="AG280" s="166">
        <v>79</v>
      </c>
      <c r="AH280" s="186">
        <v>154</v>
      </c>
      <c r="AI280" s="186">
        <v>55</v>
      </c>
    </row>
    <row r="281" spans="1:35" ht="15" hidden="1" customHeight="1" x14ac:dyDescent="0.25">
      <c r="A281" s="479"/>
      <c r="B281" s="505"/>
      <c r="C281" s="508"/>
      <c r="D281" s="45" t="s">
        <v>688</v>
      </c>
      <c r="E281" s="46" t="s">
        <v>31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154</v>
      </c>
      <c r="AI281" s="186">
        <v>55</v>
      </c>
    </row>
    <row r="282" spans="1:35" ht="15.75" hidden="1" customHeight="1" x14ac:dyDescent="0.25">
      <c r="A282" s="479"/>
      <c r="B282" s="505"/>
      <c r="C282" s="508"/>
      <c r="D282" s="45" t="s">
        <v>688</v>
      </c>
      <c r="E282" s="46" t="s">
        <v>32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154</v>
      </c>
      <c r="AI282" s="186">
        <v>55</v>
      </c>
    </row>
    <row r="283" spans="1:35" ht="15.75" hidden="1" customHeight="1" thickBot="1" x14ac:dyDescent="0.3">
      <c r="A283" s="480"/>
      <c r="B283" s="506"/>
      <c r="C283" s="509"/>
      <c r="D283" s="47" t="s">
        <v>688</v>
      </c>
      <c r="E283" s="48" t="s">
        <v>33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154</v>
      </c>
      <c r="AI283" s="187">
        <v>55</v>
      </c>
    </row>
    <row r="284" spans="1:35" ht="15" customHeight="1" x14ac:dyDescent="0.25">
      <c r="A284" s="478">
        <v>56</v>
      </c>
      <c r="B284" s="504">
        <v>56</v>
      </c>
      <c r="C284" s="507" t="s">
        <v>717</v>
      </c>
      <c r="D284" s="43" t="s">
        <v>717</v>
      </c>
      <c r="E284" s="44" t="s">
        <v>29</v>
      </c>
      <c r="F284" s="223">
        <v>3</v>
      </c>
      <c r="G284" s="222">
        <v>3</v>
      </c>
      <c r="H284" s="236">
        <v>4</v>
      </c>
      <c r="I284" s="222">
        <v>3</v>
      </c>
      <c r="J284" s="236">
        <v>5</v>
      </c>
      <c r="K284" s="238">
        <v>5</v>
      </c>
      <c r="L284" s="222">
        <v>3</v>
      </c>
      <c r="M284" s="222">
        <v>3</v>
      </c>
      <c r="N284" s="222">
        <v>4</v>
      </c>
      <c r="O284" s="238">
        <v>6</v>
      </c>
      <c r="P284" s="222">
        <v>4</v>
      </c>
      <c r="Q284" s="222">
        <v>3</v>
      </c>
      <c r="R284" s="238">
        <v>5</v>
      </c>
      <c r="S284" s="222">
        <v>3</v>
      </c>
      <c r="T284" s="236">
        <v>4</v>
      </c>
      <c r="U284" s="236">
        <v>4</v>
      </c>
      <c r="V284" s="236">
        <v>4</v>
      </c>
      <c r="W284" s="382">
        <v>5</v>
      </c>
      <c r="X284" s="236">
        <v>4</v>
      </c>
      <c r="Y284" s="226"/>
      <c r="Z284" s="226"/>
      <c r="AA284" s="226"/>
      <c r="AB284" s="226"/>
      <c r="AC284" s="226"/>
      <c r="AD284" s="226"/>
      <c r="AE284" s="226"/>
      <c r="AF284" s="227"/>
      <c r="AG284" s="184">
        <v>75</v>
      </c>
      <c r="AH284" s="185">
        <v>75</v>
      </c>
      <c r="AI284" s="185">
        <v>56</v>
      </c>
    </row>
    <row r="285" spans="1:35" ht="15" customHeight="1" thickBot="1" x14ac:dyDescent="0.3">
      <c r="A285" s="479"/>
      <c r="B285" s="505"/>
      <c r="C285" s="508"/>
      <c r="D285" s="45" t="s">
        <v>717</v>
      </c>
      <c r="E285" s="46" t="s">
        <v>30</v>
      </c>
      <c r="F285" s="360">
        <v>6</v>
      </c>
      <c r="G285" s="225">
        <v>3</v>
      </c>
      <c r="H285" s="237">
        <v>4</v>
      </c>
      <c r="I285" s="225">
        <v>3</v>
      </c>
      <c r="J285" s="239">
        <v>6</v>
      </c>
      <c r="K285" s="237">
        <v>4</v>
      </c>
      <c r="L285" s="237">
        <v>4</v>
      </c>
      <c r="M285" s="225">
        <v>3</v>
      </c>
      <c r="N285" s="239">
        <v>6</v>
      </c>
      <c r="O285" s="239">
        <v>6</v>
      </c>
      <c r="P285" s="239">
        <v>6</v>
      </c>
      <c r="Q285" s="225">
        <v>3</v>
      </c>
      <c r="R285" s="225">
        <v>3</v>
      </c>
      <c r="S285" s="239">
        <v>5</v>
      </c>
      <c r="T285" s="237">
        <v>4</v>
      </c>
      <c r="U285" s="237">
        <v>4</v>
      </c>
      <c r="V285" s="237">
        <v>4</v>
      </c>
      <c r="W285" s="380">
        <v>2</v>
      </c>
      <c r="X285" s="237">
        <v>4</v>
      </c>
      <c r="Y285" s="228"/>
      <c r="Z285" s="228"/>
      <c r="AA285" s="228"/>
      <c r="AB285" s="228"/>
      <c r="AC285" s="228"/>
      <c r="AD285" s="228"/>
      <c r="AE285" s="228"/>
      <c r="AF285" s="229"/>
      <c r="AG285" s="166">
        <v>80</v>
      </c>
      <c r="AH285" s="186">
        <v>155</v>
      </c>
      <c r="AI285" s="186">
        <v>56</v>
      </c>
    </row>
    <row r="286" spans="1:35" ht="15" hidden="1" customHeight="1" x14ac:dyDescent="0.25">
      <c r="A286" s="479"/>
      <c r="B286" s="505"/>
      <c r="C286" s="508"/>
      <c r="D286" s="45" t="s">
        <v>717</v>
      </c>
      <c r="E286" s="46" t="s">
        <v>31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155</v>
      </c>
      <c r="AI286" s="186">
        <v>56</v>
      </c>
    </row>
    <row r="287" spans="1:35" ht="15.75" hidden="1" customHeight="1" x14ac:dyDescent="0.25">
      <c r="A287" s="479"/>
      <c r="B287" s="505"/>
      <c r="C287" s="508"/>
      <c r="D287" s="45" t="s">
        <v>717</v>
      </c>
      <c r="E287" s="46" t="s">
        <v>32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155</v>
      </c>
      <c r="AI287" s="186">
        <v>56</v>
      </c>
    </row>
    <row r="288" spans="1:35" ht="15.75" hidden="1" customHeight="1" thickBot="1" x14ac:dyDescent="0.3">
      <c r="A288" s="480"/>
      <c r="B288" s="506"/>
      <c r="C288" s="509"/>
      <c r="D288" s="47" t="s">
        <v>717</v>
      </c>
      <c r="E288" s="48" t="s">
        <v>33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155</v>
      </c>
      <c r="AI288" s="187">
        <v>56</v>
      </c>
    </row>
    <row r="289" spans="1:35" ht="15" customHeight="1" x14ac:dyDescent="0.25">
      <c r="A289" s="478">
        <v>57</v>
      </c>
      <c r="B289" s="504">
        <v>56</v>
      </c>
      <c r="C289" s="507" t="s">
        <v>416</v>
      </c>
      <c r="D289" s="43" t="s">
        <v>416</v>
      </c>
      <c r="E289" s="44" t="s">
        <v>29</v>
      </c>
      <c r="F289" s="245">
        <v>2</v>
      </c>
      <c r="G289" s="222">
        <v>3</v>
      </c>
      <c r="H289" s="238">
        <v>5</v>
      </c>
      <c r="I289" s="238">
        <v>6</v>
      </c>
      <c r="J289" s="236">
        <v>5</v>
      </c>
      <c r="K289" s="236">
        <v>4</v>
      </c>
      <c r="L289" s="222">
        <v>3</v>
      </c>
      <c r="M289" s="222">
        <v>3</v>
      </c>
      <c r="N289" s="238">
        <v>6</v>
      </c>
      <c r="O289" s="222">
        <v>4</v>
      </c>
      <c r="P289" s="238">
        <v>8</v>
      </c>
      <c r="Q289" s="222">
        <v>3</v>
      </c>
      <c r="R289" s="222">
        <v>3</v>
      </c>
      <c r="S289" s="222">
        <v>3</v>
      </c>
      <c r="T289" s="222">
        <v>3</v>
      </c>
      <c r="U289" s="238">
        <v>5</v>
      </c>
      <c r="V289" s="222">
        <v>3</v>
      </c>
      <c r="W289" s="387">
        <v>2</v>
      </c>
      <c r="X289" s="236">
        <v>4</v>
      </c>
      <c r="Y289" s="226"/>
      <c r="Z289" s="226"/>
      <c r="AA289" s="226"/>
      <c r="AB289" s="226"/>
      <c r="AC289" s="226"/>
      <c r="AD289" s="226"/>
      <c r="AE289" s="226"/>
      <c r="AF289" s="227"/>
      <c r="AG289" s="184">
        <v>75</v>
      </c>
      <c r="AH289" s="185">
        <v>75</v>
      </c>
      <c r="AI289" s="185">
        <v>56</v>
      </c>
    </row>
    <row r="290" spans="1:35" ht="15" customHeight="1" thickBot="1" x14ac:dyDescent="0.3">
      <c r="A290" s="479"/>
      <c r="B290" s="505"/>
      <c r="C290" s="508"/>
      <c r="D290" s="45" t="s">
        <v>416</v>
      </c>
      <c r="E290" s="46" t="s">
        <v>30</v>
      </c>
      <c r="F290" s="224">
        <v>3</v>
      </c>
      <c r="G290" s="237">
        <v>4</v>
      </c>
      <c r="H290" s="239">
        <v>5</v>
      </c>
      <c r="I290" s="225">
        <v>3</v>
      </c>
      <c r="J290" s="237">
        <v>5</v>
      </c>
      <c r="K290" s="237">
        <v>4</v>
      </c>
      <c r="L290" s="237">
        <v>4</v>
      </c>
      <c r="M290" s="237">
        <v>4</v>
      </c>
      <c r="N290" s="237">
        <v>5</v>
      </c>
      <c r="O290" s="239">
        <v>6</v>
      </c>
      <c r="P290" s="239">
        <v>7</v>
      </c>
      <c r="Q290" s="239">
        <v>5</v>
      </c>
      <c r="R290" s="225">
        <v>3</v>
      </c>
      <c r="S290" s="237">
        <v>4</v>
      </c>
      <c r="T290" s="237">
        <v>4</v>
      </c>
      <c r="U290" s="225">
        <v>3</v>
      </c>
      <c r="V290" s="237">
        <v>4</v>
      </c>
      <c r="W290" s="378">
        <v>4</v>
      </c>
      <c r="X290" s="225">
        <v>3</v>
      </c>
      <c r="Y290" s="228"/>
      <c r="Z290" s="228"/>
      <c r="AA290" s="228"/>
      <c r="AB290" s="228"/>
      <c r="AC290" s="228"/>
      <c r="AD290" s="228"/>
      <c r="AE290" s="228"/>
      <c r="AF290" s="229"/>
      <c r="AG290" s="166">
        <v>80</v>
      </c>
      <c r="AH290" s="186">
        <v>155</v>
      </c>
      <c r="AI290" s="186">
        <v>56</v>
      </c>
    </row>
    <row r="291" spans="1:35" ht="15" hidden="1" customHeight="1" x14ac:dyDescent="0.25">
      <c r="A291" s="479"/>
      <c r="B291" s="505"/>
      <c r="C291" s="508"/>
      <c r="D291" s="45" t="s">
        <v>416</v>
      </c>
      <c r="E291" s="46" t="s">
        <v>31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155</v>
      </c>
      <c r="AI291" s="186">
        <v>56</v>
      </c>
    </row>
    <row r="292" spans="1:35" ht="15.75" hidden="1" customHeight="1" x14ac:dyDescent="0.25">
      <c r="A292" s="479"/>
      <c r="B292" s="505"/>
      <c r="C292" s="508"/>
      <c r="D292" s="45" t="s">
        <v>416</v>
      </c>
      <c r="E292" s="46" t="s">
        <v>32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155</v>
      </c>
      <c r="AI292" s="186">
        <v>56</v>
      </c>
    </row>
    <row r="293" spans="1:35" ht="15.75" hidden="1" customHeight="1" thickBot="1" x14ac:dyDescent="0.3">
      <c r="A293" s="480"/>
      <c r="B293" s="506"/>
      <c r="C293" s="509"/>
      <c r="D293" s="47" t="s">
        <v>416</v>
      </c>
      <c r="E293" s="48" t="s">
        <v>33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155</v>
      </c>
      <c r="AI293" s="187">
        <v>56</v>
      </c>
    </row>
    <row r="294" spans="1:35" ht="15" customHeight="1" x14ac:dyDescent="0.25">
      <c r="A294" s="478">
        <v>58</v>
      </c>
      <c r="B294" s="504">
        <v>58</v>
      </c>
      <c r="C294" s="507" t="s">
        <v>718</v>
      </c>
      <c r="D294" s="43" t="s">
        <v>718</v>
      </c>
      <c r="E294" s="44" t="s">
        <v>29</v>
      </c>
      <c r="F294" s="386">
        <v>8</v>
      </c>
      <c r="G294" s="222">
        <v>3</v>
      </c>
      <c r="H294" s="238">
        <v>5</v>
      </c>
      <c r="I294" s="238">
        <v>5</v>
      </c>
      <c r="J294" s="236">
        <v>5</v>
      </c>
      <c r="K294" s="236">
        <v>4</v>
      </c>
      <c r="L294" s="222">
        <v>3</v>
      </c>
      <c r="M294" s="222">
        <v>3</v>
      </c>
      <c r="N294" s="236">
        <v>5</v>
      </c>
      <c r="O294" s="238">
        <v>6</v>
      </c>
      <c r="P294" s="236">
        <v>5</v>
      </c>
      <c r="Q294" s="238">
        <v>6</v>
      </c>
      <c r="R294" s="222">
        <v>3</v>
      </c>
      <c r="S294" s="222">
        <v>3</v>
      </c>
      <c r="T294" s="238">
        <v>5</v>
      </c>
      <c r="U294" s="222">
        <v>3</v>
      </c>
      <c r="V294" s="236">
        <v>4</v>
      </c>
      <c r="W294" s="382">
        <v>5</v>
      </c>
      <c r="X294" s="222">
        <v>3</v>
      </c>
      <c r="Y294" s="226"/>
      <c r="Z294" s="226"/>
      <c r="AA294" s="226"/>
      <c r="AB294" s="226"/>
      <c r="AC294" s="226"/>
      <c r="AD294" s="226"/>
      <c r="AE294" s="226"/>
      <c r="AF294" s="227"/>
      <c r="AG294" s="184">
        <v>84</v>
      </c>
      <c r="AH294" s="185">
        <v>84</v>
      </c>
      <c r="AI294" s="185">
        <v>62</v>
      </c>
    </row>
    <row r="295" spans="1:35" ht="15" customHeight="1" thickBot="1" x14ac:dyDescent="0.3">
      <c r="A295" s="479"/>
      <c r="B295" s="505"/>
      <c r="C295" s="508"/>
      <c r="D295" s="45" t="s">
        <v>718</v>
      </c>
      <c r="E295" s="46" t="s">
        <v>30</v>
      </c>
      <c r="F295" s="360">
        <v>6</v>
      </c>
      <c r="G295" s="225">
        <v>3</v>
      </c>
      <c r="H295" s="225">
        <v>3</v>
      </c>
      <c r="I295" s="237">
        <v>4</v>
      </c>
      <c r="J295" s="225">
        <v>4</v>
      </c>
      <c r="K295" s="237">
        <v>4</v>
      </c>
      <c r="L295" s="237">
        <v>4</v>
      </c>
      <c r="M295" s="225">
        <v>3</v>
      </c>
      <c r="N295" s="225">
        <v>4</v>
      </c>
      <c r="O295" s="237">
        <v>5</v>
      </c>
      <c r="P295" s="237">
        <v>5</v>
      </c>
      <c r="Q295" s="237">
        <v>4</v>
      </c>
      <c r="R295" s="225">
        <v>3</v>
      </c>
      <c r="S295" s="225">
        <v>3</v>
      </c>
      <c r="T295" s="239">
        <v>5</v>
      </c>
      <c r="U295" s="235">
        <v>2</v>
      </c>
      <c r="V295" s="237">
        <v>4</v>
      </c>
      <c r="W295" s="379">
        <v>5</v>
      </c>
      <c r="X295" s="237">
        <v>4</v>
      </c>
      <c r="Y295" s="228"/>
      <c r="Z295" s="228"/>
      <c r="AA295" s="228"/>
      <c r="AB295" s="228"/>
      <c r="AC295" s="228"/>
      <c r="AD295" s="228"/>
      <c r="AE295" s="228"/>
      <c r="AF295" s="229"/>
      <c r="AG295" s="166">
        <v>75</v>
      </c>
      <c r="AH295" s="186">
        <v>159</v>
      </c>
      <c r="AI295" s="186">
        <v>58</v>
      </c>
    </row>
    <row r="296" spans="1:35" ht="15" hidden="1" customHeight="1" x14ac:dyDescent="0.25">
      <c r="A296" s="479"/>
      <c r="B296" s="505"/>
      <c r="C296" s="508"/>
      <c r="D296" s="45" t="s">
        <v>718</v>
      </c>
      <c r="E296" s="46" t="s">
        <v>31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159</v>
      </c>
      <c r="AI296" s="186">
        <v>58</v>
      </c>
    </row>
    <row r="297" spans="1:35" ht="15.75" hidden="1" customHeight="1" x14ac:dyDescent="0.25">
      <c r="A297" s="479"/>
      <c r="B297" s="505"/>
      <c r="C297" s="508"/>
      <c r="D297" s="45" t="s">
        <v>718</v>
      </c>
      <c r="E297" s="46" t="s">
        <v>32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159</v>
      </c>
      <c r="AI297" s="186">
        <v>58</v>
      </c>
    </row>
    <row r="298" spans="1:35" ht="15.75" hidden="1" customHeight="1" thickBot="1" x14ac:dyDescent="0.3">
      <c r="A298" s="480"/>
      <c r="B298" s="506"/>
      <c r="C298" s="509"/>
      <c r="D298" s="47" t="s">
        <v>718</v>
      </c>
      <c r="E298" s="48" t="s">
        <v>33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159</v>
      </c>
      <c r="AI298" s="187">
        <v>58</v>
      </c>
    </row>
    <row r="299" spans="1:35" ht="15" customHeight="1" x14ac:dyDescent="0.25">
      <c r="A299" s="478">
        <v>59</v>
      </c>
      <c r="B299" s="504">
        <v>59</v>
      </c>
      <c r="C299" s="507" t="s">
        <v>418</v>
      </c>
      <c r="D299" s="43" t="s">
        <v>418</v>
      </c>
      <c r="E299" s="44" t="s">
        <v>29</v>
      </c>
      <c r="F299" s="245">
        <v>2</v>
      </c>
      <c r="G299" s="222">
        <v>3</v>
      </c>
      <c r="H299" s="236">
        <v>4</v>
      </c>
      <c r="I299" s="238">
        <v>5</v>
      </c>
      <c r="J299" s="236">
        <v>5</v>
      </c>
      <c r="K299" s="222">
        <v>3</v>
      </c>
      <c r="L299" s="222">
        <v>3</v>
      </c>
      <c r="M299" s="222">
        <v>3</v>
      </c>
      <c r="N299" s="238">
        <v>7</v>
      </c>
      <c r="O299" s="238">
        <v>6</v>
      </c>
      <c r="P299" s="238">
        <v>6</v>
      </c>
      <c r="Q299" s="236">
        <v>4</v>
      </c>
      <c r="R299" s="222">
        <v>3</v>
      </c>
      <c r="S299" s="238">
        <v>5</v>
      </c>
      <c r="T299" s="236">
        <v>4</v>
      </c>
      <c r="U299" s="222">
        <v>3</v>
      </c>
      <c r="V299" s="236">
        <v>4</v>
      </c>
      <c r="W299" s="381">
        <v>4</v>
      </c>
      <c r="X299" s="236">
        <v>4</v>
      </c>
      <c r="Y299" s="226"/>
      <c r="Z299" s="226"/>
      <c r="AA299" s="226"/>
      <c r="AB299" s="226"/>
      <c r="AC299" s="226"/>
      <c r="AD299" s="226"/>
      <c r="AE299" s="226"/>
      <c r="AF299" s="227"/>
      <c r="AG299" s="184">
        <v>78</v>
      </c>
      <c r="AH299" s="185">
        <v>78</v>
      </c>
      <c r="AI299" s="185">
        <v>61</v>
      </c>
    </row>
    <row r="300" spans="1:35" ht="15" customHeight="1" thickBot="1" x14ac:dyDescent="0.3">
      <c r="A300" s="479"/>
      <c r="B300" s="505"/>
      <c r="C300" s="508"/>
      <c r="D300" s="45" t="s">
        <v>418</v>
      </c>
      <c r="E300" s="46" t="s">
        <v>30</v>
      </c>
      <c r="F300" s="359">
        <v>4</v>
      </c>
      <c r="G300" s="237">
        <v>4</v>
      </c>
      <c r="H300" s="225">
        <v>3</v>
      </c>
      <c r="I300" s="225">
        <v>3</v>
      </c>
      <c r="J300" s="237">
        <v>5</v>
      </c>
      <c r="K300" s="237">
        <v>4</v>
      </c>
      <c r="L300" s="237">
        <v>4</v>
      </c>
      <c r="M300" s="237">
        <v>4</v>
      </c>
      <c r="N300" s="237">
        <v>5</v>
      </c>
      <c r="O300" s="239">
        <v>6</v>
      </c>
      <c r="P300" s="239">
        <v>6</v>
      </c>
      <c r="Q300" s="239">
        <v>5</v>
      </c>
      <c r="R300" s="225">
        <v>3</v>
      </c>
      <c r="S300" s="237">
        <v>4</v>
      </c>
      <c r="T300" s="237">
        <v>4</v>
      </c>
      <c r="U300" s="239">
        <v>5</v>
      </c>
      <c r="V300" s="237">
        <v>4</v>
      </c>
      <c r="W300" s="379">
        <v>6</v>
      </c>
      <c r="X300" s="239">
        <v>5</v>
      </c>
      <c r="Y300" s="228"/>
      <c r="Z300" s="228"/>
      <c r="AA300" s="228"/>
      <c r="AB300" s="228"/>
      <c r="AC300" s="228"/>
      <c r="AD300" s="228"/>
      <c r="AE300" s="228"/>
      <c r="AF300" s="229"/>
      <c r="AG300" s="166">
        <v>84</v>
      </c>
      <c r="AH300" s="186">
        <v>162</v>
      </c>
      <c r="AI300" s="186">
        <v>59</v>
      </c>
    </row>
    <row r="301" spans="1:35" ht="15" hidden="1" customHeight="1" x14ac:dyDescent="0.25">
      <c r="A301" s="479"/>
      <c r="B301" s="505"/>
      <c r="C301" s="508"/>
      <c r="D301" s="45" t="s">
        <v>418</v>
      </c>
      <c r="E301" s="46" t="s">
        <v>31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162</v>
      </c>
      <c r="AI301" s="186">
        <v>59</v>
      </c>
    </row>
    <row r="302" spans="1:35" ht="15.75" hidden="1" customHeight="1" x14ac:dyDescent="0.25">
      <c r="A302" s="479"/>
      <c r="B302" s="505"/>
      <c r="C302" s="508"/>
      <c r="D302" s="45" t="s">
        <v>418</v>
      </c>
      <c r="E302" s="46" t="s">
        <v>32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162</v>
      </c>
      <c r="AI302" s="186">
        <v>59</v>
      </c>
    </row>
    <row r="303" spans="1:35" ht="15.75" hidden="1" customHeight="1" thickBot="1" x14ac:dyDescent="0.3">
      <c r="A303" s="480"/>
      <c r="B303" s="506"/>
      <c r="C303" s="509"/>
      <c r="D303" s="47" t="s">
        <v>418</v>
      </c>
      <c r="E303" s="48" t="s">
        <v>33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162</v>
      </c>
      <c r="AI303" s="187">
        <v>59</v>
      </c>
    </row>
    <row r="304" spans="1:35" ht="15" customHeight="1" x14ac:dyDescent="0.25">
      <c r="A304" s="478">
        <v>60</v>
      </c>
      <c r="B304" s="504">
        <v>59</v>
      </c>
      <c r="C304" s="507" t="s">
        <v>692</v>
      </c>
      <c r="D304" s="43" t="s">
        <v>692</v>
      </c>
      <c r="E304" s="44" t="s">
        <v>29</v>
      </c>
      <c r="F304" s="223">
        <v>3</v>
      </c>
      <c r="G304" s="222">
        <v>3</v>
      </c>
      <c r="H304" s="222">
        <v>3</v>
      </c>
      <c r="I304" s="222">
        <v>3</v>
      </c>
      <c r="J304" s="222">
        <v>4</v>
      </c>
      <c r="K304" s="236">
        <v>4</v>
      </c>
      <c r="L304" s="238">
        <v>5</v>
      </c>
      <c r="M304" s="238">
        <v>5</v>
      </c>
      <c r="N304" s="236">
        <v>5</v>
      </c>
      <c r="O304" s="236">
        <v>5</v>
      </c>
      <c r="P304" s="236">
        <v>5</v>
      </c>
      <c r="Q304" s="222">
        <v>3</v>
      </c>
      <c r="R304" s="222">
        <v>3</v>
      </c>
      <c r="S304" s="236">
        <v>4</v>
      </c>
      <c r="T304" s="236">
        <v>4</v>
      </c>
      <c r="U304" s="222">
        <v>3</v>
      </c>
      <c r="V304" s="236">
        <v>4</v>
      </c>
      <c r="W304" s="382">
        <v>6</v>
      </c>
      <c r="X304" s="236">
        <v>4</v>
      </c>
      <c r="Y304" s="226"/>
      <c r="Z304" s="226"/>
      <c r="AA304" s="226"/>
      <c r="AB304" s="226"/>
      <c r="AC304" s="226"/>
      <c r="AD304" s="226"/>
      <c r="AE304" s="226"/>
      <c r="AF304" s="227"/>
      <c r="AG304" s="184">
        <v>76</v>
      </c>
      <c r="AH304" s="185">
        <v>76</v>
      </c>
      <c r="AI304" s="185">
        <v>59</v>
      </c>
    </row>
    <row r="305" spans="1:35" ht="15" customHeight="1" thickBot="1" x14ac:dyDescent="0.3">
      <c r="A305" s="479"/>
      <c r="B305" s="505"/>
      <c r="C305" s="508"/>
      <c r="D305" s="45" t="s">
        <v>692</v>
      </c>
      <c r="E305" s="46" t="s">
        <v>30</v>
      </c>
      <c r="F305" s="360">
        <v>6</v>
      </c>
      <c r="G305" s="239">
        <v>5</v>
      </c>
      <c r="H305" s="235">
        <v>2</v>
      </c>
      <c r="I305" s="237">
        <v>4</v>
      </c>
      <c r="J305" s="239">
        <v>6</v>
      </c>
      <c r="K305" s="225">
        <v>3</v>
      </c>
      <c r="L305" s="237">
        <v>4</v>
      </c>
      <c r="M305" s="237">
        <v>4</v>
      </c>
      <c r="N305" s="225">
        <v>4</v>
      </c>
      <c r="O305" s="239">
        <v>6</v>
      </c>
      <c r="P305" s="239">
        <v>6</v>
      </c>
      <c r="Q305" s="239">
        <v>5</v>
      </c>
      <c r="R305" s="239">
        <v>5</v>
      </c>
      <c r="S305" s="225">
        <v>3</v>
      </c>
      <c r="T305" s="239">
        <v>6</v>
      </c>
      <c r="U305" s="237">
        <v>4</v>
      </c>
      <c r="V305" s="237">
        <v>4</v>
      </c>
      <c r="W305" s="379">
        <v>5</v>
      </c>
      <c r="X305" s="237">
        <v>4</v>
      </c>
      <c r="Y305" s="228"/>
      <c r="Z305" s="228"/>
      <c r="AA305" s="228"/>
      <c r="AB305" s="228"/>
      <c r="AC305" s="228"/>
      <c r="AD305" s="228"/>
      <c r="AE305" s="228"/>
      <c r="AF305" s="229"/>
      <c r="AG305" s="166">
        <v>86</v>
      </c>
      <c r="AH305" s="186">
        <v>162</v>
      </c>
      <c r="AI305" s="186">
        <v>59</v>
      </c>
    </row>
    <row r="306" spans="1:35" ht="15" hidden="1" customHeight="1" x14ac:dyDescent="0.25">
      <c r="A306" s="479"/>
      <c r="B306" s="505"/>
      <c r="C306" s="508"/>
      <c r="D306" s="45" t="s">
        <v>692</v>
      </c>
      <c r="E306" s="46" t="s">
        <v>31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162</v>
      </c>
      <c r="AI306" s="186">
        <v>59</v>
      </c>
    </row>
    <row r="307" spans="1:35" ht="15.75" hidden="1" customHeight="1" x14ac:dyDescent="0.25">
      <c r="A307" s="479"/>
      <c r="B307" s="505"/>
      <c r="C307" s="508"/>
      <c r="D307" s="45" t="s">
        <v>692</v>
      </c>
      <c r="E307" s="46" t="s">
        <v>32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162</v>
      </c>
      <c r="AI307" s="186">
        <v>59</v>
      </c>
    </row>
    <row r="308" spans="1:35" ht="15.75" hidden="1" customHeight="1" thickBot="1" x14ac:dyDescent="0.3">
      <c r="A308" s="480"/>
      <c r="B308" s="506"/>
      <c r="C308" s="509"/>
      <c r="D308" s="47" t="s">
        <v>692</v>
      </c>
      <c r="E308" s="48" t="s">
        <v>33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162</v>
      </c>
      <c r="AI308" s="187">
        <v>59</v>
      </c>
    </row>
    <row r="309" spans="1:35" ht="15" customHeight="1" x14ac:dyDescent="0.25">
      <c r="A309" s="478">
        <v>61</v>
      </c>
      <c r="B309" s="504">
        <v>61</v>
      </c>
      <c r="C309" s="507" t="s">
        <v>621</v>
      </c>
      <c r="D309" s="43" t="s">
        <v>621</v>
      </c>
      <c r="E309" s="44" t="s">
        <v>29</v>
      </c>
      <c r="F309" s="358">
        <v>4</v>
      </c>
      <c r="G309" s="222">
        <v>3</v>
      </c>
      <c r="H309" s="222">
        <v>3</v>
      </c>
      <c r="I309" s="236">
        <v>4</v>
      </c>
      <c r="J309" s="222">
        <v>4</v>
      </c>
      <c r="K309" s="236">
        <v>4</v>
      </c>
      <c r="L309" s="238">
        <v>5</v>
      </c>
      <c r="M309" s="238">
        <v>5</v>
      </c>
      <c r="N309" s="236">
        <v>5</v>
      </c>
      <c r="O309" s="236">
        <v>5</v>
      </c>
      <c r="P309" s="222">
        <v>4</v>
      </c>
      <c r="Q309" s="238">
        <v>5</v>
      </c>
      <c r="R309" s="236">
        <v>4</v>
      </c>
      <c r="S309" s="222">
        <v>3</v>
      </c>
      <c r="T309" s="236">
        <v>4</v>
      </c>
      <c r="U309" s="222">
        <v>3</v>
      </c>
      <c r="V309" s="222">
        <v>3</v>
      </c>
      <c r="W309" s="387">
        <v>2</v>
      </c>
      <c r="X309" s="236">
        <v>4</v>
      </c>
      <c r="Y309" s="226"/>
      <c r="Z309" s="226"/>
      <c r="AA309" s="226"/>
      <c r="AB309" s="226"/>
      <c r="AC309" s="226"/>
      <c r="AD309" s="226"/>
      <c r="AE309" s="226"/>
      <c r="AF309" s="227"/>
      <c r="AG309" s="184">
        <v>74</v>
      </c>
      <c r="AH309" s="185">
        <v>74</v>
      </c>
      <c r="AI309" s="185">
        <v>49</v>
      </c>
    </row>
    <row r="310" spans="1:35" ht="15" customHeight="1" thickBot="1" x14ac:dyDescent="0.3">
      <c r="A310" s="479"/>
      <c r="B310" s="505"/>
      <c r="C310" s="508"/>
      <c r="D310" s="45" t="s">
        <v>621</v>
      </c>
      <c r="E310" s="46" t="s">
        <v>30</v>
      </c>
      <c r="F310" s="360">
        <v>6</v>
      </c>
      <c r="G310" s="237">
        <v>4</v>
      </c>
      <c r="H310" s="237">
        <v>4</v>
      </c>
      <c r="I310" s="237">
        <v>4</v>
      </c>
      <c r="J310" s="237">
        <v>5</v>
      </c>
      <c r="K310" s="239">
        <v>6</v>
      </c>
      <c r="L310" s="239">
        <v>5</v>
      </c>
      <c r="M310" s="225">
        <v>3</v>
      </c>
      <c r="N310" s="237">
        <v>5</v>
      </c>
      <c r="O310" s="237">
        <v>5</v>
      </c>
      <c r="P310" s="239">
        <v>6</v>
      </c>
      <c r="Q310" s="237">
        <v>4</v>
      </c>
      <c r="R310" s="237">
        <v>4</v>
      </c>
      <c r="S310" s="237">
        <v>4</v>
      </c>
      <c r="T310" s="225">
        <v>3</v>
      </c>
      <c r="U310" s="237">
        <v>4</v>
      </c>
      <c r="V310" s="237">
        <v>4</v>
      </c>
      <c r="W310" s="379">
        <v>7</v>
      </c>
      <c r="X310" s="239">
        <v>7</v>
      </c>
      <c r="Y310" s="228"/>
      <c r="Z310" s="228"/>
      <c r="AA310" s="228"/>
      <c r="AB310" s="228"/>
      <c r="AC310" s="228"/>
      <c r="AD310" s="228"/>
      <c r="AE310" s="228"/>
      <c r="AF310" s="229"/>
      <c r="AG310" s="166">
        <v>90</v>
      </c>
      <c r="AH310" s="186">
        <v>164</v>
      </c>
      <c r="AI310" s="186">
        <v>61</v>
      </c>
    </row>
    <row r="311" spans="1:35" ht="15" hidden="1" customHeight="1" x14ac:dyDescent="0.25">
      <c r="A311" s="479"/>
      <c r="B311" s="505"/>
      <c r="C311" s="508"/>
      <c r="D311" s="45" t="s">
        <v>621</v>
      </c>
      <c r="E311" s="46" t="s">
        <v>31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164</v>
      </c>
      <c r="AI311" s="186">
        <v>61</v>
      </c>
    </row>
    <row r="312" spans="1:35" ht="15.75" hidden="1" customHeight="1" x14ac:dyDescent="0.25">
      <c r="A312" s="479"/>
      <c r="B312" s="505"/>
      <c r="C312" s="508"/>
      <c r="D312" s="45" t="s">
        <v>621</v>
      </c>
      <c r="E312" s="46" t="s">
        <v>32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164</v>
      </c>
      <c r="AI312" s="186">
        <v>61</v>
      </c>
    </row>
    <row r="313" spans="1:35" ht="15.75" hidden="1" customHeight="1" thickBot="1" x14ac:dyDescent="0.3">
      <c r="A313" s="480"/>
      <c r="B313" s="506"/>
      <c r="C313" s="509"/>
      <c r="D313" s="47" t="s">
        <v>621</v>
      </c>
      <c r="E313" s="48" t="s">
        <v>33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164</v>
      </c>
      <c r="AI313" s="187">
        <v>61</v>
      </c>
    </row>
    <row r="314" spans="1:35" ht="15" hidden="1" customHeight="1" x14ac:dyDescent="0.25">
      <c r="A314" s="478">
        <v>62</v>
      </c>
      <c r="B314" s="504" t="e">
        <v>#N/A</v>
      </c>
      <c r="C314" s="507" t="e">
        <v>#N/A</v>
      </c>
      <c r="D314" s="43" t="e">
        <v>#N/A</v>
      </c>
      <c r="E314" s="44" t="s">
        <v>29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thickBot="1" x14ac:dyDescent="0.3">
      <c r="A315" s="479"/>
      <c r="B315" s="505"/>
      <c r="C315" s="508"/>
      <c r="D315" s="45" t="e">
        <v>#N/A</v>
      </c>
      <c r="E315" s="46" t="s">
        <v>30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79"/>
      <c r="B316" s="505"/>
      <c r="C316" s="508"/>
      <c r="D316" s="45" t="e">
        <v>#N/A</v>
      </c>
      <c r="E316" s="46" t="s">
        <v>31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x14ac:dyDescent="0.25">
      <c r="A317" s="479"/>
      <c r="B317" s="505"/>
      <c r="C317" s="508"/>
      <c r="D317" s="45" t="e">
        <v>#N/A</v>
      </c>
      <c r="E317" s="46" t="s">
        <v>32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80"/>
      <c r="B318" s="506"/>
      <c r="C318" s="509"/>
      <c r="D318" s="47" t="e">
        <v>#N/A</v>
      </c>
      <c r="E318" s="48" t="s">
        <v>33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78">
        <v>63</v>
      </c>
      <c r="B319" s="504" t="e">
        <v>#N/A</v>
      </c>
      <c r="C319" s="507" t="e">
        <v>#N/A</v>
      </c>
      <c r="D319" s="43" t="e">
        <v>#N/A</v>
      </c>
      <c r="E319" s="44" t="s">
        <v>29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thickBot="1" x14ac:dyDescent="0.3">
      <c r="A320" s="479"/>
      <c r="B320" s="505"/>
      <c r="C320" s="508"/>
      <c r="D320" s="45" t="e">
        <v>#N/A</v>
      </c>
      <c r="E320" s="46" t="s">
        <v>30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79"/>
      <c r="B321" s="505"/>
      <c r="C321" s="508"/>
      <c r="D321" s="45" t="e">
        <v>#N/A</v>
      </c>
      <c r="E321" s="46" t="s">
        <v>31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x14ac:dyDescent="0.25">
      <c r="A322" s="479"/>
      <c r="B322" s="505"/>
      <c r="C322" s="508"/>
      <c r="D322" s="45" t="e">
        <v>#N/A</v>
      </c>
      <c r="E322" s="46" t="s">
        <v>32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80"/>
      <c r="B323" s="506"/>
      <c r="C323" s="509"/>
      <c r="D323" s="47" t="e">
        <v>#N/A</v>
      </c>
      <c r="E323" s="48" t="s">
        <v>33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78">
        <v>64</v>
      </c>
      <c r="B324" s="504" t="e">
        <v>#N/A</v>
      </c>
      <c r="C324" s="507" t="e">
        <v>#N/A</v>
      </c>
      <c r="D324" s="43" t="e">
        <v>#N/A</v>
      </c>
      <c r="E324" s="44" t="s">
        <v>29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thickBot="1" x14ac:dyDescent="0.3">
      <c r="A325" s="479"/>
      <c r="B325" s="505"/>
      <c r="C325" s="508"/>
      <c r="D325" s="45" t="e">
        <v>#N/A</v>
      </c>
      <c r="E325" s="46" t="s">
        <v>30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79"/>
      <c r="B326" s="505"/>
      <c r="C326" s="508"/>
      <c r="D326" s="45" t="e">
        <v>#N/A</v>
      </c>
      <c r="E326" s="46" t="s">
        <v>31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x14ac:dyDescent="0.25">
      <c r="A327" s="479"/>
      <c r="B327" s="505"/>
      <c r="C327" s="508"/>
      <c r="D327" s="45" t="e">
        <v>#N/A</v>
      </c>
      <c r="E327" s="46" t="s">
        <v>32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80"/>
      <c r="B328" s="506"/>
      <c r="C328" s="509"/>
      <c r="D328" s="47" t="e">
        <v>#N/A</v>
      </c>
      <c r="E328" s="48" t="s">
        <v>33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78">
        <v>65</v>
      </c>
      <c r="B329" s="504" t="e">
        <v>#N/A</v>
      </c>
      <c r="C329" s="507" t="e">
        <v>#N/A</v>
      </c>
      <c r="D329" s="43" t="e">
        <v>#N/A</v>
      </c>
      <c r="E329" s="44" t="s">
        <v>29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thickBot="1" x14ac:dyDescent="0.3">
      <c r="A330" s="479"/>
      <c r="B330" s="505"/>
      <c r="C330" s="508"/>
      <c r="D330" s="45" t="e">
        <v>#N/A</v>
      </c>
      <c r="E330" s="46" t="s">
        <v>30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79"/>
      <c r="B331" s="505"/>
      <c r="C331" s="508"/>
      <c r="D331" s="45" t="e">
        <v>#N/A</v>
      </c>
      <c r="E331" s="46" t="s">
        <v>31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x14ac:dyDescent="0.25">
      <c r="A332" s="479"/>
      <c r="B332" s="505"/>
      <c r="C332" s="508"/>
      <c r="D332" s="45" t="e">
        <v>#N/A</v>
      </c>
      <c r="E332" s="46" t="s">
        <v>32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80"/>
      <c r="B333" s="506"/>
      <c r="C333" s="509"/>
      <c r="D333" s="47" t="e">
        <v>#N/A</v>
      </c>
      <c r="E333" s="48" t="s">
        <v>33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78">
        <v>66</v>
      </c>
      <c r="B334" s="504" t="e">
        <v>#N/A</v>
      </c>
      <c r="C334" s="507" t="e">
        <v>#N/A</v>
      </c>
      <c r="D334" s="43" t="e">
        <v>#N/A</v>
      </c>
      <c r="E334" s="44" t="s">
        <v>29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thickBot="1" x14ac:dyDescent="0.3">
      <c r="A335" s="479"/>
      <c r="B335" s="505"/>
      <c r="C335" s="508"/>
      <c r="D335" s="45" t="e">
        <v>#N/A</v>
      </c>
      <c r="E335" s="46" t="s">
        <v>30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79"/>
      <c r="B336" s="505"/>
      <c r="C336" s="508"/>
      <c r="D336" s="45" t="e">
        <v>#N/A</v>
      </c>
      <c r="E336" s="46" t="s">
        <v>31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x14ac:dyDescent="0.25">
      <c r="A337" s="479"/>
      <c r="B337" s="505"/>
      <c r="C337" s="508"/>
      <c r="D337" s="45" t="e">
        <v>#N/A</v>
      </c>
      <c r="E337" s="46" t="s">
        <v>32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80"/>
      <c r="B338" s="506"/>
      <c r="C338" s="509"/>
      <c r="D338" s="47" t="e">
        <v>#N/A</v>
      </c>
      <c r="E338" s="48" t="s">
        <v>33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78">
        <v>67</v>
      </c>
      <c r="B339" s="504" t="e">
        <v>#N/A</v>
      </c>
      <c r="C339" s="507" t="e">
        <v>#N/A</v>
      </c>
      <c r="D339" s="43" t="e">
        <v>#N/A</v>
      </c>
      <c r="E339" s="44" t="s">
        <v>29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thickBot="1" x14ac:dyDescent="0.3">
      <c r="A340" s="479"/>
      <c r="B340" s="505"/>
      <c r="C340" s="508"/>
      <c r="D340" s="45" t="e">
        <v>#N/A</v>
      </c>
      <c r="E340" s="46" t="s">
        <v>30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79"/>
      <c r="B341" s="505"/>
      <c r="C341" s="508"/>
      <c r="D341" s="45" t="e">
        <v>#N/A</v>
      </c>
      <c r="E341" s="46" t="s">
        <v>31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x14ac:dyDescent="0.25">
      <c r="A342" s="479"/>
      <c r="B342" s="505"/>
      <c r="C342" s="508"/>
      <c r="D342" s="45" t="e">
        <v>#N/A</v>
      </c>
      <c r="E342" s="46" t="s">
        <v>32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80"/>
      <c r="B343" s="506"/>
      <c r="C343" s="509"/>
      <c r="D343" s="47" t="e">
        <v>#N/A</v>
      </c>
      <c r="E343" s="48" t="s">
        <v>33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78">
        <v>68</v>
      </c>
      <c r="B344" s="504" t="e">
        <v>#N/A</v>
      </c>
      <c r="C344" s="507" t="e">
        <v>#N/A</v>
      </c>
      <c r="D344" s="43" t="e">
        <v>#N/A</v>
      </c>
      <c r="E344" s="44" t="s">
        <v>29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thickBot="1" x14ac:dyDescent="0.3">
      <c r="A345" s="479"/>
      <c r="B345" s="505"/>
      <c r="C345" s="508"/>
      <c r="D345" s="45" t="e">
        <v>#N/A</v>
      </c>
      <c r="E345" s="46" t="s">
        <v>30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79"/>
      <c r="B346" s="505"/>
      <c r="C346" s="508"/>
      <c r="D346" s="45" t="e">
        <v>#N/A</v>
      </c>
      <c r="E346" s="46" t="s">
        <v>31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x14ac:dyDescent="0.25">
      <c r="A347" s="479"/>
      <c r="B347" s="505"/>
      <c r="C347" s="508"/>
      <c r="D347" s="45" t="e">
        <v>#N/A</v>
      </c>
      <c r="E347" s="46" t="s">
        <v>32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80"/>
      <c r="B348" s="506"/>
      <c r="C348" s="509"/>
      <c r="D348" s="47" t="e">
        <v>#N/A</v>
      </c>
      <c r="E348" s="48" t="s">
        <v>33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78">
        <v>69</v>
      </c>
      <c r="B349" s="504" t="e">
        <v>#N/A</v>
      </c>
      <c r="C349" s="507" t="e">
        <v>#N/A</v>
      </c>
      <c r="D349" s="43" t="e">
        <v>#N/A</v>
      </c>
      <c r="E349" s="44" t="s">
        <v>29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thickBot="1" x14ac:dyDescent="0.3">
      <c r="A350" s="479"/>
      <c r="B350" s="505"/>
      <c r="C350" s="508"/>
      <c r="D350" s="45" t="e">
        <v>#N/A</v>
      </c>
      <c r="E350" s="46" t="s">
        <v>30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79"/>
      <c r="B351" s="505"/>
      <c r="C351" s="508"/>
      <c r="D351" s="45" t="e">
        <v>#N/A</v>
      </c>
      <c r="E351" s="46" t="s">
        <v>31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x14ac:dyDescent="0.25">
      <c r="A352" s="479"/>
      <c r="B352" s="505"/>
      <c r="C352" s="508"/>
      <c r="D352" s="45" t="e">
        <v>#N/A</v>
      </c>
      <c r="E352" s="46" t="s">
        <v>32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80"/>
      <c r="B353" s="506"/>
      <c r="C353" s="509"/>
      <c r="D353" s="47" t="e">
        <v>#N/A</v>
      </c>
      <c r="E353" s="48" t="s">
        <v>33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78">
        <v>70</v>
      </c>
      <c r="B354" s="504" t="e">
        <v>#N/A</v>
      </c>
      <c r="C354" s="507" t="e">
        <v>#N/A</v>
      </c>
      <c r="D354" s="43" t="e">
        <v>#N/A</v>
      </c>
      <c r="E354" s="44" t="s">
        <v>29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thickBot="1" x14ac:dyDescent="0.3">
      <c r="A355" s="479"/>
      <c r="B355" s="505"/>
      <c r="C355" s="508"/>
      <c r="D355" s="45" t="e">
        <v>#N/A</v>
      </c>
      <c r="E355" s="46" t="s">
        <v>30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79"/>
      <c r="B356" s="505"/>
      <c r="C356" s="508"/>
      <c r="D356" s="45" t="e">
        <v>#N/A</v>
      </c>
      <c r="E356" s="46" t="s">
        <v>31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x14ac:dyDescent="0.25">
      <c r="A357" s="479"/>
      <c r="B357" s="505"/>
      <c r="C357" s="508"/>
      <c r="D357" s="45" t="e">
        <v>#N/A</v>
      </c>
      <c r="E357" s="46" t="s">
        <v>32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80"/>
      <c r="B358" s="506"/>
      <c r="C358" s="509"/>
      <c r="D358" s="47" t="e">
        <v>#N/A</v>
      </c>
      <c r="E358" s="48" t="s">
        <v>33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78">
        <v>71</v>
      </c>
      <c r="B359" s="504" t="e">
        <v>#N/A</v>
      </c>
      <c r="C359" s="507" t="e">
        <v>#N/A</v>
      </c>
      <c r="D359" s="43" t="e">
        <v>#N/A</v>
      </c>
      <c r="E359" s="44" t="s">
        <v>29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thickBot="1" x14ac:dyDescent="0.3">
      <c r="A360" s="479"/>
      <c r="B360" s="505"/>
      <c r="C360" s="508"/>
      <c r="D360" s="45" t="e">
        <v>#N/A</v>
      </c>
      <c r="E360" s="46" t="s">
        <v>30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79"/>
      <c r="B361" s="505"/>
      <c r="C361" s="508"/>
      <c r="D361" s="45" t="e">
        <v>#N/A</v>
      </c>
      <c r="E361" s="46" t="s">
        <v>31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x14ac:dyDescent="0.25">
      <c r="A362" s="479"/>
      <c r="B362" s="505"/>
      <c r="C362" s="508"/>
      <c r="D362" s="45" t="e">
        <v>#N/A</v>
      </c>
      <c r="E362" s="46" t="s">
        <v>32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80"/>
      <c r="B363" s="506"/>
      <c r="C363" s="509"/>
      <c r="D363" s="47" t="e">
        <v>#N/A</v>
      </c>
      <c r="E363" s="48" t="s">
        <v>33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78">
        <v>72</v>
      </c>
      <c r="B364" s="504" t="e">
        <v>#N/A</v>
      </c>
      <c r="C364" s="507" t="e">
        <v>#N/A</v>
      </c>
      <c r="D364" s="43" t="e">
        <v>#N/A</v>
      </c>
      <c r="E364" s="44" t="s">
        <v>29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thickBot="1" x14ac:dyDescent="0.3">
      <c r="A365" s="479"/>
      <c r="B365" s="505"/>
      <c r="C365" s="508"/>
      <c r="D365" s="45" t="e">
        <v>#N/A</v>
      </c>
      <c r="E365" s="46" t="s">
        <v>30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79"/>
      <c r="B366" s="505"/>
      <c r="C366" s="508"/>
      <c r="D366" s="45" t="e">
        <v>#N/A</v>
      </c>
      <c r="E366" s="46" t="s">
        <v>31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x14ac:dyDescent="0.25">
      <c r="A367" s="479"/>
      <c r="B367" s="505"/>
      <c r="C367" s="508"/>
      <c r="D367" s="45" t="e">
        <v>#N/A</v>
      </c>
      <c r="E367" s="46" t="s">
        <v>32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80"/>
      <c r="B368" s="506"/>
      <c r="C368" s="509"/>
      <c r="D368" s="47" t="e">
        <v>#N/A</v>
      </c>
      <c r="E368" s="48" t="s">
        <v>33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78">
        <v>73</v>
      </c>
      <c r="B369" s="504" t="e">
        <v>#N/A</v>
      </c>
      <c r="C369" s="507" t="e">
        <v>#N/A</v>
      </c>
      <c r="D369" s="43" t="e">
        <v>#N/A</v>
      </c>
      <c r="E369" s="44" t="s">
        <v>29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thickBot="1" x14ac:dyDescent="0.3">
      <c r="A370" s="479"/>
      <c r="B370" s="505"/>
      <c r="C370" s="508"/>
      <c r="D370" s="45" t="e">
        <v>#N/A</v>
      </c>
      <c r="E370" s="46" t="s">
        <v>30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79"/>
      <c r="B371" s="505"/>
      <c r="C371" s="508"/>
      <c r="D371" s="45" t="e">
        <v>#N/A</v>
      </c>
      <c r="E371" s="46" t="s">
        <v>31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x14ac:dyDescent="0.25">
      <c r="A372" s="479"/>
      <c r="B372" s="505"/>
      <c r="C372" s="508"/>
      <c r="D372" s="45" t="e">
        <v>#N/A</v>
      </c>
      <c r="E372" s="46" t="s">
        <v>32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80"/>
      <c r="B373" s="506"/>
      <c r="C373" s="509"/>
      <c r="D373" s="47" t="e">
        <v>#N/A</v>
      </c>
      <c r="E373" s="48" t="s">
        <v>33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78">
        <v>74</v>
      </c>
      <c r="B374" s="504" t="e">
        <v>#N/A</v>
      </c>
      <c r="C374" s="507" t="e">
        <v>#N/A</v>
      </c>
      <c r="D374" s="43" t="e">
        <v>#N/A</v>
      </c>
      <c r="E374" s="44" t="s">
        <v>29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thickBot="1" x14ac:dyDescent="0.3">
      <c r="A375" s="479"/>
      <c r="B375" s="505"/>
      <c r="C375" s="508"/>
      <c r="D375" s="45" t="e">
        <v>#N/A</v>
      </c>
      <c r="E375" s="46" t="s">
        <v>30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79"/>
      <c r="B376" s="505"/>
      <c r="C376" s="508"/>
      <c r="D376" s="45" t="e">
        <v>#N/A</v>
      </c>
      <c r="E376" s="46" t="s">
        <v>31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x14ac:dyDescent="0.25">
      <c r="A377" s="479"/>
      <c r="B377" s="505"/>
      <c r="C377" s="508"/>
      <c r="D377" s="45" t="e">
        <v>#N/A</v>
      </c>
      <c r="E377" s="46" t="s">
        <v>32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80"/>
      <c r="B378" s="506"/>
      <c r="C378" s="509"/>
      <c r="D378" s="47" t="e">
        <v>#N/A</v>
      </c>
      <c r="E378" s="48" t="s">
        <v>33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78">
        <v>75</v>
      </c>
      <c r="B379" s="504" t="e">
        <v>#N/A</v>
      </c>
      <c r="C379" s="507" t="e">
        <v>#N/A</v>
      </c>
      <c r="D379" s="43" t="e">
        <v>#N/A</v>
      </c>
      <c r="E379" s="44" t="s">
        <v>29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thickBot="1" x14ac:dyDescent="0.3">
      <c r="A380" s="479"/>
      <c r="B380" s="505"/>
      <c r="C380" s="508"/>
      <c r="D380" s="45" t="e">
        <v>#N/A</v>
      </c>
      <c r="E380" s="46" t="s">
        <v>30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79"/>
      <c r="B381" s="505"/>
      <c r="C381" s="508"/>
      <c r="D381" s="45" t="e">
        <v>#N/A</v>
      </c>
      <c r="E381" s="46" t="s">
        <v>31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x14ac:dyDescent="0.25">
      <c r="A382" s="479"/>
      <c r="B382" s="505"/>
      <c r="C382" s="508"/>
      <c r="D382" s="45" t="e">
        <v>#N/A</v>
      </c>
      <c r="E382" s="46" t="s">
        <v>32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80"/>
      <c r="B383" s="506"/>
      <c r="C383" s="509"/>
      <c r="D383" s="47" t="e">
        <v>#N/A</v>
      </c>
      <c r="E383" s="48" t="s">
        <v>33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78">
        <v>76</v>
      </c>
      <c r="B384" s="504" t="e">
        <v>#N/A</v>
      </c>
      <c r="C384" s="507" t="e">
        <v>#N/A</v>
      </c>
      <c r="D384" s="43" t="e">
        <v>#N/A</v>
      </c>
      <c r="E384" s="44" t="s">
        <v>29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thickBot="1" x14ac:dyDescent="0.3">
      <c r="A385" s="479"/>
      <c r="B385" s="505"/>
      <c r="C385" s="508"/>
      <c r="D385" s="45" t="e">
        <v>#N/A</v>
      </c>
      <c r="E385" s="46" t="s">
        <v>30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79"/>
      <c r="B386" s="505"/>
      <c r="C386" s="508"/>
      <c r="D386" s="45" t="e">
        <v>#N/A</v>
      </c>
      <c r="E386" s="46" t="s">
        <v>31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x14ac:dyDescent="0.25">
      <c r="A387" s="479"/>
      <c r="B387" s="505"/>
      <c r="C387" s="508"/>
      <c r="D387" s="45" t="e">
        <v>#N/A</v>
      </c>
      <c r="E387" s="46" t="s">
        <v>32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80"/>
      <c r="B388" s="506"/>
      <c r="C388" s="509"/>
      <c r="D388" s="47" t="e">
        <v>#N/A</v>
      </c>
      <c r="E388" s="48" t="s">
        <v>33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78">
        <v>77</v>
      </c>
      <c r="B389" s="504" t="e">
        <v>#N/A</v>
      </c>
      <c r="C389" s="507" t="e">
        <v>#N/A</v>
      </c>
      <c r="D389" s="43" t="e">
        <v>#N/A</v>
      </c>
      <c r="E389" s="44" t="s">
        <v>29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thickBot="1" x14ac:dyDescent="0.3">
      <c r="A390" s="479"/>
      <c r="B390" s="505"/>
      <c r="C390" s="508"/>
      <c r="D390" s="45" t="e">
        <v>#N/A</v>
      </c>
      <c r="E390" s="46" t="s">
        <v>30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79"/>
      <c r="B391" s="505"/>
      <c r="C391" s="508"/>
      <c r="D391" s="45" t="e">
        <v>#N/A</v>
      </c>
      <c r="E391" s="46" t="s">
        <v>31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x14ac:dyDescent="0.25">
      <c r="A392" s="479"/>
      <c r="B392" s="505"/>
      <c r="C392" s="508"/>
      <c r="D392" s="45" t="e">
        <v>#N/A</v>
      </c>
      <c r="E392" s="46" t="s">
        <v>32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80"/>
      <c r="B393" s="506"/>
      <c r="C393" s="509"/>
      <c r="D393" s="47" t="e">
        <v>#N/A</v>
      </c>
      <c r="E393" s="48" t="s">
        <v>33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78">
        <v>78</v>
      </c>
      <c r="B394" s="504" t="e">
        <v>#N/A</v>
      </c>
      <c r="C394" s="507" t="e">
        <v>#N/A</v>
      </c>
      <c r="D394" s="43" t="e">
        <v>#N/A</v>
      </c>
      <c r="E394" s="44" t="s">
        <v>29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thickBot="1" x14ac:dyDescent="0.3">
      <c r="A395" s="479"/>
      <c r="B395" s="505"/>
      <c r="C395" s="508"/>
      <c r="D395" s="45" t="e">
        <v>#N/A</v>
      </c>
      <c r="E395" s="46" t="s">
        <v>30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79"/>
      <c r="B396" s="505"/>
      <c r="C396" s="508"/>
      <c r="D396" s="45" t="e">
        <v>#N/A</v>
      </c>
      <c r="E396" s="46" t="s">
        <v>31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x14ac:dyDescent="0.25">
      <c r="A397" s="479"/>
      <c r="B397" s="505"/>
      <c r="C397" s="508"/>
      <c r="D397" s="45" t="e">
        <v>#N/A</v>
      </c>
      <c r="E397" s="46" t="s">
        <v>32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80"/>
      <c r="B398" s="506"/>
      <c r="C398" s="509"/>
      <c r="D398" s="47" t="e">
        <v>#N/A</v>
      </c>
      <c r="E398" s="48" t="s">
        <v>33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78">
        <v>79</v>
      </c>
      <c r="B399" s="504" t="e">
        <v>#N/A</v>
      </c>
      <c r="C399" s="507" t="e">
        <v>#N/A</v>
      </c>
      <c r="D399" s="43" t="e">
        <v>#N/A</v>
      </c>
      <c r="E399" s="44" t="s">
        <v>29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thickBot="1" x14ac:dyDescent="0.3">
      <c r="A400" s="479"/>
      <c r="B400" s="505"/>
      <c r="C400" s="508"/>
      <c r="D400" s="45" t="e">
        <v>#N/A</v>
      </c>
      <c r="E400" s="46" t="s">
        <v>30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79"/>
      <c r="B401" s="505"/>
      <c r="C401" s="508"/>
      <c r="D401" s="45" t="e">
        <v>#N/A</v>
      </c>
      <c r="E401" s="46" t="s">
        <v>31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x14ac:dyDescent="0.25">
      <c r="A402" s="479"/>
      <c r="B402" s="505"/>
      <c r="C402" s="508"/>
      <c r="D402" s="45" t="e">
        <v>#N/A</v>
      </c>
      <c r="E402" s="46" t="s">
        <v>32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80"/>
      <c r="B403" s="506"/>
      <c r="C403" s="509"/>
      <c r="D403" s="47" t="e">
        <v>#N/A</v>
      </c>
      <c r="E403" s="48" t="s">
        <v>33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78">
        <v>80</v>
      </c>
      <c r="B404" s="504" t="e">
        <v>#N/A</v>
      </c>
      <c r="C404" s="507" t="e">
        <v>#N/A</v>
      </c>
      <c r="D404" s="43" t="e">
        <v>#N/A</v>
      </c>
      <c r="E404" s="44" t="s">
        <v>29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thickBot="1" x14ac:dyDescent="0.3">
      <c r="A405" s="479"/>
      <c r="B405" s="505"/>
      <c r="C405" s="508"/>
      <c r="D405" s="45" t="e">
        <v>#N/A</v>
      </c>
      <c r="E405" s="46" t="s">
        <v>30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79"/>
      <c r="B406" s="505"/>
      <c r="C406" s="508"/>
      <c r="D406" s="45" t="e">
        <v>#N/A</v>
      </c>
      <c r="E406" s="46" t="s">
        <v>31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x14ac:dyDescent="0.25">
      <c r="A407" s="479"/>
      <c r="B407" s="505"/>
      <c r="C407" s="508"/>
      <c r="D407" s="45" t="e">
        <v>#N/A</v>
      </c>
      <c r="E407" s="46" t="s">
        <v>32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80"/>
      <c r="B408" s="506"/>
      <c r="C408" s="509"/>
      <c r="D408" s="47" t="e">
        <v>#N/A</v>
      </c>
      <c r="E408" s="48" t="s">
        <v>33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78" t="s">
        <v>37</v>
      </c>
      <c r="B409" s="504" t="s">
        <v>807</v>
      </c>
      <c r="C409" s="507" t="s">
        <v>722</v>
      </c>
      <c r="D409" s="43" t="s">
        <v>722</v>
      </c>
      <c r="E409" s="44" t="s">
        <v>29</v>
      </c>
      <c r="F409" s="223">
        <v>3</v>
      </c>
      <c r="G409" s="241">
        <v>2</v>
      </c>
      <c r="H409" s="222">
        <v>3</v>
      </c>
      <c r="I409" s="222">
        <v>3</v>
      </c>
      <c r="J409" s="236">
        <v>5</v>
      </c>
      <c r="K409" s="222">
        <v>3</v>
      </c>
      <c r="L409" s="222">
        <v>3</v>
      </c>
      <c r="M409" s="222">
        <v>3</v>
      </c>
      <c r="N409" s="236">
        <v>5</v>
      </c>
      <c r="O409" s="222">
        <v>4</v>
      </c>
      <c r="P409" s="222">
        <v>4</v>
      </c>
      <c r="Q409" s="241">
        <v>2</v>
      </c>
      <c r="R409" s="241">
        <v>2</v>
      </c>
      <c r="S409" s="236">
        <v>4</v>
      </c>
      <c r="T409" s="236">
        <v>4</v>
      </c>
      <c r="U409" s="222">
        <v>3</v>
      </c>
      <c r="V409" s="222">
        <v>3</v>
      </c>
      <c r="W409" s="382">
        <v>6</v>
      </c>
      <c r="X409" s="236">
        <v>4</v>
      </c>
      <c r="Y409" s="226"/>
      <c r="Z409" s="226"/>
      <c r="AA409" s="226"/>
      <c r="AB409" s="226"/>
      <c r="AC409" s="226"/>
      <c r="AD409" s="226"/>
      <c r="AE409" s="226"/>
      <c r="AF409" s="227"/>
      <c r="AG409" s="184">
        <v>66</v>
      </c>
      <c r="AH409" s="185">
        <v>66</v>
      </c>
      <c r="AI409" s="185">
        <v>32</v>
      </c>
    </row>
    <row r="410" spans="1:35" ht="15" customHeight="1" x14ac:dyDescent="0.25">
      <c r="A410" s="479"/>
      <c r="B410" s="505"/>
      <c r="C410" s="508"/>
      <c r="D410" s="45" t="s">
        <v>722</v>
      </c>
      <c r="E410" s="46" t="s">
        <v>30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66</v>
      </c>
      <c r="AI410" s="186" t="s">
        <v>807</v>
      </c>
    </row>
    <row r="411" spans="1:35" ht="15" hidden="1" customHeight="1" x14ac:dyDescent="0.25">
      <c r="A411" s="479"/>
      <c r="B411" s="505"/>
      <c r="C411" s="508"/>
      <c r="D411" s="45" t="s">
        <v>722</v>
      </c>
      <c r="E411" s="46" t="s">
        <v>31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66</v>
      </c>
      <c r="AI411" s="186" t="s">
        <v>807</v>
      </c>
    </row>
    <row r="412" spans="1:35" ht="15.75" hidden="1" customHeight="1" x14ac:dyDescent="0.25">
      <c r="A412" s="479"/>
      <c r="B412" s="505"/>
      <c r="C412" s="508"/>
      <c r="D412" s="45" t="s">
        <v>722</v>
      </c>
      <c r="E412" s="46" t="s">
        <v>32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66</v>
      </c>
      <c r="AI412" s="186" t="s">
        <v>807</v>
      </c>
    </row>
    <row r="413" spans="1:35" ht="15.75" hidden="1" customHeight="1" thickBot="1" x14ac:dyDescent="0.3">
      <c r="A413" s="480"/>
      <c r="B413" s="506"/>
      <c r="C413" s="509"/>
      <c r="D413" s="47" t="s">
        <v>722</v>
      </c>
      <c r="E413" s="48" t="s">
        <v>33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66</v>
      </c>
      <c r="AI413" s="187" t="s">
        <v>807</v>
      </c>
    </row>
    <row r="414" spans="1:35" ht="15" hidden="1" customHeight="1" x14ac:dyDescent="0.25">
      <c r="A414" s="478" t="s">
        <v>38</v>
      </c>
      <c r="B414" s="504" t="e">
        <v>#N/A</v>
      </c>
      <c r="C414" s="507" t="e">
        <v>#N/A</v>
      </c>
      <c r="D414" s="43" t="e">
        <v>#N/A</v>
      </c>
      <c r="E414" s="44" t="s">
        <v>29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0</v>
      </c>
      <c r="AH414" s="185">
        <v>0</v>
      </c>
      <c r="AI414" s="185" t="e">
        <v>#N/A</v>
      </c>
    </row>
    <row r="415" spans="1:35" ht="15" hidden="1" customHeight="1" thickBot="1" x14ac:dyDescent="0.3">
      <c r="A415" s="479"/>
      <c r="B415" s="505"/>
      <c r="C415" s="508"/>
      <c r="D415" s="45" t="e">
        <v>#N/A</v>
      </c>
      <c r="E415" s="46" t="s">
        <v>30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0</v>
      </c>
      <c r="AI415" s="186" t="e">
        <v>#N/A</v>
      </c>
    </row>
    <row r="416" spans="1:35" ht="15" hidden="1" customHeight="1" x14ac:dyDescent="0.25">
      <c r="A416" s="479"/>
      <c r="B416" s="505"/>
      <c r="C416" s="508"/>
      <c r="D416" s="45" t="e">
        <v>#N/A</v>
      </c>
      <c r="E416" s="46" t="s">
        <v>31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0</v>
      </c>
      <c r="AI416" s="186" t="e">
        <v>#N/A</v>
      </c>
    </row>
    <row r="417" spans="1:35" ht="15.75" hidden="1" customHeight="1" x14ac:dyDescent="0.25">
      <c r="A417" s="479"/>
      <c r="B417" s="505"/>
      <c r="C417" s="508"/>
      <c r="D417" s="45" t="e">
        <v>#N/A</v>
      </c>
      <c r="E417" s="46" t="s">
        <v>32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0</v>
      </c>
      <c r="AI417" s="186" t="e">
        <v>#N/A</v>
      </c>
    </row>
    <row r="418" spans="1:35" ht="15.75" hidden="1" customHeight="1" thickBot="1" x14ac:dyDescent="0.3">
      <c r="A418" s="480"/>
      <c r="B418" s="506"/>
      <c r="C418" s="509"/>
      <c r="D418" s="47" t="e">
        <v>#N/A</v>
      </c>
      <c r="E418" s="48" t="s">
        <v>33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0</v>
      </c>
      <c r="AI418" s="187" t="e">
        <v>#N/A</v>
      </c>
    </row>
    <row r="419" spans="1:35" ht="15" hidden="1" customHeight="1" x14ac:dyDescent="0.25">
      <c r="A419" s="478" t="s">
        <v>39</v>
      </c>
      <c r="B419" s="504" t="e">
        <v>#N/A</v>
      </c>
      <c r="C419" s="507" t="e">
        <v>#N/A</v>
      </c>
      <c r="D419" s="43" t="e">
        <v>#N/A</v>
      </c>
      <c r="E419" s="44" t="s">
        <v>29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thickBot="1" x14ac:dyDescent="0.3">
      <c r="A420" s="479"/>
      <c r="B420" s="505"/>
      <c r="C420" s="508"/>
      <c r="D420" s="45" t="e">
        <v>#N/A</v>
      </c>
      <c r="E420" s="46" t="s">
        <v>30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79"/>
      <c r="B421" s="505"/>
      <c r="C421" s="508"/>
      <c r="D421" s="45" t="e">
        <v>#N/A</v>
      </c>
      <c r="E421" s="46" t="s">
        <v>31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x14ac:dyDescent="0.25">
      <c r="A422" s="479"/>
      <c r="B422" s="505"/>
      <c r="C422" s="508"/>
      <c r="D422" s="45" t="e">
        <v>#N/A</v>
      </c>
      <c r="E422" s="46" t="s">
        <v>32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80"/>
      <c r="B423" s="506"/>
      <c r="C423" s="509"/>
      <c r="D423" s="47" t="e">
        <v>#N/A</v>
      </c>
      <c r="E423" s="48" t="s">
        <v>33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78" t="s">
        <v>40</v>
      </c>
      <c r="B424" s="504" t="e">
        <v>#N/A</v>
      </c>
      <c r="C424" s="507" t="e">
        <v>#N/A</v>
      </c>
      <c r="D424" s="43" t="e">
        <v>#N/A</v>
      </c>
      <c r="E424" s="44" t="s">
        <v>29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thickBot="1" x14ac:dyDescent="0.3">
      <c r="A425" s="479"/>
      <c r="B425" s="505"/>
      <c r="C425" s="508"/>
      <c r="D425" s="45" t="e">
        <v>#N/A</v>
      </c>
      <c r="E425" s="46" t="s">
        <v>30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79"/>
      <c r="B426" s="505"/>
      <c r="C426" s="508"/>
      <c r="D426" s="45" t="e">
        <v>#N/A</v>
      </c>
      <c r="E426" s="46" t="s">
        <v>31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x14ac:dyDescent="0.25">
      <c r="A427" s="479"/>
      <c r="B427" s="505"/>
      <c r="C427" s="508"/>
      <c r="D427" s="45" t="e">
        <v>#N/A</v>
      </c>
      <c r="E427" s="46" t="s">
        <v>32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80"/>
      <c r="B428" s="506"/>
      <c r="C428" s="509"/>
      <c r="D428" s="47" t="e">
        <v>#N/A</v>
      </c>
      <c r="E428" s="48" t="s">
        <v>33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78" t="s">
        <v>41</v>
      </c>
      <c r="B429" s="504" t="e">
        <v>#N/A</v>
      </c>
      <c r="C429" s="507" t="e">
        <v>#N/A</v>
      </c>
      <c r="D429" s="43" t="e">
        <v>#N/A</v>
      </c>
      <c r="E429" s="44" t="s">
        <v>29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thickBot="1" x14ac:dyDescent="0.3">
      <c r="A430" s="479"/>
      <c r="B430" s="505"/>
      <c r="C430" s="508"/>
      <c r="D430" s="45" t="e">
        <v>#N/A</v>
      </c>
      <c r="E430" s="46" t="s">
        <v>30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79"/>
      <c r="B431" s="505"/>
      <c r="C431" s="508"/>
      <c r="D431" s="45" t="e">
        <v>#N/A</v>
      </c>
      <c r="E431" s="46" t="s">
        <v>31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x14ac:dyDescent="0.25">
      <c r="A432" s="479"/>
      <c r="B432" s="505"/>
      <c r="C432" s="508"/>
      <c r="D432" s="45" t="e">
        <v>#N/A</v>
      </c>
      <c r="E432" s="46" t="s">
        <v>32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80"/>
      <c r="B433" s="506"/>
      <c r="C433" s="509"/>
      <c r="D433" s="47" t="e">
        <v>#N/A</v>
      </c>
      <c r="E433" s="48" t="s">
        <v>33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78" t="s">
        <v>42</v>
      </c>
      <c r="B434" s="504" t="e">
        <v>#N/A</v>
      </c>
      <c r="C434" s="507" t="e">
        <v>#N/A</v>
      </c>
      <c r="D434" s="43" t="e">
        <v>#N/A</v>
      </c>
      <c r="E434" s="44" t="s">
        <v>29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thickBot="1" x14ac:dyDescent="0.3">
      <c r="A435" s="479"/>
      <c r="B435" s="505"/>
      <c r="C435" s="508"/>
      <c r="D435" s="45" t="e">
        <v>#N/A</v>
      </c>
      <c r="E435" s="46" t="s">
        <v>30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79"/>
      <c r="B436" s="505"/>
      <c r="C436" s="508"/>
      <c r="D436" s="45" t="e">
        <v>#N/A</v>
      </c>
      <c r="E436" s="46" t="s">
        <v>31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x14ac:dyDescent="0.25">
      <c r="A437" s="479"/>
      <c r="B437" s="505"/>
      <c r="C437" s="508"/>
      <c r="D437" s="45" t="e">
        <v>#N/A</v>
      </c>
      <c r="E437" s="46" t="s">
        <v>32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80"/>
      <c r="B438" s="506"/>
      <c r="C438" s="509"/>
      <c r="D438" s="47" t="e">
        <v>#N/A</v>
      </c>
      <c r="E438" s="48" t="s">
        <v>33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78" t="s">
        <v>43</v>
      </c>
      <c r="B439" s="504" t="e">
        <v>#N/A</v>
      </c>
      <c r="C439" s="507" t="e">
        <v>#N/A</v>
      </c>
      <c r="D439" s="43" t="e">
        <v>#N/A</v>
      </c>
      <c r="E439" s="44" t="s">
        <v>29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thickBot="1" x14ac:dyDescent="0.3">
      <c r="A440" s="479"/>
      <c r="B440" s="505"/>
      <c r="C440" s="508"/>
      <c r="D440" s="45" t="e">
        <v>#N/A</v>
      </c>
      <c r="E440" s="46" t="s">
        <v>30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79"/>
      <c r="B441" s="505"/>
      <c r="C441" s="508"/>
      <c r="D441" s="45" t="e">
        <v>#N/A</v>
      </c>
      <c r="E441" s="46" t="s">
        <v>31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x14ac:dyDescent="0.25">
      <c r="A442" s="479"/>
      <c r="B442" s="505"/>
      <c r="C442" s="508"/>
      <c r="D442" s="45" t="e">
        <v>#N/A</v>
      </c>
      <c r="E442" s="46" t="s">
        <v>32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80"/>
      <c r="B443" s="506"/>
      <c r="C443" s="509"/>
      <c r="D443" s="47" t="e">
        <v>#N/A</v>
      </c>
      <c r="E443" s="48" t="s">
        <v>33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78" t="s">
        <v>44</v>
      </c>
      <c r="B444" s="504" t="e">
        <v>#N/A</v>
      </c>
      <c r="C444" s="507" t="e">
        <v>#N/A</v>
      </c>
      <c r="D444" s="43" t="e">
        <v>#N/A</v>
      </c>
      <c r="E444" s="44" t="s">
        <v>29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79"/>
      <c r="B445" s="505"/>
      <c r="C445" s="508"/>
      <c r="D445" s="45" t="e">
        <v>#N/A</v>
      </c>
      <c r="E445" s="46" t="s">
        <v>30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79"/>
      <c r="B446" s="505"/>
      <c r="C446" s="508"/>
      <c r="D446" s="45" t="e">
        <v>#N/A</v>
      </c>
      <c r="E446" s="46" t="s">
        <v>31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79"/>
      <c r="B447" s="505"/>
      <c r="C447" s="508"/>
      <c r="D447" s="45" t="e">
        <v>#N/A</v>
      </c>
      <c r="E447" s="46" t="s">
        <v>32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80"/>
      <c r="B448" s="506"/>
      <c r="C448" s="509"/>
      <c r="D448" s="47" t="e">
        <v>#N/A</v>
      </c>
      <c r="E448" s="48" t="s">
        <v>33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6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4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4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4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4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4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4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4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4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4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4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4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4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4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4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4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4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4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4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4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4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4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4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4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4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4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4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4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4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4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4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4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4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4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4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4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4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4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4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4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4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4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4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4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4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4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4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4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4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4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4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4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4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4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4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4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4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4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4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4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4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4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4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4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4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4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4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4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4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4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4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4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4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4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4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4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4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4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4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4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4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4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4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4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4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4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4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4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4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4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4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4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4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4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4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4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4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4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4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4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4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4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4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4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4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4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4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4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4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4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4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4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4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4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4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4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4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4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4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4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4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4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4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4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4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4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4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4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4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4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4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4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4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4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4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4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4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4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4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4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4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4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4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4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4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4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4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4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4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4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4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4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4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4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4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4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4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4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4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4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4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4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4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4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4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4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4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4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4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4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4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4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4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4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4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4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4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4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4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4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4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4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4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4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4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4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4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4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4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4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4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4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4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4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4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4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4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4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4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4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4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4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4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4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4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4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4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4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4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4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4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4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4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4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4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4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4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4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4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4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4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4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4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4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4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4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4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4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4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4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4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4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4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4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4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4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4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4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4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4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4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4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4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4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4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4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4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4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4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4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4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4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4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4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4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4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4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4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4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4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4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4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4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4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4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4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4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4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4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4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4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4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4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4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4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4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4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4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4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4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4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4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4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4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4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4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4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4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4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4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4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4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4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4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4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4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4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4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4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4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4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4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4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4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4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4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4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4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4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4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4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4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4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4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4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4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4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4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4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4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4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4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4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4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4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4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4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4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4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4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4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4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4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4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4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4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4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4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4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4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4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4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4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4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4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4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4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4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4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4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4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4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4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4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4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4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4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4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4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4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4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4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4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4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4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4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4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4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4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4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4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4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4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4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4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4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4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4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4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4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4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4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4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4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4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4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4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4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4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4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4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4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4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4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4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4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4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4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4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4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4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4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4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4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4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4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4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4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4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4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4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4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4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4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4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4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4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4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4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4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4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4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4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4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4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4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4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4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4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4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4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4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4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4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4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4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4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4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4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4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4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4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4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4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4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4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4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4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4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4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4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4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4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4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4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4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4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4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4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4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4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4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4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4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4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4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4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4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4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4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4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4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4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4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4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4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4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4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4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4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4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4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4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4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4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4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4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4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4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4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4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4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4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4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4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4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4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4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4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4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4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4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4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4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4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4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4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4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4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4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4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4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4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4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4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4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4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4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4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4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4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4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4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4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4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4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4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4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4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4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4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4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4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4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4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4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4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4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4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4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4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4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4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4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4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4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4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4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4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4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4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4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2015-09-21T09:23:10Z</dcterms:modified>
</cp:coreProperties>
</file>