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00" windowWidth="19380" windowHeight="813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'Skill-O-Meter'!$D$1:$I$317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AT500" i="9" s="1"/>
  <c r="W499" i="9"/>
  <c r="AT499" i="9" s="1"/>
  <c r="W498" i="9"/>
  <c r="W497" i="9"/>
  <c r="W496" i="9"/>
  <c r="AU496" i="9" s="1"/>
  <c r="W495" i="9"/>
  <c r="W494" i="9"/>
  <c r="W493" i="9"/>
  <c r="W492" i="9"/>
  <c r="W491" i="9"/>
  <c r="W490" i="9"/>
  <c r="W489" i="9"/>
  <c r="W488" i="9"/>
  <c r="AU488" i="9" s="1"/>
  <c r="W487" i="9"/>
  <c r="AU487" i="9" s="1"/>
  <c r="W486" i="9"/>
  <c r="W485" i="9"/>
  <c r="W484" i="9"/>
  <c r="W483" i="9"/>
  <c r="AU483" i="9" s="1"/>
  <c r="W482" i="9"/>
  <c r="W481" i="9"/>
  <c r="W480" i="9"/>
  <c r="W479" i="9"/>
  <c r="W478" i="9"/>
  <c r="W477" i="9"/>
  <c r="W476" i="9"/>
  <c r="AS476" i="9" s="1"/>
  <c r="W475" i="9"/>
  <c r="W474" i="9"/>
  <c r="W473" i="9"/>
  <c r="W472" i="9"/>
  <c r="W471" i="9"/>
  <c r="W470" i="9"/>
  <c r="W469" i="9"/>
  <c r="W468" i="9"/>
  <c r="AS468" i="9" s="1"/>
  <c r="W467" i="9"/>
  <c r="W466" i="9"/>
  <c r="W465" i="9"/>
  <c r="W464" i="9"/>
  <c r="W463" i="9"/>
  <c r="W462" i="9"/>
  <c r="W461" i="9"/>
  <c r="W460" i="9"/>
  <c r="AS460" i="9" s="1"/>
  <c r="W459" i="9"/>
  <c r="W458" i="9"/>
  <c r="W457" i="9"/>
  <c r="W456" i="9"/>
  <c r="W455" i="9"/>
  <c r="W454" i="9"/>
  <c r="W453" i="9"/>
  <c r="W452" i="9"/>
  <c r="AS452" i="9" s="1"/>
  <c r="W451" i="9"/>
  <c r="W450" i="9"/>
  <c r="W449" i="9"/>
  <c r="W448" i="9"/>
  <c r="AU448" i="9" s="1"/>
  <c r="W447" i="9"/>
  <c r="W446" i="9"/>
  <c r="W445" i="9"/>
  <c r="W444" i="9"/>
  <c r="AT444" i="9" s="1"/>
  <c r="W443" i="9"/>
  <c r="AT443" i="9" s="1"/>
  <c r="W442" i="9"/>
  <c r="W441" i="9"/>
  <c r="W440" i="9"/>
  <c r="AU440" i="9" s="1"/>
  <c r="W439" i="9"/>
  <c r="W438" i="9"/>
  <c r="W437" i="9"/>
  <c r="W436" i="9"/>
  <c r="AU436" i="9" s="1"/>
  <c r="W435" i="9"/>
  <c r="W434" i="9"/>
  <c r="W433" i="9"/>
  <c r="W432" i="9"/>
  <c r="W431" i="9"/>
  <c r="W430" i="9"/>
  <c r="W429" i="9"/>
  <c r="W428" i="9"/>
  <c r="AU428" i="9" s="1"/>
  <c r="W427" i="9"/>
  <c r="W426" i="9"/>
  <c r="W425" i="9"/>
  <c r="W424" i="9"/>
  <c r="W423" i="9"/>
  <c r="W422" i="9"/>
  <c r="W421" i="9"/>
  <c r="W420" i="9"/>
  <c r="AU420" i="9" s="1"/>
  <c r="W419" i="9"/>
  <c r="W418" i="9"/>
  <c r="W417" i="9"/>
  <c r="W416" i="9"/>
  <c r="W415" i="9"/>
  <c r="W414" i="9"/>
  <c r="W413" i="9"/>
  <c r="W412" i="9"/>
  <c r="AS412" i="9" s="1"/>
  <c r="W411" i="9"/>
  <c r="W410" i="9"/>
  <c r="W409" i="9"/>
  <c r="W408" i="9"/>
  <c r="W407" i="9"/>
  <c r="AS407" i="9" s="1"/>
  <c r="W406" i="9"/>
  <c r="W405" i="9"/>
  <c r="W404" i="9"/>
  <c r="W403" i="9"/>
  <c r="W402" i="9"/>
  <c r="W401" i="9"/>
  <c r="W400" i="9"/>
  <c r="W399" i="9"/>
  <c r="AS399" i="9" s="1"/>
  <c r="W398" i="9"/>
  <c r="W397" i="9"/>
  <c r="W396" i="9"/>
  <c r="W395" i="9"/>
  <c r="W394" i="9"/>
  <c r="W393" i="9"/>
  <c r="W392" i="9"/>
  <c r="W391" i="9"/>
  <c r="AS391" i="9" s="1"/>
  <c r="W390" i="9"/>
  <c r="W389" i="9"/>
  <c r="W388" i="9"/>
  <c r="W387" i="9"/>
  <c r="W386" i="9"/>
  <c r="W385" i="9"/>
  <c r="W384" i="9"/>
  <c r="W383" i="9"/>
  <c r="AS383" i="9" s="1"/>
  <c r="W382" i="9"/>
  <c r="W381" i="9"/>
  <c r="W380" i="9"/>
  <c r="W379" i="9"/>
  <c r="W378" i="9"/>
  <c r="W377" i="9"/>
  <c r="W376" i="9"/>
  <c r="W375" i="9"/>
  <c r="AS375" i="9" s="1"/>
  <c r="W374" i="9"/>
  <c r="W373" i="9"/>
  <c r="W372" i="9"/>
  <c r="W371" i="9"/>
  <c r="W370" i="9"/>
  <c r="W369" i="9"/>
  <c r="W368" i="9"/>
  <c r="W367" i="9"/>
  <c r="AS367" i="9" s="1"/>
  <c r="W366" i="9"/>
  <c r="W365" i="9"/>
  <c r="W364" i="9"/>
  <c r="W363" i="9"/>
  <c r="W362" i="9"/>
  <c r="W361" i="9"/>
  <c r="W360" i="9"/>
  <c r="W359" i="9"/>
  <c r="AS359" i="9" s="1"/>
  <c r="W358" i="9"/>
  <c r="W357" i="9"/>
  <c r="W356" i="9"/>
  <c r="W355" i="9"/>
  <c r="W354" i="9"/>
  <c r="W353" i="9"/>
  <c r="W352" i="9"/>
  <c r="AU352" i="9" s="1"/>
  <c r="W351" i="9"/>
  <c r="AU351" i="9" s="1"/>
  <c r="W350" i="9"/>
  <c r="W349" i="9"/>
  <c r="W348" i="9"/>
  <c r="AT348" i="9" s="1"/>
  <c r="W347" i="9"/>
  <c r="W346" i="9"/>
  <c r="W345" i="9"/>
  <c r="W344" i="9"/>
  <c r="W343" i="9"/>
  <c r="W342" i="9"/>
  <c r="W341" i="9"/>
  <c r="W340" i="9"/>
  <c r="AT340" i="9" s="1"/>
  <c r="W339" i="9"/>
  <c r="W338" i="9"/>
  <c r="W337" i="9"/>
  <c r="W336" i="9"/>
  <c r="W335" i="9"/>
  <c r="W334" i="9"/>
  <c r="W333" i="9"/>
  <c r="W332" i="9"/>
  <c r="AU332" i="9" s="1"/>
  <c r="W331" i="9"/>
  <c r="W330" i="9"/>
  <c r="W329" i="9"/>
  <c r="W328" i="9"/>
  <c r="W327" i="9"/>
  <c r="W326" i="9"/>
  <c r="W325" i="9"/>
  <c r="W324" i="9"/>
  <c r="AU324" i="9" s="1"/>
  <c r="W323" i="9"/>
  <c r="W322" i="9"/>
  <c r="W321" i="9"/>
  <c r="W320" i="9"/>
  <c r="W319" i="9"/>
  <c r="W318" i="9"/>
  <c r="W317" i="9"/>
  <c r="W316" i="9"/>
  <c r="AU316" i="9" s="1"/>
  <c r="W315" i="9"/>
  <c r="W314" i="9"/>
  <c r="W313" i="9"/>
  <c r="W312" i="9"/>
  <c r="W311" i="9"/>
  <c r="W310" i="9"/>
  <c r="W309" i="9"/>
  <c r="W308" i="9"/>
  <c r="AU308" i="9" s="1"/>
  <c r="W307" i="9"/>
  <c r="W306" i="9"/>
  <c r="W305" i="9"/>
  <c r="W304" i="9"/>
  <c r="W303" i="9"/>
  <c r="W302" i="9"/>
  <c r="W301" i="9"/>
  <c r="W300" i="9"/>
  <c r="AU300" i="9" s="1"/>
  <c r="W299" i="9"/>
  <c r="W298" i="9"/>
  <c r="W297" i="9"/>
  <c r="W296" i="9"/>
  <c r="W295" i="9"/>
  <c r="W294" i="9"/>
  <c r="W293" i="9"/>
  <c r="W292" i="9"/>
  <c r="AU292" i="9" s="1"/>
  <c r="W291" i="9"/>
  <c r="W290" i="9"/>
  <c r="W289" i="9"/>
  <c r="W288" i="9"/>
  <c r="W287" i="9"/>
  <c r="W286" i="9"/>
  <c r="W285" i="9"/>
  <c r="W284" i="9"/>
  <c r="AU284" i="9" s="1"/>
  <c r="W283" i="9"/>
  <c r="AS283" i="9" s="1"/>
  <c r="W282" i="9"/>
  <c r="W281" i="9"/>
  <c r="W280" i="9"/>
  <c r="W279" i="9"/>
  <c r="W278" i="9"/>
  <c r="W277" i="9"/>
  <c r="W276" i="9"/>
  <c r="AU276" i="9" s="1"/>
  <c r="W275" i="9"/>
  <c r="W274" i="9"/>
  <c r="W273" i="9"/>
  <c r="W272" i="9"/>
  <c r="W271" i="9"/>
  <c r="W270" i="9"/>
  <c r="W269" i="9"/>
  <c r="W268" i="9"/>
  <c r="AU268" i="9" s="1"/>
  <c r="W267" i="9"/>
  <c r="AS267" i="9" s="1"/>
  <c r="W266" i="9"/>
  <c r="W265" i="9"/>
  <c r="W264" i="9"/>
  <c r="W263" i="9"/>
  <c r="W262" i="9"/>
  <c r="W261" i="9"/>
  <c r="W260" i="9"/>
  <c r="AU260" i="9" s="1"/>
  <c r="W259" i="9"/>
  <c r="AT259" i="9" s="1"/>
  <c r="W258" i="9"/>
  <c r="W257" i="9"/>
  <c r="W256" i="9"/>
  <c r="W255" i="9"/>
  <c r="W254" i="9"/>
  <c r="W253" i="9"/>
  <c r="W252" i="9"/>
  <c r="AU252" i="9" s="1"/>
  <c r="W251" i="9"/>
  <c r="AS251" i="9" s="1"/>
  <c r="W250" i="9"/>
  <c r="W249" i="9"/>
  <c r="W248" i="9"/>
  <c r="W247" i="9"/>
  <c r="W246" i="9"/>
  <c r="W245" i="9"/>
  <c r="W244" i="9"/>
  <c r="AU244" i="9" s="1"/>
  <c r="W243" i="9"/>
  <c r="W242" i="9"/>
  <c r="W241" i="9"/>
  <c r="W240" i="9"/>
  <c r="W239" i="9"/>
  <c r="W238" i="9"/>
  <c r="W237" i="9"/>
  <c r="W236" i="9"/>
  <c r="AU236" i="9" s="1"/>
  <c r="W235" i="9"/>
  <c r="AS235" i="9" s="1"/>
  <c r="W234" i="9"/>
  <c r="W233" i="9"/>
  <c r="W232" i="9"/>
  <c r="W231" i="9"/>
  <c r="W230" i="9"/>
  <c r="W229" i="9"/>
  <c r="W228" i="9"/>
  <c r="AT228" i="9" s="1"/>
  <c r="W227" i="9"/>
  <c r="W226" i="9"/>
  <c r="W225" i="9"/>
  <c r="W224" i="9"/>
  <c r="W223" i="9"/>
  <c r="AU223" i="9" s="1"/>
  <c r="W222" i="9"/>
  <c r="W221" i="9"/>
  <c r="W220" i="9"/>
  <c r="AT220" i="9" s="1"/>
  <c r="W219" i="9"/>
  <c r="W218" i="9"/>
  <c r="W217" i="9"/>
  <c r="W216" i="9"/>
  <c r="W215" i="9"/>
  <c r="AU215" i="9" s="1"/>
  <c r="W214" i="9"/>
  <c r="W213" i="9"/>
  <c r="W212" i="9"/>
  <c r="AT212" i="9" s="1"/>
  <c r="W211" i="9"/>
  <c r="W210" i="9"/>
  <c r="W209" i="9"/>
  <c r="W208" i="9"/>
  <c r="W207" i="9"/>
  <c r="W206" i="9"/>
  <c r="W205" i="9"/>
  <c r="W204" i="9"/>
  <c r="AT204" i="9" s="1"/>
  <c r="W203" i="9"/>
  <c r="W202" i="9"/>
  <c r="W201" i="9"/>
  <c r="W200" i="9"/>
  <c r="W199" i="9"/>
  <c r="AU199" i="9" s="1"/>
  <c r="W198" i="9"/>
  <c r="W197" i="9"/>
  <c r="W196" i="9"/>
  <c r="W195" i="9"/>
  <c r="AS195" i="9" s="1"/>
  <c r="W194" i="9"/>
  <c r="W193" i="9"/>
  <c r="W192" i="9"/>
  <c r="W191" i="9"/>
  <c r="AT191" i="9" s="1"/>
  <c r="W190" i="9"/>
  <c r="W189" i="9"/>
  <c r="W188" i="9"/>
  <c r="W187" i="9"/>
  <c r="W186" i="9"/>
  <c r="W185" i="9"/>
  <c r="W184" i="9"/>
  <c r="W183" i="9"/>
  <c r="AU183" i="9" s="1"/>
  <c r="W182" i="9"/>
  <c r="W181" i="9"/>
  <c r="W180" i="9"/>
  <c r="W179" i="9"/>
  <c r="W178" i="9"/>
  <c r="W177" i="9"/>
  <c r="W176" i="9"/>
  <c r="W175" i="9"/>
  <c r="AT175" i="9" s="1"/>
  <c r="W174" i="9"/>
  <c r="W173" i="9"/>
  <c r="W172" i="9"/>
  <c r="AU172" i="9" s="1"/>
  <c r="W171" i="9"/>
  <c r="AT171" i="9" s="1"/>
  <c r="W170" i="9"/>
  <c r="W169" i="9"/>
  <c r="W168" i="9"/>
  <c r="AU168" i="9" s="1"/>
  <c r="W167" i="9"/>
  <c r="W166" i="9"/>
  <c r="W165" i="9"/>
  <c r="W164" i="9"/>
  <c r="AS164" i="9" s="1"/>
  <c r="W163" i="9"/>
  <c r="W162" i="9"/>
  <c r="W161" i="9"/>
  <c r="W160" i="9"/>
  <c r="AT160" i="9" s="1"/>
  <c r="W159" i="9"/>
  <c r="W158" i="9"/>
  <c r="W157" i="9"/>
  <c r="W156" i="9"/>
  <c r="AT156" i="9" s="1"/>
  <c r="W155" i="9"/>
  <c r="W154" i="9"/>
  <c r="W153" i="9"/>
  <c r="W152" i="9"/>
  <c r="AT152" i="9" s="1"/>
  <c r="W151" i="9"/>
  <c r="AU151" i="9" s="1"/>
  <c r="W150" i="9"/>
  <c r="W149" i="9"/>
  <c r="W148" i="9"/>
  <c r="W147" i="9"/>
  <c r="W146" i="9"/>
  <c r="W145" i="9"/>
  <c r="W144" i="9"/>
  <c r="AT144" i="9" s="1"/>
  <c r="W143" i="9"/>
  <c r="W142" i="9"/>
  <c r="W141" i="9"/>
  <c r="W140" i="9"/>
  <c r="W139" i="9"/>
  <c r="W138" i="9"/>
  <c r="W137" i="9"/>
  <c r="W136" i="9"/>
  <c r="AT136" i="9" s="1"/>
  <c r="W135" i="9"/>
  <c r="W134" i="9"/>
  <c r="W133" i="9"/>
  <c r="W132" i="9"/>
  <c r="AT132" i="9" s="1"/>
  <c r="W131" i="9"/>
  <c r="W130" i="9"/>
  <c r="W129" i="9"/>
  <c r="W128" i="9"/>
  <c r="W127" i="9"/>
  <c r="W126" i="9"/>
  <c r="W125" i="9"/>
  <c r="W124" i="9"/>
  <c r="AT124" i="9" s="1"/>
  <c r="W123" i="9"/>
  <c r="W122" i="9"/>
  <c r="W121" i="9"/>
  <c r="W120" i="9"/>
  <c r="W119" i="9"/>
  <c r="AU119" i="9" s="1"/>
  <c r="W118" i="9"/>
  <c r="W117" i="9"/>
  <c r="W116" i="9"/>
  <c r="AS116" i="9" s="1"/>
  <c r="W115" i="9"/>
  <c r="W114" i="9"/>
  <c r="W113" i="9"/>
  <c r="W112" i="9"/>
  <c r="W111" i="9"/>
  <c r="W110" i="9"/>
  <c r="W109" i="9"/>
  <c r="W108" i="9"/>
  <c r="AS108" i="9" s="1"/>
  <c r="W107" i="9"/>
  <c r="AS107" i="9" s="1"/>
  <c r="W106" i="9"/>
  <c r="W105" i="9"/>
  <c r="W104" i="9"/>
  <c r="AT104" i="9" s="1"/>
  <c r="W103" i="9"/>
  <c r="AU103" i="9" s="1"/>
  <c r="W102" i="9"/>
  <c r="W101" i="9"/>
  <c r="AS101" i="9" s="1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C1055" i="21"/>
  <c r="E1055" i="21" s="1"/>
  <c r="C1054" i="21"/>
  <c r="C1053" i="21"/>
  <c r="C1052" i="21"/>
  <c r="E1052" i="21" s="1"/>
  <c r="C1051" i="21"/>
  <c r="E1051" i="21" s="1"/>
  <c r="C1050" i="21"/>
  <c r="C1049" i="21"/>
  <c r="C1048" i="21"/>
  <c r="E1048" i="21" s="1"/>
  <c r="C1047" i="21"/>
  <c r="E1047" i="21" s="1"/>
  <c r="C1046" i="21"/>
  <c r="C1045" i="21"/>
  <c r="E1045" i="21" s="1"/>
  <c r="C1044" i="21"/>
  <c r="E1044" i="21" s="1"/>
  <c r="C1043" i="21"/>
  <c r="E1043" i="21" s="1"/>
  <c r="C1042" i="21"/>
  <c r="C1041" i="21"/>
  <c r="C1040" i="21"/>
  <c r="E1040" i="21" s="1"/>
  <c r="C1039" i="21"/>
  <c r="E1039" i="21" s="1"/>
  <c r="C1038" i="21"/>
  <c r="C1037" i="21"/>
  <c r="E1037" i="21" s="1"/>
  <c r="C1036" i="21"/>
  <c r="E1036" i="21" s="1"/>
  <c r="C1035" i="21"/>
  <c r="E1035" i="21" s="1"/>
  <c r="C1034" i="21"/>
  <c r="E1034" i="21" s="1"/>
  <c r="C1033" i="21"/>
  <c r="C1032" i="21"/>
  <c r="E1032" i="21" s="1"/>
  <c r="C1031" i="21"/>
  <c r="E1031" i="21" s="1"/>
  <c r="C1030" i="21"/>
  <c r="C1029" i="21"/>
  <c r="E1029" i="21" s="1"/>
  <c r="C1028" i="21"/>
  <c r="D1028" i="21" s="1"/>
  <c r="C1027" i="21"/>
  <c r="D1027" i="21" s="1"/>
  <c r="C1026" i="21"/>
  <c r="D1026" i="21" s="1"/>
  <c r="C1025" i="21"/>
  <c r="D1025" i="21" s="1"/>
  <c r="C1024" i="21"/>
  <c r="D1024" i="21" s="1"/>
  <c r="C1023" i="21"/>
  <c r="D1023" i="21" s="1"/>
  <c r="C1022" i="21"/>
  <c r="D1022" i="21" s="1"/>
  <c r="C1021" i="21"/>
  <c r="D1021" i="21" s="1"/>
  <c r="C1020" i="21"/>
  <c r="D1020" i="21" s="1"/>
  <c r="C1019" i="21"/>
  <c r="C1018" i="21"/>
  <c r="D1018" i="21" s="1"/>
  <c r="C1017" i="21"/>
  <c r="D1017" i="21" s="1"/>
  <c r="C1016" i="21"/>
  <c r="D1016" i="21" s="1"/>
  <c r="C1015" i="21"/>
  <c r="C1014" i="21"/>
  <c r="D1014" i="21" s="1"/>
  <c r="C1013" i="21"/>
  <c r="D1013" i="21" s="1"/>
  <c r="C1012" i="21"/>
  <c r="D1012" i="21" s="1"/>
  <c r="C1011" i="21"/>
  <c r="D1011" i="21" s="1"/>
  <c r="C1010" i="21"/>
  <c r="D1010" i="21" s="1"/>
  <c r="C1009" i="21"/>
  <c r="D1009" i="21" s="1"/>
  <c r="C1008" i="21"/>
  <c r="D1008" i="21" s="1"/>
  <c r="C1007" i="21"/>
  <c r="D1007" i="21" s="1"/>
  <c r="C1006" i="21"/>
  <c r="D1006" i="21" s="1"/>
  <c r="C1005" i="21"/>
  <c r="D1005" i="21" s="1"/>
  <c r="C1004" i="21"/>
  <c r="D1004" i="21" s="1"/>
  <c r="C1003" i="21"/>
  <c r="C1002" i="21"/>
  <c r="D1002" i="21" s="1"/>
  <c r="C1001" i="21"/>
  <c r="D1001" i="21" s="1"/>
  <c r="C1000" i="21"/>
  <c r="D1000" i="21" s="1"/>
  <c r="C999" i="21"/>
  <c r="C998" i="21"/>
  <c r="D998" i="21" s="1"/>
  <c r="C997" i="21"/>
  <c r="D997" i="21" s="1"/>
  <c r="C996" i="21"/>
  <c r="D996" i="21" s="1"/>
  <c r="C995" i="21"/>
  <c r="D995" i="21" s="1"/>
  <c r="C994" i="21"/>
  <c r="D994" i="21" s="1"/>
  <c r="C993" i="21"/>
  <c r="D993" i="21" s="1"/>
  <c r="C992" i="21"/>
  <c r="D992" i="21" s="1"/>
  <c r="C991" i="21"/>
  <c r="D991" i="21" s="1"/>
  <c r="C990" i="21"/>
  <c r="D990" i="21" s="1"/>
  <c r="C989" i="21"/>
  <c r="D989" i="21" s="1"/>
  <c r="C988" i="21"/>
  <c r="D988" i="21" s="1"/>
  <c r="C987" i="21"/>
  <c r="C986" i="21"/>
  <c r="D986" i="21" s="1"/>
  <c r="C985" i="21"/>
  <c r="D985" i="21" s="1"/>
  <c r="C984" i="21"/>
  <c r="D984" i="21" s="1"/>
  <c r="C983" i="21"/>
  <c r="C982" i="21"/>
  <c r="D982" i="21" s="1"/>
  <c r="C981" i="21"/>
  <c r="D981" i="21" s="1"/>
  <c r="C980" i="21"/>
  <c r="D980" i="21" s="1"/>
  <c r="C979" i="21"/>
  <c r="D979" i="21" s="1"/>
  <c r="C978" i="21"/>
  <c r="D978" i="21" s="1"/>
  <c r="C977" i="21"/>
  <c r="D977" i="21" s="1"/>
  <c r="C976" i="21"/>
  <c r="D976" i="21" s="1"/>
  <c r="C975" i="21"/>
  <c r="D975" i="21" s="1"/>
  <c r="C974" i="21"/>
  <c r="D974" i="21" s="1"/>
  <c r="C973" i="21"/>
  <c r="D973" i="21" s="1"/>
  <c r="C972" i="21"/>
  <c r="D972" i="21" s="1"/>
  <c r="C971" i="21"/>
  <c r="C970" i="21"/>
  <c r="D970" i="21" s="1"/>
  <c r="C969" i="21"/>
  <c r="D969" i="21" s="1"/>
  <c r="C968" i="21"/>
  <c r="D968" i="21" s="1"/>
  <c r="C967" i="21"/>
  <c r="C966" i="21"/>
  <c r="D966" i="21" s="1"/>
  <c r="C965" i="21"/>
  <c r="D965" i="21" s="1"/>
  <c r="C964" i="21"/>
  <c r="D964" i="21" s="1"/>
  <c r="C963" i="21"/>
  <c r="D963" i="21" s="1"/>
  <c r="C962" i="21"/>
  <c r="D962" i="21" s="1"/>
  <c r="C961" i="21"/>
  <c r="D961" i="21" s="1"/>
  <c r="C960" i="21"/>
  <c r="D960" i="21" s="1"/>
  <c r="C959" i="21"/>
  <c r="D959" i="21" s="1"/>
  <c r="C958" i="21"/>
  <c r="D958" i="21" s="1"/>
  <c r="C957" i="21"/>
  <c r="D957" i="21" s="1"/>
  <c r="C956" i="21"/>
  <c r="D956" i="21" s="1"/>
  <c r="C955" i="21"/>
  <c r="C954" i="21"/>
  <c r="D954" i="21" s="1"/>
  <c r="C953" i="21"/>
  <c r="D953" i="21" s="1"/>
  <c r="C952" i="21"/>
  <c r="D952" i="21" s="1"/>
  <c r="C951" i="21"/>
  <c r="C950" i="21"/>
  <c r="D950" i="21" s="1"/>
  <c r="C949" i="21"/>
  <c r="D949" i="21" s="1"/>
  <c r="C948" i="21"/>
  <c r="D948" i="21" s="1"/>
  <c r="C947" i="21"/>
  <c r="D947" i="21" s="1"/>
  <c r="C946" i="21"/>
  <c r="D946" i="21" s="1"/>
  <c r="C945" i="21"/>
  <c r="D945" i="21" s="1"/>
  <c r="C944" i="21"/>
  <c r="D944" i="21" s="1"/>
  <c r="C943" i="21"/>
  <c r="D943" i="21" s="1"/>
  <c r="C942" i="21"/>
  <c r="D942" i="21" s="1"/>
  <c r="C941" i="21"/>
  <c r="D941" i="21" s="1"/>
  <c r="C940" i="21"/>
  <c r="D940" i="21" s="1"/>
  <c r="C939" i="21"/>
  <c r="C938" i="21"/>
  <c r="D938" i="21" s="1"/>
  <c r="C937" i="21"/>
  <c r="D937" i="21" s="1"/>
  <c r="C936" i="21"/>
  <c r="D936" i="21" s="1"/>
  <c r="C935" i="21"/>
  <c r="C934" i="21"/>
  <c r="D934" i="21" s="1"/>
  <c r="C933" i="21"/>
  <c r="D933" i="21" s="1"/>
  <c r="C932" i="21"/>
  <c r="D932" i="21" s="1"/>
  <c r="C931" i="21"/>
  <c r="D931" i="21" s="1"/>
  <c r="C930" i="21"/>
  <c r="D930" i="21" s="1"/>
  <c r="C929" i="21"/>
  <c r="D929" i="21" s="1"/>
  <c r="C928" i="21"/>
  <c r="D928" i="21" s="1"/>
  <c r="C927" i="21"/>
  <c r="D927" i="21" s="1"/>
  <c r="C926" i="21"/>
  <c r="D926" i="21" s="1"/>
  <c r="C925" i="21"/>
  <c r="D925" i="21" s="1"/>
  <c r="C924" i="21"/>
  <c r="D924" i="21" s="1"/>
  <c r="C923" i="21"/>
  <c r="C922" i="21"/>
  <c r="D922" i="21" s="1"/>
  <c r="C921" i="21"/>
  <c r="D921" i="21" s="1"/>
  <c r="C920" i="21"/>
  <c r="D920" i="21" s="1"/>
  <c r="C919" i="21"/>
  <c r="C918" i="21"/>
  <c r="D918" i="21" s="1"/>
  <c r="C917" i="21"/>
  <c r="D917" i="21" s="1"/>
  <c r="C916" i="21"/>
  <c r="D916" i="21" s="1"/>
  <c r="C915" i="21"/>
  <c r="D915" i="21" s="1"/>
  <c r="C914" i="21"/>
  <c r="D914" i="21" s="1"/>
  <c r="C913" i="21"/>
  <c r="D913" i="21" s="1"/>
  <c r="C912" i="21"/>
  <c r="D912" i="21" s="1"/>
  <c r="C911" i="21"/>
  <c r="D911" i="21" s="1"/>
  <c r="C910" i="21"/>
  <c r="D910" i="21" s="1"/>
  <c r="C909" i="21"/>
  <c r="D909" i="21" s="1"/>
  <c r="C908" i="21"/>
  <c r="D908" i="21" s="1"/>
  <c r="C907" i="21"/>
  <c r="C906" i="21"/>
  <c r="D906" i="21" s="1"/>
  <c r="C905" i="21"/>
  <c r="D905" i="21" s="1"/>
  <c r="C904" i="21"/>
  <c r="D904" i="21" s="1"/>
  <c r="C903" i="21"/>
  <c r="C902" i="21"/>
  <c r="D902" i="21" s="1"/>
  <c r="C901" i="21"/>
  <c r="D901" i="21" s="1"/>
  <c r="C900" i="21"/>
  <c r="D900" i="21" s="1"/>
  <c r="C899" i="21"/>
  <c r="D899" i="21" s="1"/>
  <c r="C898" i="21"/>
  <c r="D898" i="21" s="1"/>
  <c r="C897" i="21"/>
  <c r="C896" i="21"/>
  <c r="D896" i="21" s="1"/>
  <c r="C895" i="21"/>
  <c r="C894" i="21"/>
  <c r="D894" i="21" s="1"/>
  <c r="C893" i="21"/>
  <c r="D893" i="21" s="1"/>
  <c r="C892" i="21"/>
  <c r="D892" i="21" s="1"/>
  <c r="C891" i="21"/>
  <c r="C890" i="21"/>
  <c r="D890" i="21" s="1"/>
  <c r="C889" i="21"/>
  <c r="D889" i="21" s="1"/>
  <c r="C888" i="21"/>
  <c r="D888" i="21" s="1"/>
  <c r="C887" i="21"/>
  <c r="D887" i="21" s="1"/>
  <c r="C886" i="21"/>
  <c r="D886" i="21" s="1"/>
  <c r="C885" i="21"/>
  <c r="D885" i="21" s="1"/>
  <c r="C884" i="21"/>
  <c r="D884" i="21" s="1"/>
  <c r="C883" i="21"/>
  <c r="D883" i="21" s="1"/>
  <c r="C882" i="21"/>
  <c r="D882" i="21" s="1"/>
  <c r="C881" i="21"/>
  <c r="D881" i="21" s="1"/>
  <c r="C880" i="21"/>
  <c r="D880" i="21" s="1"/>
  <c r="C879" i="21"/>
  <c r="C878" i="21"/>
  <c r="D878" i="21" s="1"/>
  <c r="C877" i="21"/>
  <c r="D877" i="21" s="1"/>
  <c r="C876" i="21"/>
  <c r="D876" i="21" s="1"/>
  <c r="C875" i="21"/>
  <c r="C874" i="21"/>
  <c r="D874" i="21" s="1"/>
  <c r="C873" i="21"/>
  <c r="D873" i="21" s="1"/>
  <c r="C872" i="21"/>
  <c r="D872" i="21" s="1"/>
  <c r="C871" i="21"/>
  <c r="D871" i="21" s="1"/>
  <c r="C870" i="21"/>
  <c r="D870" i="21" s="1"/>
  <c r="C869" i="21"/>
  <c r="D869" i="21" s="1"/>
  <c r="C868" i="21"/>
  <c r="D868" i="21" s="1"/>
  <c r="C867" i="21"/>
  <c r="D867" i="21" s="1"/>
  <c r="C866" i="21"/>
  <c r="D866" i="21" s="1"/>
  <c r="C865" i="21"/>
  <c r="D865" i="21" s="1"/>
  <c r="C864" i="21"/>
  <c r="D864" i="21" s="1"/>
  <c r="C863" i="21"/>
  <c r="C862" i="21"/>
  <c r="D862" i="21" s="1"/>
  <c r="C861" i="21"/>
  <c r="D861" i="21" s="1"/>
  <c r="C860" i="21"/>
  <c r="D860" i="21" s="1"/>
  <c r="C859" i="21"/>
  <c r="C858" i="21"/>
  <c r="D858" i="21" s="1"/>
  <c r="C857" i="21"/>
  <c r="D857" i="21" s="1"/>
  <c r="C856" i="21"/>
  <c r="D856" i="21" s="1"/>
  <c r="C855" i="21"/>
  <c r="D855" i="21" s="1"/>
  <c r="C854" i="21"/>
  <c r="D854" i="21" s="1"/>
  <c r="C853" i="21"/>
  <c r="D853" i="21" s="1"/>
  <c r="C852" i="21"/>
  <c r="D852" i="21" s="1"/>
  <c r="C851" i="21"/>
  <c r="D851" i="21" s="1"/>
  <c r="C850" i="21"/>
  <c r="D850" i="21" s="1"/>
  <c r="C849" i="21"/>
  <c r="D849" i="21" s="1"/>
  <c r="C848" i="21"/>
  <c r="D848" i="21" s="1"/>
  <c r="C847" i="21"/>
  <c r="C846" i="21"/>
  <c r="D846" i="21" s="1"/>
  <c r="C845" i="21"/>
  <c r="D845" i="21" s="1"/>
  <c r="C844" i="21"/>
  <c r="D844" i="21" s="1"/>
  <c r="C843" i="21"/>
  <c r="C842" i="21"/>
  <c r="D842" i="21" s="1"/>
  <c r="C841" i="21"/>
  <c r="D841" i="21" s="1"/>
  <c r="C840" i="21"/>
  <c r="D840" i="21" s="1"/>
  <c r="C839" i="21"/>
  <c r="D839" i="21" s="1"/>
  <c r="C838" i="21"/>
  <c r="D838" i="21" s="1"/>
  <c r="C837" i="21"/>
  <c r="D837" i="21" s="1"/>
  <c r="C836" i="21"/>
  <c r="D836" i="21" s="1"/>
  <c r="C835" i="21"/>
  <c r="D835" i="21" s="1"/>
  <c r="C834" i="21"/>
  <c r="D834" i="21" s="1"/>
  <c r="C833" i="21"/>
  <c r="D833" i="21" s="1"/>
  <c r="C832" i="21"/>
  <c r="D832" i="21" s="1"/>
  <c r="C831" i="21"/>
  <c r="C830" i="21"/>
  <c r="D830" i="21" s="1"/>
  <c r="C829" i="21"/>
  <c r="D829" i="21" s="1"/>
  <c r="C828" i="21"/>
  <c r="D828" i="21" s="1"/>
  <c r="C827" i="21"/>
  <c r="C826" i="21"/>
  <c r="D826" i="21" s="1"/>
  <c r="C825" i="21"/>
  <c r="D825" i="21" s="1"/>
  <c r="C824" i="21"/>
  <c r="D824" i="21" s="1"/>
  <c r="C823" i="21"/>
  <c r="D823" i="21" s="1"/>
  <c r="C822" i="21"/>
  <c r="D822" i="21" s="1"/>
  <c r="C821" i="21"/>
  <c r="D821" i="21" s="1"/>
  <c r="C820" i="21"/>
  <c r="D820" i="21" s="1"/>
  <c r="C819" i="21"/>
  <c r="D819" i="21" s="1"/>
  <c r="C818" i="21"/>
  <c r="D818" i="21" s="1"/>
  <c r="C817" i="21"/>
  <c r="D817" i="21" s="1"/>
  <c r="C816" i="21"/>
  <c r="D816" i="21" s="1"/>
  <c r="C815" i="21"/>
  <c r="C814" i="21"/>
  <c r="D814" i="21" s="1"/>
  <c r="C813" i="21"/>
  <c r="D813" i="21" s="1"/>
  <c r="C812" i="21"/>
  <c r="E812" i="21" s="1"/>
  <c r="C811" i="21"/>
  <c r="C810" i="21"/>
  <c r="C809" i="21"/>
  <c r="E809" i="21" s="1"/>
  <c r="C808" i="21"/>
  <c r="E808" i="21" s="1"/>
  <c r="C807" i="21"/>
  <c r="E807" i="21" s="1"/>
  <c r="C806" i="21"/>
  <c r="C805" i="21"/>
  <c r="E805" i="21" s="1"/>
  <c r="C804" i="21"/>
  <c r="C803" i="21"/>
  <c r="E803" i="21" s="1"/>
  <c r="C802" i="21"/>
  <c r="C801" i="21"/>
  <c r="E801" i="21" s="1"/>
  <c r="C800" i="21"/>
  <c r="C799" i="21"/>
  <c r="E799" i="21" s="1"/>
  <c r="C798" i="21"/>
  <c r="C797" i="21"/>
  <c r="E797" i="21" s="1"/>
  <c r="C796" i="21"/>
  <c r="C795" i="21"/>
  <c r="E795" i="21" s="1"/>
  <c r="C793" i="21"/>
  <c r="C792" i="21"/>
  <c r="C791" i="21"/>
  <c r="E791" i="21" s="1"/>
  <c r="C790" i="21"/>
  <c r="E790" i="21" s="1"/>
  <c r="C789" i="21"/>
  <c r="E789" i="21" s="1"/>
  <c r="C788" i="21"/>
  <c r="C786" i="21"/>
  <c r="C785" i="21"/>
  <c r="C784" i="21"/>
  <c r="C783" i="21"/>
  <c r="E783" i="21" s="1"/>
  <c r="C782" i="21"/>
  <c r="E782" i="21" s="1"/>
  <c r="C781" i="21"/>
  <c r="C780" i="21"/>
  <c r="C779" i="21"/>
  <c r="E779" i="21" s="1"/>
  <c r="C778" i="21"/>
  <c r="C777" i="21"/>
  <c r="E777" i="21" s="1"/>
  <c r="C776" i="21"/>
  <c r="E776" i="21" s="1"/>
  <c r="C775" i="21"/>
  <c r="C774" i="21"/>
  <c r="E774" i="21" s="1"/>
  <c r="C773" i="21"/>
  <c r="E773" i="21" s="1"/>
  <c r="C772" i="21"/>
  <c r="E772" i="21" s="1"/>
  <c r="C771" i="21"/>
  <c r="E771" i="21" s="1"/>
  <c r="C770" i="21"/>
  <c r="C769" i="21"/>
  <c r="E769" i="21" s="1"/>
  <c r="C768" i="21"/>
  <c r="E768" i="21" s="1"/>
  <c r="C767" i="21"/>
  <c r="E767" i="21" s="1"/>
  <c r="C766" i="21"/>
  <c r="C765" i="21"/>
  <c r="E765" i="21" s="1"/>
  <c r="C764" i="21"/>
  <c r="C763" i="21"/>
  <c r="E763" i="21" s="1"/>
  <c r="C762" i="21"/>
  <c r="C761" i="21"/>
  <c r="E761" i="21" s="1"/>
  <c r="C760" i="21"/>
  <c r="C759" i="21"/>
  <c r="E759" i="21" s="1"/>
  <c r="C758" i="21"/>
  <c r="C757" i="21"/>
  <c r="E757" i="21" s="1"/>
  <c r="C756" i="21"/>
  <c r="C755" i="21"/>
  <c r="E755" i="21" s="1"/>
  <c r="C754" i="21"/>
  <c r="E754" i="21" s="1"/>
  <c r="C753" i="21"/>
  <c r="E753" i="21" s="1"/>
  <c r="C752" i="21"/>
  <c r="C751" i="21"/>
  <c r="E751" i="21" s="1"/>
  <c r="C750" i="21"/>
  <c r="C749" i="21"/>
  <c r="C748" i="21"/>
  <c r="C747" i="21"/>
  <c r="E747" i="21" s="1"/>
  <c r="C746" i="21"/>
  <c r="C745" i="21"/>
  <c r="E745" i="21" s="1"/>
  <c r="C744" i="21"/>
  <c r="C743" i="21"/>
  <c r="E743" i="21" s="1"/>
  <c r="C742" i="21"/>
  <c r="C741" i="21"/>
  <c r="C740" i="21"/>
  <c r="C739" i="21"/>
  <c r="E739" i="21" s="1"/>
  <c r="C738" i="21"/>
  <c r="C737" i="21"/>
  <c r="C736" i="21"/>
  <c r="C735" i="21"/>
  <c r="E735" i="21" s="1"/>
  <c r="C734" i="21"/>
  <c r="C733" i="21"/>
  <c r="C732" i="21"/>
  <c r="E732" i="21" s="1"/>
  <c r="C731" i="21"/>
  <c r="E731" i="21" s="1"/>
  <c r="C730" i="21"/>
  <c r="C729" i="21"/>
  <c r="C728" i="21"/>
  <c r="C727" i="21"/>
  <c r="E727" i="21" s="1"/>
  <c r="C726" i="21"/>
  <c r="C725" i="21"/>
  <c r="E725" i="21" s="1"/>
  <c r="C724" i="21"/>
  <c r="E724" i="21" s="1"/>
  <c r="C723" i="21"/>
  <c r="E723" i="21" s="1"/>
  <c r="C722" i="21"/>
  <c r="C721" i="21"/>
  <c r="C720" i="21"/>
  <c r="C719" i="21"/>
  <c r="E719" i="21" s="1"/>
  <c r="C718" i="21"/>
  <c r="C717" i="21"/>
  <c r="E717" i="21" s="1"/>
  <c r="C716" i="21"/>
  <c r="C715" i="21"/>
  <c r="E715" i="21" s="1"/>
  <c r="C714" i="21"/>
  <c r="C713" i="21"/>
  <c r="C712" i="21"/>
  <c r="E712" i="21" s="1"/>
  <c r="C711" i="21"/>
  <c r="E711" i="21" s="1"/>
  <c r="C710" i="21"/>
  <c r="C709" i="21"/>
  <c r="E709" i="21" s="1"/>
  <c r="C708" i="21"/>
  <c r="C707" i="21"/>
  <c r="E707" i="21" s="1"/>
  <c r="C706" i="21"/>
  <c r="C705" i="21"/>
  <c r="E705" i="21" s="1"/>
  <c r="C704" i="21"/>
  <c r="C703" i="21"/>
  <c r="E703" i="21" s="1"/>
  <c r="C702" i="21"/>
  <c r="C701" i="21"/>
  <c r="E701" i="21" s="1"/>
  <c r="C700" i="21"/>
  <c r="C699" i="21"/>
  <c r="E699" i="21" s="1"/>
  <c r="C698" i="21"/>
  <c r="C697" i="21"/>
  <c r="E697" i="21" s="1"/>
  <c r="C696" i="21"/>
  <c r="E696" i="21" s="1"/>
  <c r="C695" i="21"/>
  <c r="E695" i="21" s="1"/>
  <c r="C694" i="21"/>
  <c r="C693" i="21"/>
  <c r="C692" i="21"/>
  <c r="E692" i="21" s="1"/>
  <c r="C691" i="21"/>
  <c r="E691" i="21" s="1"/>
  <c r="C690" i="21"/>
  <c r="C689" i="21"/>
  <c r="E689" i="21" s="1"/>
  <c r="C688" i="21"/>
  <c r="E688" i="21" s="1"/>
  <c r="C687" i="21"/>
  <c r="E687" i="21" s="1"/>
  <c r="C686" i="21"/>
  <c r="C685" i="21"/>
  <c r="C684" i="21"/>
  <c r="E684" i="21" s="1"/>
  <c r="C683" i="21"/>
  <c r="E683" i="21" s="1"/>
  <c r="C682" i="21"/>
  <c r="C681" i="21"/>
  <c r="E681" i="21" s="1"/>
  <c r="C680" i="21"/>
  <c r="E680" i="21" s="1"/>
  <c r="C679" i="21"/>
  <c r="E679" i="21" s="1"/>
  <c r="C678" i="21"/>
  <c r="C670" i="21"/>
  <c r="E670" i="21" s="1"/>
  <c r="C669" i="21"/>
  <c r="C668" i="21"/>
  <c r="E668" i="21" s="1"/>
  <c r="C667" i="21"/>
  <c r="C666" i="21"/>
  <c r="C665" i="21"/>
  <c r="E665" i="21" s="1"/>
  <c r="C664" i="21"/>
  <c r="E664" i="21" s="1"/>
  <c r="C663" i="21"/>
  <c r="C662" i="21"/>
  <c r="E662" i="21" s="1"/>
  <c r="C661" i="2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C653" i="21"/>
  <c r="E653" i="21" s="1"/>
  <c r="C651" i="2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E644" i="21" s="1"/>
  <c r="C643" i="21"/>
  <c r="D643" i="21" s="1"/>
  <c r="C642" i="21"/>
  <c r="D642" i="21" s="1"/>
  <c r="C641" i="21"/>
  <c r="D641" i="21" s="1"/>
  <c r="C640" i="21"/>
  <c r="D640" i="21" s="1"/>
  <c r="C639" i="21"/>
  <c r="D639" i="21" s="1"/>
  <c r="C638" i="21"/>
  <c r="D638" i="21" s="1"/>
  <c r="C637" i="21"/>
  <c r="D637" i="21" s="1"/>
  <c r="C636" i="21"/>
  <c r="C635" i="21"/>
  <c r="D635" i="21" s="1"/>
  <c r="C634" i="21"/>
  <c r="D634" i="21" s="1"/>
  <c r="C633" i="21"/>
  <c r="D633" i="21" s="1"/>
  <c r="C632" i="21"/>
  <c r="D632" i="21" s="1"/>
  <c r="C631" i="21"/>
  <c r="D631" i="21" s="1"/>
  <c r="C630" i="21"/>
  <c r="D630" i="21" s="1"/>
  <c r="C629" i="21"/>
  <c r="D629" i="21" s="1"/>
  <c r="C628" i="21"/>
  <c r="C627" i="21"/>
  <c r="D627" i="21" s="1"/>
  <c r="C626" i="21"/>
  <c r="D626" i="21" s="1"/>
  <c r="C625" i="21"/>
  <c r="D625" i="21" s="1"/>
  <c r="C624" i="21"/>
  <c r="D624" i="21" s="1"/>
  <c r="C623" i="21"/>
  <c r="D623" i="21" s="1"/>
  <c r="C622" i="21"/>
  <c r="D622" i="21" s="1"/>
  <c r="C621" i="21"/>
  <c r="D621" i="21" s="1"/>
  <c r="C620" i="21"/>
  <c r="C619" i="21"/>
  <c r="D619" i="21" s="1"/>
  <c r="C618" i="21"/>
  <c r="D618" i="21" s="1"/>
  <c r="C617" i="21"/>
  <c r="D617" i="21" s="1"/>
  <c r="C616" i="21"/>
  <c r="D616" i="21" s="1"/>
  <c r="C615" i="21"/>
  <c r="D615" i="21" s="1"/>
  <c r="C614" i="21"/>
  <c r="D614" i="21" s="1"/>
  <c r="C613" i="21"/>
  <c r="D613" i="21" s="1"/>
  <c r="C612" i="21"/>
  <c r="C611" i="21"/>
  <c r="D611" i="21" s="1"/>
  <c r="C610" i="21"/>
  <c r="D610" i="21" s="1"/>
  <c r="C609" i="21"/>
  <c r="D609" i="21" s="1"/>
  <c r="C608" i="21"/>
  <c r="D608" i="21" s="1"/>
  <c r="C607" i="21"/>
  <c r="D607" i="21" s="1"/>
  <c r="C606" i="21"/>
  <c r="D606" i="21" s="1"/>
  <c r="C605" i="21"/>
  <c r="D605" i="21" s="1"/>
  <c r="C604" i="21"/>
  <c r="C603" i="21"/>
  <c r="D603" i="21" s="1"/>
  <c r="C602" i="21"/>
  <c r="D602" i="21" s="1"/>
  <c r="C601" i="21"/>
  <c r="D601" i="21" s="1"/>
  <c r="C600" i="21"/>
  <c r="D600" i="21" s="1"/>
  <c r="C599" i="21"/>
  <c r="D599" i="21" s="1"/>
  <c r="C598" i="21"/>
  <c r="D598" i="21" s="1"/>
  <c r="C597" i="21"/>
  <c r="D597" i="21" s="1"/>
  <c r="C596" i="21"/>
  <c r="C595" i="21"/>
  <c r="D595" i="21" s="1"/>
  <c r="C594" i="21"/>
  <c r="D594" i="21" s="1"/>
  <c r="C593" i="21"/>
  <c r="D593" i="21" s="1"/>
  <c r="C592" i="21"/>
  <c r="D592" i="21" s="1"/>
  <c r="C591" i="21"/>
  <c r="D591" i="21" s="1"/>
  <c r="C590" i="21"/>
  <c r="D590" i="21" s="1"/>
  <c r="C589" i="21"/>
  <c r="D589" i="21" s="1"/>
  <c r="C588" i="21"/>
  <c r="C587" i="21"/>
  <c r="D587" i="21" s="1"/>
  <c r="C586" i="21"/>
  <c r="D586" i="21" s="1"/>
  <c r="C585" i="21"/>
  <c r="D585" i="21" s="1"/>
  <c r="C584" i="21"/>
  <c r="D584" i="21" s="1"/>
  <c r="C583" i="21"/>
  <c r="D583" i="21" s="1"/>
  <c r="C582" i="21"/>
  <c r="D582" i="21" s="1"/>
  <c r="C581" i="21"/>
  <c r="D581" i="21" s="1"/>
  <c r="C580" i="21"/>
  <c r="C579" i="21"/>
  <c r="D579" i="21" s="1"/>
  <c r="C578" i="21"/>
  <c r="D578" i="21" s="1"/>
  <c r="C577" i="21"/>
  <c r="D577" i="21" s="1"/>
  <c r="C576" i="21"/>
  <c r="D576" i="21" s="1"/>
  <c r="C575" i="21"/>
  <c r="D575" i="21" s="1"/>
  <c r="C574" i="21"/>
  <c r="D574" i="21" s="1"/>
  <c r="C573" i="21"/>
  <c r="D573" i="21" s="1"/>
  <c r="C572" i="21"/>
  <c r="C571" i="21"/>
  <c r="D571" i="21" s="1"/>
  <c r="C570" i="21"/>
  <c r="D570" i="21" s="1"/>
  <c r="C569" i="21"/>
  <c r="D569" i="21" s="1"/>
  <c r="C568" i="21"/>
  <c r="D568" i="21" s="1"/>
  <c r="C567" i="21"/>
  <c r="D567" i="21" s="1"/>
  <c r="C566" i="21"/>
  <c r="D566" i="21" s="1"/>
  <c r="C565" i="21"/>
  <c r="D565" i="21" s="1"/>
  <c r="C564" i="21"/>
  <c r="C563" i="21"/>
  <c r="D563" i="21" s="1"/>
  <c r="C562" i="21"/>
  <c r="D562" i="21" s="1"/>
  <c r="C561" i="21"/>
  <c r="D561" i="21" s="1"/>
  <c r="C560" i="21"/>
  <c r="D560" i="21" s="1"/>
  <c r="C559" i="21"/>
  <c r="D559" i="21" s="1"/>
  <c r="C558" i="21"/>
  <c r="D558" i="21" s="1"/>
  <c r="C557" i="21"/>
  <c r="D557" i="21" s="1"/>
  <c r="C556" i="21"/>
  <c r="C555" i="21"/>
  <c r="D555" i="21" s="1"/>
  <c r="C554" i="21"/>
  <c r="D554" i="21" s="1"/>
  <c r="C553" i="21"/>
  <c r="D553" i="21" s="1"/>
  <c r="C552" i="21"/>
  <c r="D552" i="21" s="1"/>
  <c r="C551" i="21"/>
  <c r="D551" i="21" s="1"/>
  <c r="C550" i="21"/>
  <c r="D550" i="21" s="1"/>
  <c r="C549" i="21"/>
  <c r="D549" i="21" s="1"/>
  <c r="C548" i="21"/>
  <c r="C547" i="21"/>
  <c r="D547" i="21" s="1"/>
  <c r="C546" i="21"/>
  <c r="D546" i="21" s="1"/>
  <c r="C545" i="21"/>
  <c r="D545" i="21" s="1"/>
  <c r="C544" i="21"/>
  <c r="D544" i="21" s="1"/>
  <c r="C543" i="21"/>
  <c r="D543" i="21" s="1"/>
  <c r="C542" i="21"/>
  <c r="D542" i="21" s="1"/>
  <c r="C541" i="21"/>
  <c r="D541" i="21" s="1"/>
  <c r="C540" i="21"/>
  <c r="C539" i="21"/>
  <c r="D539" i="21" s="1"/>
  <c r="C538" i="21"/>
  <c r="D538" i="21" s="1"/>
  <c r="C537" i="21"/>
  <c r="D537" i="21" s="1"/>
  <c r="C536" i="21"/>
  <c r="D536" i="21" s="1"/>
  <c r="C535" i="21"/>
  <c r="D535" i="21" s="1"/>
  <c r="C534" i="21"/>
  <c r="D534" i="21" s="1"/>
  <c r="C533" i="21"/>
  <c r="D533" i="21" s="1"/>
  <c r="C532" i="21"/>
  <c r="C531" i="21"/>
  <c r="D531" i="21" s="1"/>
  <c r="C530" i="21"/>
  <c r="D530" i="21" s="1"/>
  <c r="C529" i="21"/>
  <c r="D529" i="21" s="1"/>
  <c r="C528" i="21"/>
  <c r="D528" i="21" s="1"/>
  <c r="C527" i="21"/>
  <c r="D527" i="21" s="1"/>
  <c r="C526" i="21"/>
  <c r="D526" i="21" s="1"/>
  <c r="C525" i="21"/>
  <c r="D525" i="21" s="1"/>
  <c r="C524" i="21"/>
  <c r="C523" i="21"/>
  <c r="D523" i="21" s="1"/>
  <c r="C522" i="21"/>
  <c r="D522" i="21" s="1"/>
  <c r="C521" i="21"/>
  <c r="D521" i="21" s="1"/>
  <c r="C520" i="21"/>
  <c r="D520" i="21" s="1"/>
  <c r="C519" i="21"/>
  <c r="D519" i="21" s="1"/>
  <c r="C518" i="21"/>
  <c r="D518" i="21" s="1"/>
  <c r="C517" i="21"/>
  <c r="D517" i="21" s="1"/>
  <c r="C516" i="21"/>
  <c r="C515" i="21"/>
  <c r="D515" i="21" s="1"/>
  <c r="C514" i="21"/>
  <c r="D514" i="21" s="1"/>
  <c r="C513" i="21"/>
  <c r="D513" i="21" s="1"/>
  <c r="C512" i="21"/>
  <c r="D512" i="21" s="1"/>
  <c r="C511" i="21"/>
  <c r="D511" i="21" s="1"/>
  <c r="C510" i="21"/>
  <c r="D510" i="21" s="1"/>
  <c r="C509" i="21"/>
  <c r="D509" i="21" s="1"/>
  <c r="C508" i="21"/>
  <c r="C507" i="21"/>
  <c r="D507" i="21" s="1"/>
  <c r="C506" i="21"/>
  <c r="D506" i="21" s="1"/>
  <c r="C505" i="21"/>
  <c r="D505" i="21" s="1"/>
  <c r="C504" i="21"/>
  <c r="D504" i="21" s="1"/>
  <c r="C503" i="21"/>
  <c r="D503" i="21" s="1"/>
  <c r="C502" i="21"/>
  <c r="D502" i="21" s="1"/>
  <c r="C501" i="21"/>
  <c r="D501" i="21" s="1"/>
  <c r="C500" i="21"/>
  <c r="C499" i="21"/>
  <c r="D499" i="21" s="1"/>
  <c r="C498" i="21"/>
  <c r="D498" i="21" s="1"/>
  <c r="C497" i="21"/>
  <c r="D497" i="21" s="1"/>
  <c r="C496" i="21"/>
  <c r="C495" i="21"/>
  <c r="D495" i="21" s="1"/>
  <c r="C494" i="21"/>
  <c r="D494" i="21" s="1"/>
  <c r="C493" i="21"/>
  <c r="D493" i="21" s="1"/>
  <c r="C492" i="21"/>
  <c r="C491" i="21"/>
  <c r="D491" i="21" s="1"/>
  <c r="C490" i="21"/>
  <c r="D490" i="21" s="1"/>
  <c r="C489" i="21"/>
  <c r="D489" i="21" s="1"/>
  <c r="C488" i="21"/>
  <c r="C487" i="21"/>
  <c r="D487" i="21" s="1"/>
  <c r="C486" i="21"/>
  <c r="D486" i="21" s="1"/>
  <c r="C485" i="21"/>
  <c r="D485" i="21" s="1"/>
  <c r="C484" i="21"/>
  <c r="C483" i="21"/>
  <c r="D483" i="21" s="1"/>
  <c r="C482" i="21"/>
  <c r="D482" i="21" s="1"/>
  <c r="C481" i="21"/>
  <c r="D481" i="21" s="1"/>
  <c r="C480" i="21"/>
  <c r="C479" i="21"/>
  <c r="D479" i="21" s="1"/>
  <c r="C478" i="21"/>
  <c r="D478" i="21" s="1"/>
  <c r="C477" i="21"/>
  <c r="D477" i="21" s="1"/>
  <c r="C476" i="21"/>
  <c r="C475" i="21"/>
  <c r="D475" i="21" s="1"/>
  <c r="C474" i="21"/>
  <c r="D474" i="21" s="1"/>
  <c r="C473" i="21"/>
  <c r="D473" i="21" s="1"/>
  <c r="C472" i="21"/>
  <c r="C471" i="21"/>
  <c r="D471" i="21" s="1"/>
  <c r="C470" i="21"/>
  <c r="D470" i="21" s="1"/>
  <c r="C469" i="21"/>
  <c r="D469" i="21" s="1"/>
  <c r="C468" i="21"/>
  <c r="C467" i="21"/>
  <c r="D467" i="21" s="1"/>
  <c r="C466" i="21"/>
  <c r="D466" i="21" s="1"/>
  <c r="C465" i="21"/>
  <c r="D465" i="21" s="1"/>
  <c r="C464" i="21"/>
  <c r="C463" i="21"/>
  <c r="D463" i="21" s="1"/>
  <c r="C462" i="21"/>
  <c r="D462" i="21" s="1"/>
  <c r="C461" i="21"/>
  <c r="D461" i="21" s="1"/>
  <c r="C460" i="21"/>
  <c r="C459" i="21"/>
  <c r="D459" i="21" s="1"/>
  <c r="C458" i="21"/>
  <c r="D458" i="21" s="1"/>
  <c r="C457" i="21"/>
  <c r="D457" i="21" s="1"/>
  <c r="C456" i="21"/>
  <c r="C455" i="21"/>
  <c r="D455" i="21" s="1"/>
  <c r="C454" i="21"/>
  <c r="D454" i="21" s="1"/>
  <c r="C453" i="21"/>
  <c r="D453" i="21" s="1"/>
  <c r="C452" i="21"/>
  <c r="C451" i="21"/>
  <c r="C450" i="21"/>
  <c r="D450" i="21" s="1"/>
  <c r="C449" i="21"/>
  <c r="D449" i="21" s="1"/>
  <c r="C448" i="21"/>
  <c r="C447" i="21"/>
  <c r="D447" i="21" s="1"/>
  <c r="C446" i="21"/>
  <c r="D446" i="21" s="1"/>
  <c r="C445" i="21"/>
  <c r="D445" i="21" s="1"/>
  <c r="C444" i="21"/>
  <c r="D444" i="21" s="1"/>
  <c r="C443" i="21"/>
  <c r="D443" i="21" s="1"/>
  <c r="C442" i="21"/>
  <c r="D442" i="21" s="1"/>
  <c r="C441" i="21"/>
  <c r="D441" i="21" s="1"/>
  <c r="C440" i="21"/>
  <c r="C439" i="21"/>
  <c r="D439" i="21" s="1"/>
  <c r="C438" i="21"/>
  <c r="D438" i="21" s="1"/>
  <c r="C437" i="21"/>
  <c r="D437" i="21" s="1"/>
  <c r="C436" i="21"/>
  <c r="D436" i="21" s="1"/>
  <c r="C435" i="21"/>
  <c r="D435" i="21" s="1"/>
  <c r="C434" i="21"/>
  <c r="D434" i="21" s="1"/>
  <c r="C433" i="21"/>
  <c r="D433" i="21" s="1"/>
  <c r="C432" i="21"/>
  <c r="C431" i="21"/>
  <c r="D431" i="21" s="1"/>
  <c r="C430" i="21"/>
  <c r="D430" i="21" s="1"/>
  <c r="C429" i="21"/>
  <c r="D429" i="21" s="1"/>
  <c r="C428" i="21"/>
  <c r="D428" i="21" s="1"/>
  <c r="C427" i="21"/>
  <c r="C426" i="21"/>
  <c r="E426" i="21" s="1"/>
  <c r="C425" i="21"/>
  <c r="C424" i="21"/>
  <c r="C423" i="21"/>
  <c r="E423" i="21" s="1"/>
  <c r="C422" i="21"/>
  <c r="C421" i="2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E415" i="21" s="1"/>
  <c r="C414" i="21"/>
  <c r="C413" i="21"/>
  <c r="C412" i="21"/>
  <c r="E412" i="21" s="1"/>
  <c r="C411" i="21"/>
  <c r="C410" i="21"/>
  <c r="C409" i="21"/>
  <c r="C408" i="21"/>
  <c r="E408" i="21" s="1"/>
  <c r="C407" i="21"/>
  <c r="C406" i="21"/>
  <c r="E406" i="21" s="1"/>
  <c r="C405" i="21"/>
  <c r="C404" i="21"/>
  <c r="E404" i="21" s="1"/>
  <c r="C403" i="21"/>
  <c r="C401" i="21"/>
  <c r="C400" i="21"/>
  <c r="E400" i="21" s="1"/>
  <c r="C399" i="21"/>
  <c r="E399" i="21" s="1"/>
  <c r="C398" i="21"/>
  <c r="E398" i="21" s="1"/>
  <c r="C397" i="21"/>
  <c r="C396" i="21"/>
  <c r="E396" i="21" s="1"/>
  <c r="C395" i="21"/>
  <c r="C394" i="21"/>
  <c r="C393" i="21"/>
  <c r="C392" i="21"/>
  <c r="E392" i="21" s="1"/>
  <c r="C391" i="21"/>
  <c r="C390" i="21"/>
  <c r="E390" i="21" s="1"/>
  <c r="C389" i="21"/>
  <c r="C388" i="21"/>
  <c r="E388" i="21" s="1"/>
  <c r="C387" i="21"/>
  <c r="C386" i="21"/>
  <c r="C385" i="21"/>
  <c r="C384" i="21"/>
  <c r="E384" i="21" s="1"/>
  <c r="C383" i="21"/>
  <c r="E383" i="21" s="1"/>
  <c r="C382" i="21"/>
  <c r="E382" i="21" s="1"/>
  <c r="C381" i="21"/>
  <c r="C380" i="21"/>
  <c r="E380" i="21" s="1"/>
  <c r="C379" i="21"/>
  <c r="C378" i="21"/>
  <c r="E378" i="21" s="1"/>
  <c r="C377" i="21"/>
  <c r="C376" i="21"/>
  <c r="E376" i="21" s="1"/>
  <c r="C375" i="21"/>
  <c r="C374" i="21"/>
  <c r="E374" i="21" s="1"/>
  <c r="C373" i="21"/>
  <c r="C372" i="21"/>
  <c r="E372" i="21" s="1"/>
  <c r="C371" i="21"/>
  <c r="C370" i="21"/>
  <c r="E370" i="21" s="1"/>
  <c r="C369" i="21"/>
  <c r="C368" i="21"/>
  <c r="E368" i="21" s="1"/>
  <c r="C367" i="21"/>
  <c r="E367" i="21" s="1"/>
  <c r="C366" i="21"/>
  <c r="E366" i="21" s="1"/>
  <c r="C365" i="21"/>
  <c r="C364" i="21"/>
  <c r="E364" i="21" s="1"/>
  <c r="C363" i="21"/>
  <c r="C362" i="21"/>
  <c r="E362" i="21" s="1"/>
  <c r="C361" i="21"/>
  <c r="C360" i="21"/>
  <c r="E360" i="21" s="1"/>
  <c r="C359" i="21"/>
  <c r="C358" i="21"/>
  <c r="E358" i="21" s="1"/>
  <c r="C357" i="21"/>
  <c r="C356" i="21"/>
  <c r="E356" i="21" s="1"/>
  <c r="C355" i="21"/>
  <c r="C354" i="21"/>
  <c r="E354" i="21" s="1"/>
  <c r="C353" i="21"/>
  <c r="C352" i="21"/>
  <c r="E352" i="21" s="1"/>
  <c r="C351" i="21"/>
  <c r="E351" i="21" s="1"/>
  <c r="C350" i="21"/>
  <c r="C349" i="21"/>
  <c r="C348" i="21"/>
  <c r="E348" i="21" s="1"/>
  <c r="C347" i="21"/>
  <c r="E347" i="21" s="1"/>
  <c r="C346" i="21"/>
  <c r="E346" i="21" s="1"/>
  <c r="C345" i="21"/>
  <c r="E345" i="21" s="1"/>
  <c r="C344" i="21"/>
  <c r="E344" i="21" s="1"/>
  <c r="C343" i="21"/>
  <c r="C342" i="21"/>
  <c r="C341" i="21"/>
  <c r="E341" i="21" s="1"/>
  <c r="C340" i="21"/>
  <c r="E340" i="21" s="1"/>
  <c r="C339" i="21"/>
  <c r="C338" i="21"/>
  <c r="E338" i="21" s="1"/>
  <c r="C337" i="21"/>
  <c r="E337" i="21" s="1"/>
  <c r="C336" i="21"/>
  <c r="E336" i="21" s="1"/>
  <c r="C335" i="21"/>
  <c r="C334" i="21"/>
  <c r="E334" i="21" s="1"/>
  <c r="C333" i="21"/>
  <c r="E333" i="21" s="1"/>
  <c r="C332" i="21"/>
  <c r="E332" i="21" s="1"/>
  <c r="C331" i="21"/>
  <c r="C330" i="21"/>
  <c r="E330" i="21" s="1"/>
  <c r="C329" i="21"/>
  <c r="E329" i="21" s="1"/>
  <c r="C328" i="21"/>
  <c r="E328" i="21" s="1"/>
  <c r="C327" i="21"/>
  <c r="E327" i="21" s="1"/>
  <c r="C326" i="21"/>
  <c r="C325" i="21"/>
  <c r="E325" i="21" s="1"/>
  <c r="C324" i="21"/>
  <c r="E324" i="21" s="1"/>
  <c r="C323" i="21"/>
  <c r="C322" i="21"/>
  <c r="E322" i="21" s="1"/>
  <c r="C321" i="21"/>
  <c r="E321" i="21" s="1"/>
  <c r="C320" i="21"/>
  <c r="E320" i="21" s="1"/>
  <c r="C319" i="21"/>
  <c r="C318" i="21"/>
  <c r="E318" i="21" s="1"/>
  <c r="C317" i="21"/>
  <c r="E317" i="21" s="1"/>
  <c r="C316" i="21"/>
  <c r="E316" i="21" s="1"/>
  <c r="C315" i="21"/>
  <c r="E315" i="21" s="1"/>
  <c r="C314" i="21"/>
  <c r="E314" i="21" s="1"/>
  <c r="C313" i="21"/>
  <c r="E313" i="21" s="1"/>
  <c r="C312" i="21"/>
  <c r="E312" i="21" s="1"/>
  <c r="C311" i="21"/>
  <c r="C310" i="21"/>
  <c r="C309" i="21"/>
  <c r="E309" i="21" s="1"/>
  <c r="C308" i="21"/>
  <c r="E308" i="21" s="1"/>
  <c r="C307" i="21"/>
  <c r="C306" i="21"/>
  <c r="E306" i="21" s="1"/>
  <c r="C305" i="21"/>
  <c r="E305" i="21" s="1"/>
  <c r="C304" i="21"/>
  <c r="E304" i="21" s="1"/>
  <c r="C303" i="21"/>
  <c r="C302" i="21"/>
  <c r="E302" i="21" s="1"/>
  <c r="C301" i="21"/>
  <c r="E301" i="21" s="1"/>
  <c r="C300" i="21"/>
  <c r="E300" i="21" s="1"/>
  <c r="C299" i="21"/>
  <c r="C298" i="21"/>
  <c r="E298" i="21" s="1"/>
  <c r="C297" i="21"/>
  <c r="E297" i="21" s="1"/>
  <c r="C296" i="21"/>
  <c r="E296" i="21" s="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E272" i="21" s="1"/>
  <c r="C271" i="21"/>
  <c r="E271" i="21" s="1"/>
  <c r="C270" i="21"/>
  <c r="E270" i="21" s="1"/>
  <c r="C269" i="21"/>
  <c r="E269" i="21" s="1"/>
  <c r="C268" i="21"/>
  <c r="E268" i="21" s="1"/>
  <c r="C267" i="21"/>
  <c r="E267" i="21" s="1"/>
  <c r="C266" i="21"/>
  <c r="E266" i="21" s="1"/>
  <c r="C265" i="21"/>
  <c r="E265" i="21" s="1"/>
  <c r="C264" i="21"/>
  <c r="E264" i="21" s="1"/>
  <c r="C263" i="21"/>
  <c r="E263" i="21" s="1"/>
  <c r="C262" i="21"/>
  <c r="E262" i="21" s="1"/>
  <c r="C261" i="21"/>
  <c r="C260" i="21"/>
  <c r="E260" i="21" s="1"/>
  <c r="C258" i="21"/>
  <c r="E258" i="21" s="1"/>
  <c r="C200" i="21"/>
  <c r="D200" i="21" s="1"/>
  <c r="C199" i="21"/>
  <c r="D199" i="21" s="1"/>
  <c r="C198" i="21"/>
  <c r="D198" i="21" s="1"/>
  <c r="C197" i="21"/>
  <c r="C196" i="21"/>
  <c r="D196" i="21" s="1"/>
  <c r="C195" i="21"/>
  <c r="D195" i="21" s="1"/>
  <c r="C194" i="21"/>
  <c r="D194" i="21" s="1"/>
  <c r="C193" i="21"/>
  <c r="C192" i="21"/>
  <c r="D192" i="21" s="1"/>
  <c r="C191" i="21"/>
  <c r="D191" i="21" s="1"/>
  <c r="C190" i="21"/>
  <c r="D190" i="21" s="1"/>
  <c r="C189" i="21"/>
  <c r="C188" i="21"/>
  <c r="D188" i="21" s="1"/>
  <c r="C187" i="21"/>
  <c r="D187" i="21" s="1"/>
  <c r="C186" i="21"/>
  <c r="D186" i="21" s="1"/>
  <c r="C185" i="21"/>
  <c r="C184" i="21"/>
  <c r="D184" i="21" s="1"/>
  <c r="C183" i="21"/>
  <c r="D183" i="21" s="1"/>
  <c r="C182" i="21"/>
  <c r="D182" i="21" s="1"/>
  <c r="C181" i="21"/>
  <c r="C180" i="21"/>
  <c r="D180" i="21" s="1"/>
  <c r="C179" i="21"/>
  <c r="D179" i="21" s="1"/>
  <c r="C178" i="21"/>
  <c r="D178" i="21" s="1"/>
  <c r="C177" i="21"/>
  <c r="C176" i="21"/>
  <c r="D176" i="21" s="1"/>
  <c r="C175" i="21"/>
  <c r="D175" i="21" s="1"/>
  <c r="C174" i="21"/>
  <c r="D174" i="21" s="1"/>
  <c r="C172" i="21"/>
  <c r="C171" i="21"/>
  <c r="D171" i="21" s="1"/>
  <c r="C170" i="21"/>
  <c r="D170" i="21" s="1"/>
  <c r="C169" i="21"/>
  <c r="D169" i="21" s="1"/>
  <c r="C168" i="21"/>
  <c r="C167" i="21"/>
  <c r="D167" i="21" s="1"/>
  <c r="C166" i="21"/>
  <c r="D166" i="21" s="1"/>
  <c r="C165" i="21"/>
  <c r="D165" i="21" s="1"/>
  <c r="C164" i="21"/>
  <c r="C163" i="21"/>
  <c r="D163" i="21" s="1"/>
  <c r="C162" i="21"/>
  <c r="D162" i="21" s="1"/>
  <c r="C161" i="21"/>
  <c r="D161" i="21" s="1"/>
  <c r="C160" i="21"/>
  <c r="C159" i="21"/>
  <c r="D159" i="21" s="1"/>
  <c r="C158" i="21"/>
  <c r="D158" i="21" s="1"/>
  <c r="C157" i="21"/>
  <c r="D157" i="21" s="1"/>
  <c r="C156" i="21"/>
  <c r="C155" i="21"/>
  <c r="D155" i="21" s="1"/>
  <c r="C154" i="21"/>
  <c r="D154" i="21" s="1"/>
  <c r="C153" i="21"/>
  <c r="D153" i="21" s="1"/>
  <c r="C152" i="21"/>
  <c r="C151" i="21"/>
  <c r="D151" i="21" s="1"/>
  <c r="C150" i="21"/>
  <c r="D150" i="21" s="1"/>
  <c r="C149" i="21"/>
  <c r="D149" i="21" s="1"/>
  <c r="C148" i="21"/>
  <c r="C147" i="21"/>
  <c r="D147" i="21" s="1"/>
  <c r="C146" i="21"/>
  <c r="D146" i="21" s="1"/>
  <c r="C144" i="21"/>
  <c r="D144" i="21" s="1"/>
  <c r="C143" i="21"/>
  <c r="C142" i="21"/>
  <c r="D142" i="21" s="1"/>
  <c r="C141" i="21"/>
  <c r="D141" i="21" s="1"/>
  <c r="C140" i="21"/>
  <c r="D140" i="21" s="1"/>
  <c r="C139" i="21"/>
  <c r="C138" i="21"/>
  <c r="C137" i="21"/>
  <c r="D137" i="21" s="1"/>
  <c r="C136" i="21"/>
  <c r="D136" i="21" s="1"/>
  <c r="C135" i="21"/>
  <c r="C134" i="21"/>
  <c r="D134" i="21" s="1"/>
  <c r="C133" i="21"/>
  <c r="D133" i="21" s="1"/>
  <c r="C132" i="21"/>
  <c r="D132" i="21" s="1"/>
  <c r="C131" i="21"/>
  <c r="C130" i="21"/>
  <c r="C129" i="21"/>
  <c r="D129" i="21" s="1"/>
  <c r="C128" i="21"/>
  <c r="D128" i="21" s="1"/>
  <c r="C127" i="21"/>
  <c r="C126" i="21"/>
  <c r="D126" i="21" s="1"/>
  <c r="C125" i="21"/>
  <c r="D125" i="21" s="1"/>
  <c r="C124" i="21"/>
  <c r="D124" i="21" s="1"/>
  <c r="C123" i="21"/>
  <c r="C122" i="21"/>
  <c r="D122" i="21" s="1"/>
  <c r="C121" i="21"/>
  <c r="D121" i="21" s="1"/>
  <c r="C120" i="21"/>
  <c r="D120" i="21" s="1"/>
  <c r="C119" i="21"/>
  <c r="C118" i="21"/>
  <c r="D118" i="21" s="1"/>
  <c r="C116" i="21"/>
  <c r="D116" i="21" s="1"/>
  <c r="C115" i="21"/>
  <c r="D115" i="21" s="1"/>
  <c r="C114" i="21"/>
  <c r="C113" i="21"/>
  <c r="C112" i="21"/>
  <c r="D112" i="21" s="1"/>
  <c r="C111" i="21"/>
  <c r="D111" i="21" s="1"/>
  <c r="C110" i="21"/>
  <c r="C109" i="21"/>
  <c r="D109" i="21" s="1"/>
  <c r="C108" i="21"/>
  <c r="D108" i="21" s="1"/>
  <c r="C107" i="21"/>
  <c r="D107" i="21" s="1"/>
  <c r="C106" i="21"/>
  <c r="C105" i="21"/>
  <c r="D105" i="21" s="1"/>
  <c r="C104" i="21"/>
  <c r="D104" i="21" s="1"/>
  <c r="C103" i="21"/>
  <c r="D103" i="21" s="1"/>
  <c r="C102" i="21"/>
  <c r="C101" i="21"/>
  <c r="C100" i="21"/>
  <c r="D100" i="21" s="1"/>
  <c r="C99" i="21"/>
  <c r="D99" i="21" s="1"/>
  <c r="C98" i="21"/>
  <c r="C97" i="21"/>
  <c r="D97" i="21" s="1"/>
  <c r="C96" i="21"/>
  <c r="D96" i="21" s="1"/>
  <c r="C95" i="21"/>
  <c r="D95" i="21" s="1"/>
  <c r="C94" i="21"/>
  <c r="C93" i="21"/>
  <c r="D93" i="21" s="1"/>
  <c r="C92" i="21"/>
  <c r="D92" i="21" s="1"/>
  <c r="C91" i="21"/>
  <c r="D91" i="21" s="1"/>
  <c r="C90" i="21"/>
  <c r="C89" i="21"/>
  <c r="D89" i="21" s="1"/>
  <c r="C88" i="21"/>
  <c r="D88" i="21" s="1"/>
  <c r="C87" i="21"/>
  <c r="D87" i="21" s="1"/>
  <c r="C86" i="21"/>
  <c r="C85" i="21"/>
  <c r="D85" i="21" s="1"/>
  <c r="C84" i="21"/>
  <c r="D84" i="21" s="1"/>
  <c r="C83" i="21"/>
  <c r="D83" i="21" s="1"/>
  <c r="C82" i="21"/>
  <c r="C81" i="21"/>
  <c r="D81" i="21" s="1"/>
  <c r="C80" i="21"/>
  <c r="D80" i="21" s="1"/>
  <c r="C79" i="21"/>
  <c r="D79" i="21" s="1"/>
  <c r="C78" i="21"/>
  <c r="C77" i="21"/>
  <c r="D77" i="21" s="1"/>
  <c r="C76" i="21"/>
  <c r="D76" i="21" s="1"/>
  <c r="C75" i="21"/>
  <c r="D75" i="21" s="1"/>
  <c r="C74" i="21"/>
  <c r="C73" i="21"/>
  <c r="D73" i="21" s="1"/>
  <c r="C72" i="21"/>
  <c r="D72" i="21" s="1"/>
  <c r="C71" i="21"/>
  <c r="D71" i="21" s="1"/>
  <c r="C70" i="21"/>
  <c r="C69" i="21"/>
  <c r="D69" i="21" s="1"/>
  <c r="C68" i="21"/>
  <c r="D68" i="21" s="1"/>
  <c r="C67" i="21"/>
  <c r="D67" i="21" s="1"/>
  <c r="C66" i="21"/>
  <c r="C65" i="21"/>
  <c r="D65" i="21" s="1"/>
  <c r="C64" i="21"/>
  <c r="D64" i="21" s="1"/>
  <c r="C63" i="21"/>
  <c r="D63" i="21" s="1"/>
  <c r="C34" i="21"/>
  <c r="C33" i="21"/>
  <c r="D33" i="21" s="1"/>
  <c r="C32" i="21"/>
  <c r="D32" i="21" s="1"/>
  <c r="C31" i="21"/>
  <c r="C30" i="21"/>
  <c r="C29" i="21"/>
  <c r="D29" i="21" s="1"/>
  <c r="C28" i="21"/>
  <c r="D28" i="21" s="1"/>
  <c r="C27" i="21"/>
  <c r="D27" i="21" s="1"/>
  <c r="C26" i="21"/>
  <c r="C25" i="21"/>
  <c r="D25" i="21" s="1"/>
  <c r="C24" i="21"/>
  <c r="D24" i="21" s="1"/>
  <c r="C23" i="21"/>
  <c r="C22" i="21"/>
  <c r="C21" i="21"/>
  <c r="D21" i="21" s="1"/>
  <c r="C20" i="21"/>
  <c r="D20" i="21" s="1"/>
  <c r="C19" i="21"/>
  <c r="D19" i="21" s="1"/>
  <c r="C18" i="21"/>
  <c r="C17" i="21"/>
  <c r="D17" i="21" s="1"/>
  <c r="C16" i="21"/>
  <c r="D16" i="21" s="1"/>
  <c r="C15" i="21"/>
  <c r="D15" i="21" s="1"/>
  <c r="C14" i="21"/>
  <c r="C13" i="21"/>
  <c r="D13" i="21" s="1"/>
  <c r="C12" i="21"/>
  <c r="D12" i="21" s="1"/>
  <c r="C11" i="21"/>
  <c r="D11" i="21" s="1"/>
  <c r="C10" i="21"/>
  <c r="C9" i="21"/>
  <c r="D9" i="21" s="1"/>
  <c r="C8" i="21"/>
  <c r="D8" i="21" s="1"/>
  <c r="C61" i="21"/>
  <c r="D61" i="21" s="1"/>
  <c r="C60" i="21"/>
  <c r="C59" i="21"/>
  <c r="D59" i="21" s="1"/>
  <c r="C58" i="21"/>
  <c r="D58" i="21" s="1"/>
  <c r="C57" i="21"/>
  <c r="D57" i="21" s="1"/>
  <c r="C56" i="21"/>
  <c r="C55" i="21"/>
  <c r="D55" i="21" s="1"/>
  <c r="C54" i="21"/>
  <c r="D54" i="21" s="1"/>
  <c r="C53" i="21"/>
  <c r="D53" i="21" s="1"/>
  <c r="C52" i="21"/>
  <c r="C51" i="21"/>
  <c r="D51" i="21" s="1"/>
  <c r="C50" i="21"/>
  <c r="D50" i="21" s="1"/>
  <c r="C49" i="21"/>
  <c r="D49" i="21" s="1"/>
  <c r="C48" i="21"/>
  <c r="C47" i="21"/>
  <c r="D47" i="21" s="1"/>
  <c r="C46" i="21"/>
  <c r="D46" i="21" s="1"/>
  <c r="C45" i="21"/>
  <c r="D45" i="21" s="1"/>
  <c r="C44" i="21"/>
  <c r="C43" i="21"/>
  <c r="D43" i="21" s="1"/>
  <c r="C42" i="21"/>
  <c r="D42" i="21" s="1"/>
  <c r="C41" i="21"/>
  <c r="D41" i="21" s="1"/>
  <c r="C40" i="21"/>
  <c r="C39" i="21"/>
  <c r="D39" i="21" s="1"/>
  <c r="C38" i="21"/>
  <c r="D38" i="21" s="1"/>
  <c r="C37" i="21"/>
  <c r="D37" i="21" s="1"/>
  <c r="C36" i="21"/>
  <c r="C35" i="21"/>
  <c r="D35" i="21" s="1"/>
  <c r="AC1" i="5"/>
  <c r="AC2" i="5" s="1"/>
  <c r="AC4" i="5" s="1"/>
  <c r="AB1" i="5"/>
  <c r="AB2" i="5" s="1"/>
  <c r="AA1" i="5"/>
  <c r="Z1" i="5"/>
  <c r="Z2" i="5" s="1"/>
  <c r="Y1" i="5"/>
  <c r="Y2" i="5" s="1"/>
  <c r="X1" i="5"/>
  <c r="X2" i="5" s="1"/>
  <c r="W1" i="5"/>
  <c r="V1" i="5"/>
  <c r="V2" i="5" s="1"/>
  <c r="U1" i="5"/>
  <c r="U2" i="5" s="1"/>
  <c r="T1" i="5"/>
  <c r="T2" i="5" s="1"/>
  <c r="S1" i="5"/>
  <c r="R1" i="5"/>
  <c r="R2" i="5" s="1"/>
  <c r="Q1" i="5"/>
  <c r="Q2" i="5" s="1"/>
  <c r="P1" i="5"/>
  <c r="P2" i="5" s="1"/>
  <c r="O1" i="5"/>
  <c r="N1" i="5"/>
  <c r="N2" i="5" s="1"/>
  <c r="M1" i="5"/>
  <c r="M2" i="5" s="1"/>
  <c r="L1" i="5"/>
  <c r="L2" i="5" s="1"/>
  <c r="K1" i="5"/>
  <c r="J1" i="5"/>
  <c r="J2" i="5" s="1"/>
  <c r="I1" i="5"/>
  <c r="I2" i="5" s="1"/>
  <c r="H1" i="5"/>
  <c r="H2" i="5" s="1"/>
  <c r="G1" i="5"/>
  <c r="F1" i="5"/>
  <c r="F2" i="5" s="1"/>
  <c r="E1" i="5"/>
  <c r="E2" i="5" s="1"/>
  <c r="D1" i="5"/>
  <c r="D2" i="5" s="1"/>
  <c r="C1" i="5"/>
  <c r="AC1" i="13"/>
  <c r="AC2" i="13" s="1"/>
  <c r="AB1" i="13"/>
  <c r="AB2" i="13" s="1"/>
  <c r="AA1" i="13"/>
  <c r="AA2" i="13" s="1"/>
  <c r="Z1" i="13"/>
  <c r="Y1" i="13"/>
  <c r="Y2" i="13" s="1"/>
  <c r="X1" i="13"/>
  <c r="X2" i="13" s="1"/>
  <c r="W1" i="13"/>
  <c r="V1" i="13"/>
  <c r="U1" i="13"/>
  <c r="T1" i="13"/>
  <c r="T2" i="13" s="1"/>
  <c r="S1" i="13"/>
  <c r="S2" i="13" s="1"/>
  <c r="R1" i="13"/>
  <c r="Q1" i="13"/>
  <c r="Q2" i="13" s="1"/>
  <c r="P1" i="13"/>
  <c r="P2" i="13" s="1"/>
  <c r="O1" i="13"/>
  <c r="O2" i="13" s="1"/>
  <c r="N1" i="13"/>
  <c r="M1" i="13"/>
  <c r="L1" i="13"/>
  <c r="L2" i="13" s="1"/>
  <c r="K1" i="13"/>
  <c r="K2" i="13" s="1"/>
  <c r="J1" i="13"/>
  <c r="I1" i="13"/>
  <c r="I2" i="13" s="1"/>
  <c r="H1" i="13"/>
  <c r="H2" i="13" s="1"/>
  <c r="G1" i="13"/>
  <c r="F1" i="13"/>
  <c r="E1" i="13"/>
  <c r="D1" i="13"/>
  <c r="D2" i="13" s="1"/>
  <c r="C1" i="13"/>
  <c r="C2" i="13" s="1"/>
  <c r="I18" i="15"/>
  <c r="I16" i="15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A1055" i="21"/>
  <c r="A1054" i="21"/>
  <c r="A1053" i="21"/>
  <c r="A1052" i="21"/>
  <c r="D1051" i="21"/>
  <c r="A1051" i="21"/>
  <c r="A1050" i="21"/>
  <c r="A1049" i="21"/>
  <c r="A1048" i="21"/>
  <c r="D1047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D1035" i="21"/>
  <c r="A1035" i="21"/>
  <c r="A1034" i="21"/>
  <c r="A1033" i="21"/>
  <c r="A1032" i="21"/>
  <c r="D1031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D1019" i="21"/>
  <c r="A1019" i="21"/>
  <c r="A1018" i="21"/>
  <c r="A1017" i="21"/>
  <c r="A1016" i="21"/>
  <c r="D1015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D1003" i="21"/>
  <c r="A1003" i="21"/>
  <c r="A1002" i="21"/>
  <c r="A1001" i="21"/>
  <c r="A1000" i="21"/>
  <c r="D999" i="21"/>
  <c r="A999" i="21"/>
  <c r="A998" i="21"/>
  <c r="A997" i="21"/>
  <c r="A996" i="21"/>
  <c r="A995" i="21"/>
  <c r="A994" i="21"/>
  <c r="A993" i="21"/>
  <c r="A992" i="21"/>
  <c r="A991" i="21"/>
  <c r="A990" i="21"/>
  <c r="B990" i="21" s="1"/>
  <c r="A989" i="21"/>
  <c r="A988" i="21"/>
  <c r="D987" i="21"/>
  <c r="A987" i="21"/>
  <c r="A986" i="21"/>
  <c r="A985" i="21"/>
  <c r="A984" i="21"/>
  <c r="D983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D971" i="21"/>
  <c r="A971" i="21"/>
  <c r="A970" i="21"/>
  <c r="A969" i="21"/>
  <c r="A968" i="21"/>
  <c r="D967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D955" i="21"/>
  <c r="A955" i="21"/>
  <c r="A954" i="21"/>
  <c r="A953" i="21"/>
  <c r="A952" i="21"/>
  <c r="D951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D939" i="21"/>
  <c r="A939" i="21"/>
  <c r="A938" i="21"/>
  <c r="A937" i="21"/>
  <c r="A936" i="21"/>
  <c r="D935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D923" i="21"/>
  <c r="A923" i="21"/>
  <c r="A922" i="21"/>
  <c r="A921" i="21"/>
  <c r="A920" i="21"/>
  <c r="D919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D907" i="21"/>
  <c r="A907" i="21"/>
  <c r="A906" i="21"/>
  <c r="A905" i="21"/>
  <c r="A904" i="21"/>
  <c r="D903" i="21"/>
  <c r="A903" i="21"/>
  <c r="A902" i="21"/>
  <c r="A901" i="21"/>
  <c r="A900" i="21"/>
  <c r="A899" i="21"/>
  <c r="A898" i="21"/>
  <c r="D897" i="21"/>
  <c r="A897" i="21"/>
  <c r="A896" i="21"/>
  <c r="D895" i="21"/>
  <c r="A895" i="21"/>
  <c r="A894" i="21"/>
  <c r="A893" i="21"/>
  <c r="A892" i="21"/>
  <c r="D891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D879" i="21"/>
  <c r="A879" i="21"/>
  <c r="A878" i="21"/>
  <c r="A877" i="21"/>
  <c r="A876" i="21"/>
  <c r="D875" i="21"/>
  <c r="A875" i="21"/>
  <c r="A874" i="21"/>
  <c r="A873" i="21"/>
  <c r="A872" i="21"/>
  <c r="A871" i="21"/>
  <c r="A870" i="21"/>
  <c r="A869" i="21"/>
  <c r="B869" i="21" s="1"/>
  <c r="A868" i="21"/>
  <c r="A867" i="21"/>
  <c r="A866" i="21"/>
  <c r="A865" i="21"/>
  <c r="A864" i="21"/>
  <c r="D863" i="21"/>
  <c r="A863" i="21"/>
  <c r="A862" i="21"/>
  <c r="A861" i="21"/>
  <c r="A860" i="21"/>
  <c r="D859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D847" i="21"/>
  <c r="A847" i="21"/>
  <c r="A846" i="21"/>
  <c r="A845" i="21"/>
  <c r="A844" i="21"/>
  <c r="D843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D831" i="21"/>
  <c r="A831" i="21"/>
  <c r="A830" i="21"/>
  <c r="A829" i="21"/>
  <c r="A828" i="21"/>
  <c r="D827" i="21"/>
  <c r="A827" i="21"/>
  <c r="A826" i="21"/>
  <c r="A825" i="21"/>
  <c r="A824" i="21"/>
  <c r="A823" i="21"/>
  <c r="A822" i="21"/>
  <c r="A821" i="21"/>
  <c r="A820" i="21"/>
  <c r="A819" i="21"/>
  <c r="A818" i="21"/>
  <c r="A817" i="21"/>
  <c r="A816" i="21"/>
  <c r="D815" i="21"/>
  <c r="A815" i="21"/>
  <c r="A814" i="21"/>
  <c r="A813" i="21"/>
  <c r="D803" i="21"/>
  <c r="D791" i="21"/>
  <c r="D759" i="21"/>
  <c r="D751" i="21"/>
  <c r="D747" i="21"/>
  <c r="D743" i="21"/>
  <c r="D739" i="21"/>
  <c r="D735" i="21"/>
  <c r="D731" i="21"/>
  <c r="D727" i="21"/>
  <c r="D719" i="21"/>
  <c r="D715" i="21"/>
  <c r="D711" i="21"/>
  <c r="D703" i="21"/>
  <c r="D699" i="21"/>
  <c r="D695" i="21"/>
  <c r="D691" i="21"/>
  <c r="D687" i="21"/>
  <c r="D683" i="21"/>
  <c r="D679" i="21"/>
  <c r="A677" i="21"/>
  <c r="A676" i="21"/>
  <c r="A670" i="21"/>
  <c r="A669" i="21"/>
  <c r="A668" i="21"/>
  <c r="A667" i="21"/>
  <c r="A666" i="21"/>
  <c r="A665" i="21"/>
  <c r="D664" i="21"/>
  <c r="A664" i="21"/>
  <c r="A663" i="21"/>
  <c r="A662" i="21"/>
  <c r="A661" i="21"/>
  <c r="D660" i="21"/>
  <c r="A660" i="21"/>
  <c r="A658" i="21"/>
  <c r="A657" i="21"/>
  <c r="D656" i="21"/>
  <c r="A656" i="21"/>
  <c r="A655" i="21"/>
  <c r="A654" i="21"/>
  <c r="A653" i="21"/>
  <c r="A651" i="21"/>
  <c r="A650" i="21"/>
  <c r="A649" i="21"/>
  <c r="A648" i="21"/>
  <c r="A646" i="21"/>
  <c r="A645" i="21"/>
  <c r="D644" i="21"/>
  <c r="A644" i="21"/>
  <c r="A643" i="21"/>
  <c r="A642" i="21"/>
  <c r="A641" i="21"/>
  <c r="A640" i="21"/>
  <c r="A639" i="21"/>
  <c r="A638" i="21"/>
  <c r="A637" i="21"/>
  <c r="D636" i="21"/>
  <c r="A636" i="21"/>
  <c r="A635" i="21"/>
  <c r="A634" i="21"/>
  <c r="A633" i="21"/>
  <c r="A632" i="21"/>
  <c r="A631" i="21"/>
  <c r="A630" i="21"/>
  <c r="A629" i="21"/>
  <c r="D628" i="21"/>
  <c r="A628" i="21"/>
  <c r="A627" i="21"/>
  <c r="A626" i="21"/>
  <c r="A625" i="21"/>
  <c r="A624" i="21"/>
  <c r="A623" i="21"/>
  <c r="A622" i="21"/>
  <c r="A621" i="21"/>
  <c r="D620" i="21"/>
  <c r="A620" i="21"/>
  <c r="A619" i="21"/>
  <c r="A618" i="21"/>
  <c r="A617" i="21"/>
  <c r="A616" i="21"/>
  <c r="B616" i="21" s="1"/>
  <c r="A615" i="21"/>
  <c r="A614" i="21"/>
  <c r="A613" i="21"/>
  <c r="D612" i="21"/>
  <c r="A612" i="21"/>
  <c r="A611" i="21"/>
  <c r="A610" i="21"/>
  <c r="A609" i="21"/>
  <c r="A608" i="21"/>
  <c r="A607" i="21"/>
  <c r="A606" i="21"/>
  <c r="A605" i="21"/>
  <c r="D604" i="21"/>
  <c r="A604" i="21"/>
  <c r="A603" i="21"/>
  <c r="A602" i="21"/>
  <c r="A601" i="21"/>
  <c r="A600" i="21"/>
  <c r="A599" i="21"/>
  <c r="A598" i="21"/>
  <c r="A597" i="21"/>
  <c r="D596" i="21"/>
  <c r="A596" i="21"/>
  <c r="A595" i="21"/>
  <c r="A594" i="21"/>
  <c r="A593" i="21"/>
  <c r="A592" i="21"/>
  <c r="A591" i="21"/>
  <c r="A590" i="21"/>
  <c r="A589" i="21"/>
  <c r="D588" i="21"/>
  <c r="A588" i="21"/>
  <c r="A587" i="21"/>
  <c r="A586" i="21"/>
  <c r="A585" i="21"/>
  <c r="A584" i="21"/>
  <c r="A583" i="21"/>
  <c r="A582" i="21"/>
  <c r="A581" i="21"/>
  <c r="D580" i="21"/>
  <c r="A580" i="21"/>
  <c r="A579" i="21"/>
  <c r="A578" i="21"/>
  <c r="A577" i="21"/>
  <c r="A576" i="21"/>
  <c r="A575" i="21"/>
  <c r="A574" i="21"/>
  <c r="A573" i="21"/>
  <c r="D572" i="21"/>
  <c r="A572" i="21"/>
  <c r="A571" i="21"/>
  <c r="A570" i="21"/>
  <c r="A569" i="21"/>
  <c r="A568" i="21"/>
  <c r="A567" i="21"/>
  <c r="A566" i="21"/>
  <c r="A565" i="21"/>
  <c r="D564" i="21"/>
  <c r="A564" i="21"/>
  <c r="A563" i="21"/>
  <c r="A562" i="21"/>
  <c r="A561" i="21"/>
  <c r="A560" i="21"/>
  <c r="A559" i="21"/>
  <c r="A558" i="21"/>
  <c r="A557" i="21"/>
  <c r="D556" i="21"/>
  <c r="A556" i="21"/>
  <c r="A555" i="21"/>
  <c r="A554" i="21"/>
  <c r="A553" i="21"/>
  <c r="A552" i="21"/>
  <c r="A551" i="21"/>
  <c r="A550" i="21"/>
  <c r="A549" i="21"/>
  <c r="D548" i="21"/>
  <c r="A548" i="21"/>
  <c r="A547" i="21"/>
  <c r="A546" i="21"/>
  <c r="A545" i="21"/>
  <c r="A544" i="21"/>
  <c r="A543" i="21"/>
  <c r="A542" i="21"/>
  <c r="A541" i="21"/>
  <c r="D540" i="21"/>
  <c r="A540" i="21"/>
  <c r="A539" i="21"/>
  <c r="A538" i="21"/>
  <c r="A537" i="21"/>
  <c r="A536" i="21"/>
  <c r="A535" i="21"/>
  <c r="A534" i="21"/>
  <c r="A533" i="21"/>
  <c r="D532" i="21"/>
  <c r="A532" i="21"/>
  <c r="A531" i="21"/>
  <c r="A530" i="21"/>
  <c r="A529" i="21"/>
  <c r="A528" i="21"/>
  <c r="A527" i="21"/>
  <c r="A526" i="21"/>
  <c r="A525" i="21"/>
  <c r="D524" i="21"/>
  <c r="A524" i="21"/>
  <c r="A523" i="21"/>
  <c r="A522" i="21"/>
  <c r="A521" i="21"/>
  <c r="A520" i="21"/>
  <c r="A519" i="21"/>
  <c r="A518" i="21"/>
  <c r="A517" i="21"/>
  <c r="D516" i="21"/>
  <c r="A516" i="21"/>
  <c r="A515" i="21"/>
  <c r="A514" i="21"/>
  <c r="A513" i="21"/>
  <c r="A512" i="21"/>
  <c r="A511" i="21"/>
  <c r="A510" i="21"/>
  <c r="A509" i="21"/>
  <c r="D508" i="21"/>
  <c r="A508" i="21"/>
  <c r="A507" i="21"/>
  <c r="A506" i="21"/>
  <c r="A505" i="21"/>
  <c r="A504" i="21"/>
  <c r="A503" i="21"/>
  <c r="A502" i="21"/>
  <c r="A501" i="21"/>
  <c r="D500" i="21"/>
  <c r="A500" i="21"/>
  <c r="A499" i="21"/>
  <c r="A498" i="21"/>
  <c r="A497" i="21"/>
  <c r="D496" i="21"/>
  <c r="A496" i="21"/>
  <c r="A495" i="21"/>
  <c r="A494" i="21"/>
  <c r="A493" i="21"/>
  <c r="D492" i="21"/>
  <c r="A492" i="21"/>
  <c r="A491" i="21"/>
  <c r="A490" i="21"/>
  <c r="A489" i="21"/>
  <c r="D488" i="21"/>
  <c r="A488" i="21"/>
  <c r="A487" i="21"/>
  <c r="A486" i="21"/>
  <c r="A485" i="21"/>
  <c r="D484" i="21"/>
  <c r="A484" i="21"/>
  <c r="A483" i="21"/>
  <c r="A482" i="21"/>
  <c r="A481" i="21"/>
  <c r="D480" i="21"/>
  <c r="A480" i="21"/>
  <c r="A479" i="21"/>
  <c r="A478" i="21"/>
  <c r="A477" i="21"/>
  <c r="D476" i="21"/>
  <c r="A476" i="21"/>
  <c r="A475" i="21"/>
  <c r="A474" i="21"/>
  <c r="A473" i="21"/>
  <c r="D472" i="21"/>
  <c r="A472" i="21"/>
  <c r="A471" i="21"/>
  <c r="A470" i="21"/>
  <c r="A469" i="21"/>
  <c r="D468" i="21"/>
  <c r="A468" i="21"/>
  <c r="A467" i="21"/>
  <c r="A466" i="21"/>
  <c r="A465" i="21"/>
  <c r="D464" i="21"/>
  <c r="A464" i="21"/>
  <c r="A463" i="21"/>
  <c r="A462" i="21"/>
  <c r="A461" i="21"/>
  <c r="D460" i="21"/>
  <c r="A460" i="21"/>
  <c r="A459" i="21"/>
  <c r="A458" i="21"/>
  <c r="A457" i="21"/>
  <c r="D456" i="21"/>
  <c r="A456" i="21"/>
  <c r="A455" i="21"/>
  <c r="A454" i="21"/>
  <c r="A453" i="21"/>
  <c r="D452" i="21"/>
  <c r="A452" i="21"/>
  <c r="D451" i="21"/>
  <c r="A451" i="21"/>
  <c r="A450" i="21"/>
  <c r="A449" i="21"/>
  <c r="D448" i="21"/>
  <c r="A448" i="21"/>
  <c r="A447" i="21"/>
  <c r="A446" i="21"/>
  <c r="A445" i="21"/>
  <c r="A444" i="21"/>
  <c r="A443" i="21"/>
  <c r="A442" i="21"/>
  <c r="A441" i="21"/>
  <c r="D440" i="21"/>
  <c r="A440" i="21"/>
  <c r="A439" i="21"/>
  <c r="A438" i="21"/>
  <c r="A437" i="21"/>
  <c r="B437" i="21" s="1"/>
  <c r="A436" i="21"/>
  <c r="A435" i="21"/>
  <c r="A434" i="21"/>
  <c r="A433" i="21"/>
  <c r="D432" i="21"/>
  <c r="A432" i="21"/>
  <c r="A431" i="21"/>
  <c r="A430" i="21"/>
  <c r="A429" i="21"/>
  <c r="A428" i="21"/>
  <c r="D416" i="21"/>
  <c r="D412" i="21"/>
  <c r="D408" i="21"/>
  <c r="D404" i="21"/>
  <c r="D400" i="21"/>
  <c r="D396" i="21"/>
  <c r="D392" i="21"/>
  <c r="D388" i="21"/>
  <c r="D384" i="21"/>
  <c r="D380" i="21"/>
  <c r="D376" i="21"/>
  <c r="D372" i="21"/>
  <c r="D368" i="21"/>
  <c r="D364" i="21"/>
  <c r="D360" i="21"/>
  <c r="D356" i="21"/>
  <c r="D352" i="21"/>
  <c r="D344" i="21"/>
  <c r="D340" i="21"/>
  <c r="D336" i="21"/>
  <c r="D332" i="21"/>
  <c r="D328" i="21"/>
  <c r="D327" i="21"/>
  <c r="D324" i="21"/>
  <c r="D320" i="21"/>
  <c r="D316" i="21"/>
  <c r="D312" i="21"/>
  <c r="D308" i="21"/>
  <c r="D304" i="21"/>
  <c r="D300" i="21"/>
  <c r="D296" i="21"/>
  <c r="D295" i="21"/>
  <c r="A292" i="21"/>
  <c r="A291" i="21"/>
  <c r="D284" i="21"/>
  <c r="D283" i="21"/>
  <c r="D280" i="21"/>
  <c r="D276" i="21"/>
  <c r="D275" i="21"/>
  <c r="D272" i="21"/>
  <c r="D268" i="21"/>
  <c r="D267" i="21"/>
  <c r="D264" i="21"/>
  <c r="D260" i="21"/>
  <c r="D197" i="21"/>
  <c r="D193" i="21"/>
  <c r="D189" i="21"/>
  <c r="D185" i="21"/>
  <c r="D181" i="21"/>
  <c r="D177" i="21"/>
  <c r="D172" i="21"/>
  <c r="D168" i="21"/>
  <c r="D164" i="21"/>
  <c r="D160" i="21"/>
  <c r="D156" i="21"/>
  <c r="D152" i="21"/>
  <c r="D148" i="21"/>
  <c r="D143" i="21"/>
  <c r="D139" i="21"/>
  <c r="D138" i="21"/>
  <c r="D135" i="21"/>
  <c r="D131" i="21"/>
  <c r="D130" i="21"/>
  <c r="D127" i="21"/>
  <c r="D123" i="21"/>
  <c r="D119" i="21"/>
  <c r="D114" i="21"/>
  <c r="D113" i="21"/>
  <c r="D110" i="21"/>
  <c r="D106" i="21"/>
  <c r="D102" i="21"/>
  <c r="D101" i="21"/>
  <c r="D98" i="21"/>
  <c r="D94" i="21"/>
  <c r="D90" i="21"/>
  <c r="D86" i="21"/>
  <c r="D82" i="21"/>
  <c r="D78" i="21"/>
  <c r="D74" i="21"/>
  <c r="D70" i="21"/>
  <c r="D66" i="21"/>
  <c r="D60" i="21"/>
  <c r="D56" i="21"/>
  <c r="D52" i="21"/>
  <c r="D48" i="21"/>
  <c r="D44" i="21"/>
  <c r="D40" i="21"/>
  <c r="D36" i="21"/>
  <c r="D34" i="21"/>
  <c r="D31" i="21"/>
  <c r="D30" i="21"/>
  <c r="D26" i="21"/>
  <c r="D23" i="21"/>
  <c r="D22" i="21"/>
  <c r="D18" i="21"/>
  <c r="D14" i="21"/>
  <c r="D10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93" i="9"/>
  <c r="AU189" i="9"/>
  <c r="AU181" i="9"/>
  <c r="AU149" i="9"/>
  <c r="AU109" i="9"/>
  <c r="AU495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38" i="9"/>
  <c r="AU434" i="9"/>
  <c r="AU432" i="9"/>
  <c r="AU430" i="9"/>
  <c r="AU426" i="9"/>
  <c r="AU424" i="9"/>
  <c r="AU422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35" i="9"/>
  <c r="AT145" i="9"/>
  <c r="AT151" i="9"/>
  <c r="AT161" i="9"/>
  <c r="AT164" i="9"/>
  <c r="AT177" i="9"/>
  <c r="AT183" i="9"/>
  <c r="AT201" i="9"/>
  <c r="AT205" i="9"/>
  <c r="AT211" i="9"/>
  <c r="AT229" i="9"/>
  <c r="AT233" i="9"/>
  <c r="AT243" i="9"/>
  <c r="AT251" i="9"/>
  <c r="AT269" i="9"/>
  <c r="AT273" i="9"/>
  <c r="AT277" i="9"/>
  <c r="AT281" i="9"/>
  <c r="AT285" i="9"/>
  <c r="AT289" i="9"/>
  <c r="AT293" i="9"/>
  <c r="AT303" i="9"/>
  <c r="AT307" i="9"/>
  <c r="AT311" i="9"/>
  <c r="AT319" i="9"/>
  <c r="AT323" i="9"/>
  <c r="AT327" i="9"/>
  <c r="AT335" i="9"/>
  <c r="AT339" i="9"/>
  <c r="AT344" i="9"/>
  <c r="AT349" i="9"/>
  <c r="AT350" i="9"/>
  <c r="AT409" i="9"/>
  <c r="AT414" i="9"/>
  <c r="AT445" i="9"/>
  <c r="AT483" i="9"/>
  <c r="AT489" i="9"/>
  <c r="AU500" i="9"/>
  <c r="AT103" i="9"/>
  <c r="AT122" i="9"/>
  <c r="AU138" i="9"/>
  <c r="AT153" i="9"/>
  <c r="AT159" i="9"/>
  <c r="AT167" i="9"/>
  <c r="AT180" i="9"/>
  <c r="AT193" i="9"/>
  <c r="AT199" i="9"/>
  <c r="AT215" i="9"/>
  <c r="AT219" i="9"/>
  <c r="AT231" i="9"/>
  <c r="AT237" i="9"/>
  <c r="AT245" i="9"/>
  <c r="AT253" i="9"/>
  <c r="AT261" i="9"/>
  <c r="AT265" i="9"/>
  <c r="AT107" i="9"/>
  <c r="AT112" i="9"/>
  <c r="AU113" i="9"/>
  <c r="AT117" i="9"/>
  <c r="AU118" i="9"/>
  <c r="AT123" i="9"/>
  <c r="AU128" i="9"/>
  <c r="AU129" i="9"/>
  <c r="AT133" i="9"/>
  <c r="AT134" i="9"/>
  <c r="AT139" i="9"/>
  <c r="AU145" i="9"/>
  <c r="AT149" i="9"/>
  <c r="AT155" i="9"/>
  <c r="AU161" i="9"/>
  <c r="AT165" i="9"/>
  <c r="AT166" i="9"/>
  <c r="AT176" i="9"/>
  <c r="AU177" i="9"/>
  <c r="AT181" i="9"/>
  <c r="AT182" i="9"/>
  <c r="AT187" i="9"/>
  <c r="AT192" i="9"/>
  <c r="AU193" i="9"/>
  <c r="AT197" i="9"/>
  <c r="AT198" i="9"/>
  <c r="AT203" i="9"/>
  <c r="AU205" i="9"/>
  <c r="AU209" i="9"/>
  <c r="AU211" i="9"/>
  <c r="AU213" i="9"/>
  <c r="AU217" i="9"/>
  <c r="AU219" i="9"/>
  <c r="AU221" i="9"/>
  <c r="AU225" i="9"/>
  <c r="AU227" i="9"/>
  <c r="AT343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U444" i="9"/>
  <c r="AT453" i="9"/>
  <c r="AU482" i="9"/>
  <c r="AT487" i="9"/>
  <c r="AT493" i="9"/>
  <c r="AU499" i="9"/>
  <c r="AS111" i="9"/>
  <c r="AS119" i="9"/>
  <c r="AS127" i="9"/>
  <c r="AS147" i="9"/>
  <c r="AS151" i="9"/>
  <c r="AS159" i="9"/>
  <c r="AS175" i="9"/>
  <c r="AS183" i="9"/>
  <c r="AS191" i="9"/>
  <c r="AS199" i="9"/>
  <c r="AS203" i="9"/>
  <c r="AS231" i="9"/>
  <c r="AS239" i="9"/>
  <c r="AS243" i="9"/>
  <c r="AS247" i="9"/>
  <c r="AS255" i="9"/>
  <c r="AS259" i="9"/>
  <c r="AS263" i="9"/>
  <c r="AS271" i="9"/>
  <c r="AS275" i="9"/>
  <c r="AS279" i="9"/>
  <c r="AS287" i="9"/>
  <c r="AS291" i="9"/>
  <c r="AS295" i="9"/>
  <c r="AS303" i="9"/>
  <c r="AS307" i="9"/>
  <c r="AS311" i="9"/>
  <c r="AS319" i="9"/>
  <c r="AS323" i="9"/>
  <c r="AS327" i="9"/>
  <c r="AS335" i="9"/>
  <c r="AS339" i="9"/>
  <c r="AS409" i="9"/>
  <c r="AS413" i="9"/>
  <c r="AS453" i="9"/>
  <c r="AS489" i="9"/>
  <c r="AS497" i="9"/>
  <c r="AS105" i="9"/>
  <c r="AU111" i="9"/>
  <c r="AS113" i="9"/>
  <c r="AS121" i="9"/>
  <c r="AU127" i="9"/>
  <c r="AS129" i="9"/>
  <c r="AS137" i="9"/>
  <c r="AU143" i="9"/>
  <c r="AS145" i="9"/>
  <c r="AS153" i="9"/>
  <c r="AU159" i="9"/>
  <c r="AS161" i="9"/>
  <c r="AS169" i="9"/>
  <c r="AU175" i="9"/>
  <c r="AS177" i="9"/>
  <c r="AS185" i="9"/>
  <c r="AU191" i="9"/>
  <c r="AS193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S353" i="9"/>
  <c r="AS355" i="9"/>
  <c r="AS357" i="9"/>
  <c r="AS361" i="9"/>
  <c r="AS363" i="9"/>
  <c r="AS365" i="9"/>
  <c r="AS369" i="9"/>
  <c r="AS371" i="9"/>
  <c r="AS373" i="9"/>
  <c r="AS377" i="9"/>
  <c r="AS379" i="9"/>
  <c r="AS381" i="9"/>
  <c r="AS385" i="9"/>
  <c r="AS387" i="9"/>
  <c r="AS389" i="9"/>
  <c r="AS393" i="9"/>
  <c r="AS395" i="9"/>
  <c r="AS397" i="9"/>
  <c r="AS401" i="9"/>
  <c r="AS403" i="9"/>
  <c r="AS405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40" i="9"/>
  <c r="AT146" i="9"/>
  <c r="AT150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S238" i="9"/>
  <c r="AU240" i="9"/>
  <c r="AS242" i="9"/>
  <c r="AS246" i="9"/>
  <c r="AU248" i="9"/>
  <c r="AS250" i="9"/>
  <c r="AS254" i="9"/>
  <c r="AU256" i="9"/>
  <c r="AS258" i="9"/>
  <c r="AS262" i="9"/>
  <c r="AU264" i="9"/>
  <c r="AS266" i="9"/>
  <c r="AS270" i="9"/>
  <c r="AU272" i="9"/>
  <c r="AS274" i="9"/>
  <c r="AS278" i="9"/>
  <c r="AU280" i="9"/>
  <c r="AS282" i="9"/>
  <c r="AS286" i="9"/>
  <c r="AU288" i="9"/>
  <c r="AS290" i="9"/>
  <c r="AS294" i="9"/>
  <c r="AU296" i="9"/>
  <c r="AS298" i="9"/>
  <c r="AS302" i="9"/>
  <c r="AU304" i="9"/>
  <c r="AS306" i="9"/>
  <c r="AS310" i="9"/>
  <c r="AU312" i="9"/>
  <c r="AS314" i="9"/>
  <c r="AS318" i="9"/>
  <c r="AU320" i="9"/>
  <c r="AS322" i="9"/>
  <c r="AS326" i="9"/>
  <c r="AU328" i="9"/>
  <c r="AS330" i="9"/>
  <c r="AS334" i="9"/>
  <c r="AU336" i="9"/>
  <c r="AS338" i="9"/>
  <c r="AU229" i="9"/>
  <c r="AT230" i="9"/>
  <c r="AT232" i="9"/>
  <c r="AT234" i="9"/>
  <c r="AT238" i="9"/>
  <c r="AT240" i="9"/>
  <c r="AT242" i="9"/>
  <c r="AT246" i="9"/>
  <c r="AT248" i="9"/>
  <c r="AT250" i="9"/>
  <c r="AT254" i="9"/>
  <c r="AT256" i="9"/>
  <c r="AT258" i="9"/>
  <c r="AT262" i="9"/>
  <c r="AT264" i="9"/>
  <c r="AT266" i="9"/>
  <c r="AT270" i="9"/>
  <c r="AT272" i="9"/>
  <c r="AT274" i="9"/>
  <c r="AT278" i="9"/>
  <c r="AT280" i="9"/>
  <c r="AT282" i="9"/>
  <c r="AT286" i="9"/>
  <c r="AT288" i="9"/>
  <c r="AT290" i="9"/>
  <c r="AT294" i="9"/>
  <c r="AT296" i="9"/>
  <c r="AT298" i="9"/>
  <c r="AT302" i="9"/>
  <c r="AT304" i="9"/>
  <c r="AT306" i="9"/>
  <c r="AT310" i="9"/>
  <c r="AT312" i="9"/>
  <c r="AT314" i="9"/>
  <c r="AT318" i="9"/>
  <c r="AT320" i="9"/>
  <c r="AT322" i="9"/>
  <c r="AT326" i="9"/>
  <c r="AT328" i="9"/>
  <c r="AT330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S450" i="9"/>
  <c r="AU452" i="9"/>
  <c r="AS454" i="9"/>
  <c r="AS441" i="9"/>
  <c r="AU443" i="9"/>
  <c r="AS445" i="9"/>
  <c r="AT446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U137" i="9"/>
  <c r="AT141" i="9"/>
  <c r="AT147" i="9"/>
  <c r="AU153" i="9"/>
  <c r="AT157" i="9"/>
  <c r="AT163" i="9"/>
  <c r="AU169" i="9"/>
  <c r="AT173" i="9"/>
  <c r="AU174" i="9"/>
  <c r="AT179" i="9"/>
  <c r="AT184" i="9"/>
  <c r="AU185" i="9"/>
  <c r="AT189" i="9"/>
  <c r="AT190" i="9"/>
  <c r="AT195" i="9"/>
  <c r="AT200" i="9"/>
  <c r="AU201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18" i="9"/>
  <c r="AT130" i="9"/>
  <c r="AT138" i="9"/>
  <c r="AT142" i="9"/>
  <c r="AT148" i="9"/>
  <c r="AT154" i="9"/>
  <c r="AT168" i="9"/>
  <c r="AT178" i="9"/>
  <c r="AU88" i="9"/>
  <c r="AS104" i="9"/>
  <c r="AU106" i="9"/>
  <c r="AU110" i="9"/>
  <c r="AS112" i="9"/>
  <c r="AU114" i="9"/>
  <c r="AU120" i="9"/>
  <c r="AS122" i="9"/>
  <c r="AU124" i="9"/>
  <c r="AS126" i="9"/>
  <c r="AU130" i="9"/>
  <c r="AS132" i="9"/>
  <c r="AS134" i="9"/>
  <c r="AS138" i="9"/>
  <c r="AS140" i="9"/>
  <c r="AU142" i="9"/>
  <c r="AU148" i="9"/>
  <c r="AS150" i="9"/>
  <c r="AU152" i="9"/>
  <c r="AS154" i="9"/>
  <c r="AU158" i="9"/>
  <c r="AS160" i="9"/>
  <c r="AU162" i="9"/>
  <c r="AU166" i="9"/>
  <c r="AS168" i="9"/>
  <c r="AS170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6" i="9"/>
  <c r="AT208" i="9"/>
  <c r="AT210" i="9"/>
  <c r="AT214" i="9"/>
  <c r="AT216" i="9"/>
  <c r="AT218" i="9"/>
  <c r="AT222" i="9"/>
  <c r="AT224" i="9"/>
  <c r="AT226" i="9"/>
  <c r="AU230" i="9"/>
  <c r="AS232" i="9"/>
  <c r="AU234" i="9"/>
  <c r="AU238" i="9"/>
  <c r="AS240" i="9"/>
  <c r="AU242" i="9"/>
  <c r="AU246" i="9"/>
  <c r="AS248" i="9"/>
  <c r="AU250" i="9"/>
  <c r="AU254" i="9"/>
  <c r="AS256" i="9"/>
  <c r="AU258" i="9"/>
  <c r="AU262" i="9"/>
  <c r="AS264" i="9"/>
  <c r="AU266" i="9"/>
  <c r="AU270" i="9"/>
  <c r="AS272" i="9"/>
  <c r="AU274" i="9"/>
  <c r="AU278" i="9"/>
  <c r="AS280" i="9"/>
  <c r="AU282" i="9"/>
  <c r="AU286" i="9"/>
  <c r="AS288" i="9"/>
  <c r="AU290" i="9"/>
  <c r="AU294" i="9"/>
  <c r="AS296" i="9"/>
  <c r="AU298" i="9"/>
  <c r="AU302" i="9"/>
  <c r="AS304" i="9"/>
  <c r="AU306" i="9"/>
  <c r="AU310" i="9"/>
  <c r="AS312" i="9"/>
  <c r="AU314" i="9"/>
  <c r="AU318" i="9"/>
  <c r="AS320" i="9"/>
  <c r="AU322" i="9"/>
  <c r="AU326" i="9"/>
  <c r="AS328" i="9"/>
  <c r="AU330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S342" i="9"/>
  <c r="AU344" i="9"/>
  <c r="AS346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4" i="9"/>
  <c r="AS448" i="9"/>
  <c r="AU450" i="9"/>
  <c r="AU454" i="9"/>
  <c r="AT454" i="9"/>
  <c r="AU441" i="9"/>
  <c r="AS443" i="9"/>
  <c r="AU445" i="9"/>
  <c r="AS456" i="9"/>
  <c r="AU458" i="9"/>
  <c r="AU462" i="9"/>
  <c r="AS464" i="9"/>
  <c r="AU466" i="9"/>
  <c r="AU470" i="9"/>
  <c r="AS472" i="9"/>
  <c r="AU474" i="9"/>
  <c r="AU478" i="9"/>
  <c r="AT456" i="9"/>
  <c r="AT458" i="9"/>
  <c r="AT462" i="9"/>
  <c r="AT464" i="9"/>
  <c r="AT466" i="9"/>
  <c r="AT470" i="9"/>
  <c r="AT472" i="9"/>
  <c r="AT474" i="9"/>
  <c r="AT478" i="9"/>
  <c r="AS484" i="9"/>
  <c r="AS486" i="9"/>
  <c r="AS490" i="9"/>
  <c r="AU492" i="9"/>
  <c r="AS494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34" i="21"/>
  <c r="B442" i="21"/>
  <c r="B450" i="21"/>
  <c r="B933" i="21"/>
  <c r="B475" i="21"/>
  <c r="B539" i="21"/>
  <c r="B603" i="21"/>
  <c r="B977" i="21"/>
  <c r="B429" i="21"/>
  <c r="B445" i="21"/>
  <c r="B826" i="21"/>
  <c r="B890" i="21"/>
  <c r="B452" i="21"/>
  <c r="B488" i="21"/>
  <c r="B552" i="21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Z2" i="13"/>
  <c r="W2" i="13"/>
  <c r="V2" i="13"/>
  <c r="U2" i="13"/>
  <c r="R2" i="13"/>
  <c r="N2" i="13"/>
  <c r="M2" i="13"/>
  <c r="J2" i="13"/>
  <c r="G2" i="13"/>
  <c r="F2" i="13"/>
  <c r="E2" i="13"/>
  <c r="AI2" i="9"/>
  <c r="AH2" i="9"/>
  <c r="AG2" i="9"/>
  <c r="AF2" i="9"/>
  <c r="AC2" i="9"/>
  <c r="A3" i="9"/>
  <c r="C2" i="5"/>
  <c r="AA2" i="5"/>
  <c r="W2" i="5"/>
  <c r="S2" i="5"/>
  <c r="O2" i="5"/>
  <c r="K2" i="5"/>
  <c r="G2" i="5"/>
  <c r="X103" i="9"/>
  <c r="X275" i="9"/>
  <c r="X443" i="9"/>
  <c r="X218" i="9"/>
  <c r="X390" i="9"/>
  <c r="X157" i="9"/>
  <c r="X329" i="9"/>
  <c r="X441" i="9"/>
  <c r="X124" i="9"/>
  <c r="X212" i="9"/>
  <c r="X296" i="9"/>
  <c r="X380" i="9"/>
  <c r="X468" i="9"/>
  <c r="AT88" i="9"/>
  <c r="D1043" i="21" l="1"/>
  <c r="D1039" i="21"/>
  <c r="D1055" i="21"/>
  <c r="D282" i="21"/>
  <c r="D655" i="21"/>
  <c r="D790" i="21"/>
  <c r="D717" i="21"/>
  <c r="D378" i="21"/>
  <c r="D318" i="21"/>
  <c r="D370" i="21"/>
  <c r="D709" i="21"/>
  <c r="D315" i="21"/>
  <c r="D351" i="21"/>
  <c r="D415" i="21"/>
  <c r="D701" i="21"/>
  <c r="D789" i="21"/>
  <c r="D809" i="21"/>
  <c r="H30" i="21"/>
  <c r="P30" i="21" s="1"/>
  <c r="D646" i="21"/>
  <c r="D670" i="21"/>
  <c r="D681" i="21"/>
  <c r="D753" i="21"/>
  <c r="D1037" i="21"/>
  <c r="D262" i="21"/>
  <c r="D271" i="21"/>
  <c r="D279" i="21"/>
  <c r="D347" i="21"/>
  <c r="D383" i="21"/>
  <c r="D650" i="21"/>
  <c r="D658" i="21"/>
  <c r="D1029" i="21"/>
  <c r="D277" i="21"/>
  <c r="D269" i="21"/>
  <c r="D274" i="21"/>
  <c r="D278" i="21"/>
  <c r="D293" i="21"/>
  <c r="D298" i="21"/>
  <c r="D362" i="21"/>
  <c r="D406" i="21"/>
  <c r="D696" i="21"/>
  <c r="D712" i="21"/>
  <c r="D724" i="21"/>
  <c r="D732" i="21"/>
  <c r="D761" i="21"/>
  <c r="D258" i="21"/>
  <c r="D266" i="21"/>
  <c r="D270" i="21"/>
  <c r="D294" i="21"/>
  <c r="D334" i="21"/>
  <c r="D346" i="21"/>
  <c r="D354" i="21"/>
  <c r="D398" i="21"/>
  <c r="D418" i="21"/>
  <c r="D689" i="21"/>
  <c r="D697" i="21"/>
  <c r="D705" i="21"/>
  <c r="D725" i="21"/>
  <c r="D768" i="21"/>
  <c r="AT92" i="9"/>
  <c r="X63" i="9"/>
  <c r="B974" i="21"/>
  <c r="B600" i="21"/>
  <c r="B536" i="21"/>
  <c r="B472" i="21"/>
  <c r="B938" i="21"/>
  <c r="B874" i="21"/>
  <c r="B451" i="21"/>
  <c r="B443" i="21"/>
  <c r="B435" i="21"/>
  <c r="B1025" i="21"/>
  <c r="B961" i="21"/>
  <c r="B587" i="21"/>
  <c r="B523" i="21"/>
  <c r="B459" i="21"/>
  <c r="B917" i="21"/>
  <c r="B853" i="21"/>
  <c r="B448" i="21"/>
  <c r="B440" i="21"/>
  <c r="B432" i="21"/>
  <c r="AT476" i="9"/>
  <c r="AT468" i="9"/>
  <c r="AT460" i="9"/>
  <c r="AU348" i="9"/>
  <c r="AU340" i="9"/>
  <c r="AS332" i="9"/>
  <c r="AS324" i="9"/>
  <c r="AS316" i="9"/>
  <c r="AS308" i="9"/>
  <c r="AS300" i="9"/>
  <c r="AS292" i="9"/>
  <c r="AS284" i="9"/>
  <c r="AS276" i="9"/>
  <c r="AS268" i="9"/>
  <c r="AS260" i="9"/>
  <c r="AS252" i="9"/>
  <c r="AS244" i="9"/>
  <c r="AS236" i="9"/>
  <c r="AS144" i="9"/>
  <c r="AU136" i="9"/>
  <c r="AS444" i="9"/>
  <c r="AT448" i="9"/>
  <c r="AT332" i="9"/>
  <c r="AT324" i="9"/>
  <c r="AT316" i="9"/>
  <c r="AT308" i="9"/>
  <c r="AT300" i="9"/>
  <c r="AT292" i="9"/>
  <c r="AT284" i="9"/>
  <c r="AT276" i="9"/>
  <c r="AT268" i="9"/>
  <c r="AT260" i="9"/>
  <c r="AT252" i="9"/>
  <c r="AT244" i="9"/>
  <c r="AT236" i="9"/>
  <c r="AT99" i="9"/>
  <c r="D302" i="21"/>
  <c r="D314" i="21"/>
  <c r="D330" i="21"/>
  <c r="D358" i="21"/>
  <c r="D366" i="21"/>
  <c r="D374" i="21"/>
  <c r="D382" i="21"/>
  <c r="D390" i="21"/>
  <c r="D426" i="21"/>
  <c r="D662" i="21"/>
  <c r="D745" i="21"/>
  <c r="D757" i="21"/>
  <c r="D777" i="21"/>
  <c r="D797" i="21"/>
  <c r="D1045" i="21"/>
  <c r="B1022" i="21"/>
  <c r="B958" i="21"/>
  <c r="B584" i="21"/>
  <c r="B520" i="21"/>
  <c r="B456" i="21"/>
  <c r="B922" i="21"/>
  <c r="B858" i="21"/>
  <c r="B449" i="21"/>
  <c r="B441" i="21"/>
  <c r="B433" i="21"/>
  <c r="B1009" i="21"/>
  <c r="B635" i="21"/>
  <c r="B571" i="21"/>
  <c r="B507" i="21"/>
  <c r="B453" i="21"/>
  <c r="B901" i="21"/>
  <c r="B837" i="21"/>
  <c r="B446" i="21"/>
  <c r="B438" i="21"/>
  <c r="B430" i="21"/>
  <c r="E661" i="21"/>
  <c r="D661" i="21"/>
  <c r="E669" i="21"/>
  <c r="D669" i="21"/>
  <c r="E700" i="21"/>
  <c r="D700" i="21"/>
  <c r="E704" i="21"/>
  <c r="D704" i="21"/>
  <c r="E708" i="21"/>
  <c r="D708" i="21"/>
  <c r="E716" i="21"/>
  <c r="D716" i="21"/>
  <c r="E720" i="21"/>
  <c r="D720" i="21"/>
  <c r="E728" i="21"/>
  <c r="D728" i="21"/>
  <c r="E804" i="21"/>
  <c r="D804" i="21"/>
  <c r="AS135" i="9"/>
  <c r="AU135" i="9"/>
  <c r="AS167" i="9"/>
  <c r="AU167" i="9"/>
  <c r="AT207" i="9"/>
  <c r="AU207" i="9"/>
  <c r="AT299" i="9"/>
  <c r="AS299" i="9"/>
  <c r="AT315" i="9"/>
  <c r="AS315" i="9"/>
  <c r="AT331" i="9"/>
  <c r="AS331" i="9"/>
  <c r="B1006" i="21"/>
  <c r="B632" i="21"/>
  <c r="B568" i="21"/>
  <c r="B504" i="21"/>
  <c r="B454" i="21"/>
  <c r="B906" i="21"/>
  <c r="B842" i="21"/>
  <c r="B447" i="21"/>
  <c r="B439" i="21"/>
  <c r="B431" i="21"/>
  <c r="B993" i="21"/>
  <c r="B619" i="21"/>
  <c r="B555" i="21"/>
  <c r="B491" i="21"/>
  <c r="B949" i="21"/>
  <c r="B885" i="21"/>
  <c r="B821" i="21"/>
  <c r="B444" i="21"/>
  <c r="B436" i="21"/>
  <c r="B428" i="21"/>
  <c r="AU85" i="9"/>
  <c r="E310" i="21"/>
  <c r="D310" i="21"/>
  <c r="E326" i="21"/>
  <c r="D326" i="21"/>
  <c r="E342" i="21"/>
  <c r="D342" i="21"/>
  <c r="E350" i="21"/>
  <c r="D350" i="21"/>
  <c r="E386" i="21"/>
  <c r="D386" i="21"/>
  <c r="E394" i="21"/>
  <c r="D394" i="21"/>
  <c r="E410" i="21"/>
  <c r="D410" i="21"/>
  <c r="E414" i="21"/>
  <c r="D414" i="21"/>
  <c r="E422" i="21"/>
  <c r="D422" i="21"/>
  <c r="E654" i="21"/>
  <c r="D654" i="21"/>
  <c r="E666" i="21"/>
  <c r="D666" i="21"/>
  <c r="E685" i="21"/>
  <c r="D685" i="21"/>
  <c r="E693" i="21"/>
  <c r="D693" i="21"/>
  <c r="E713" i="21"/>
  <c r="D713" i="21"/>
  <c r="E721" i="21"/>
  <c r="D721" i="21"/>
  <c r="E729" i="21"/>
  <c r="D729" i="21"/>
  <c r="E733" i="21"/>
  <c r="D733" i="21"/>
  <c r="E737" i="21"/>
  <c r="D737" i="21"/>
  <c r="E741" i="21"/>
  <c r="D741" i="21"/>
  <c r="E749" i="21"/>
  <c r="D749" i="21"/>
  <c r="E781" i="21"/>
  <c r="D781" i="21"/>
  <c r="E785" i="21"/>
  <c r="D785" i="21"/>
  <c r="E793" i="21"/>
  <c r="D793" i="21"/>
  <c r="E1033" i="21"/>
  <c r="D1033" i="21"/>
  <c r="E1041" i="21"/>
  <c r="D1041" i="21"/>
  <c r="E1049" i="21"/>
  <c r="D1049" i="21"/>
  <c r="E1053" i="21"/>
  <c r="D1053" i="21"/>
  <c r="X123" i="9"/>
  <c r="AT97" i="9"/>
  <c r="AS88" i="9"/>
  <c r="AT87" i="9"/>
  <c r="AT95" i="9"/>
  <c r="E299" i="21"/>
  <c r="D299" i="21"/>
  <c r="E303" i="21"/>
  <c r="D303" i="21"/>
  <c r="E307" i="21"/>
  <c r="D307" i="21"/>
  <c r="E311" i="21"/>
  <c r="D311" i="21"/>
  <c r="E319" i="21"/>
  <c r="D319" i="21"/>
  <c r="E323" i="21"/>
  <c r="D323" i="21"/>
  <c r="E331" i="21"/>
  <c r="D331" i="21"/>
  <c r="E335" i="21"/>
  <c r="D335" i="21"/>
  <c r="E339" i="21"/>
  <c r="D339" i="21"/>
  <c r="E343" i="21"/>
  <c r="D343" i="21"/>
  <c r="E355" i="21"/>
  <c r="D355" i="21"/>
  <c r="E359" i="21"/>
  <c r="D359" i="21"/>
  <c r="E363" i="21"/>
  <c r="D363" i="21"/>
  <c r="E371" i="21"/>
  <c r="D371" i="21"/>
  <c r="E375" i="21"/>
  <c r="D375" i="21"/>
  <c r="E379" i="21"/>
  <c r="D379" i="21"/>
  <c r="E387" i="21"/>
  <c r="D387" i="21"/>
  <c r="E391" i="21"/>
  <c r="D391" i="21"/>
  <c r="E395" i="21"/>
  <c r="D395" i="21"/>
  <c r="E403" i="21"/>
  <c r="D403" i="21"/>
  <c r="E407" i="21"/>
  <c r="D407" i="21"/>
  <c r="E411" i="21"/>
  <c r="D411" i="21"/>
  <c r="AT89" i="9"/>
  <c r="X88" i="9"/>
  <c r="AU68" i="9"/>
  <c r="B1014" i="21"/>
  <c r="B982" i="21"/>
  <c r="B640" i="21"/>
  <c r="B608" i="21"/>
  <c r="B576" i="21"/>
  <c r="B544" i="21"/>
  <c r="B512" i="21"/>
  <c r="B480" i="21"/>
  <c r="B930" i="21"/>
  <c r="B898" i="21"/>
  <c r="B866" i="21"/>
  <c r="B834" i="21"/>
  <c r="B1017" i="21"/>
  <c r="B985" i="21"/>
  <c r="B643" i="21"/>
  <c r="B611" i="21"/>
  <c r="B579" i="21"/>
  <c r="B547" i="21"/>
  <c r="B515" i="21"/>
  <c r="B483" i="21"/>
  <c r="B925" i="21"/>
  <c r="B893" i="21"/>
  <c r="B861" i="21"/>
  <c r="B829" i="21"/>
  <c r="AU96" i="9"/>
  <c r="D399" i="21"/>
  <c r="AU87" i="9"/>
  <c r="AT96" i="9"/>
  <c r="AS89" i="9"/>
  <c r="AT102" i="9"/>
  <c r="AU84" i="9"/>
  <c r="AU94" i="9"/>
  <c r="AT100" i="9"/>
  <c r="AU89" i="9"/>
  <c r="AU99" i="9"/>
  <c r="AS94" i="9"/>
  <c r="AS102" i="9"/>
  <c r="B815" i="21"/>
  <c r="B823" i="21"/>
  <c r="B831" i="21"/>
  <c r="B839" i="21"/>
  <c r="B847" i="21"/>
  <c r="B855" i="21"/>
  <c r="B863" i="21"/>
  <c r="B871" i="21"/>
  <c r="B879" i="21"/>
  <c r="B887" i="21"/>
  <c r="B895" i="21"/>
  <c r="B903" i="21"/>
  <c r="B911" i="21"/>
  <c r="B919" i="21"/>
  <c r="B927" i="21"/>
  <c r="B935" i="21"/>
  <c r="B943" i="21"/>
  <c r="B951" i="21"/>
  <c r="B457" i="21"/>
  <c r="B465" i="21"/>
  <c r="B473" i="21"/>
  <c r="B481" i="21"/>
  <c r="B489" i="21"/>
  <c r="B497" i="21"/>
  <c r="B505" i="21"/>
  <c r="B513" i="21"/>
  <c r="B521" i="21"/>
  <c r="B529" i="21"/>
  <c r="B537" i="21"/>
  <c r="B545" i="21"/>
  <c r="B553" i="21"/>
  <c r="B561" i="21"/>
  <c r="B569" i="21"/>
  <c r="B577" i="21"/>
  <c r="B585" i="21"/>
  <c r="B593" i="21"/>
  <c r="B601" i="21"/>
  <c r="B609" i="21"/>
  <c r="B617" i="21"/>
  <c r="B625" i="21"/>
  <c r="B633" i="21"/>
  <c r="B641" i="21"/>
  <c r="B959" i="21"/>
  <c r="B967" i="21"/>
  <c r="B975" i="21"/>
  <c r="B983" i="21"/>
  <c r="B991" i="21"/>
  <c r="B999" i="21"/>
  <c r="B1007" i="21"/>
  <c r="B1015" i="21"/>
  <c r="B1023" i="21"/>
  <c r="B816" i="21"/>
  <c r="B824" i="21"/>
  <c r="B832" i="21"/>
  <c r="B840" i="21"/>
  <c r="B848" i="21"/>
  <c r="B856" i="21"/>
  <c r="B864" i="21"/>
  <c r="B872" i="21"/>
  <c r="B880" i="21"/>
  <c r="B888" i="21"/>
  <c r="B896" i="21"/>
  <c r="B904" i="21"/>
  <c r="B912" i="21"/>
  <c r="B920" i="21"/>
  <c r="B928" i="21"/>
  <c r="B936" i="21"/>
  <c r="B944" i="21"/>
  <c r="B952" i="21"/>
  <c r="B458" i="21"/>
  <c r="B466" i="21"/>
  <c r="B474" i="21"/>
  <c r="B482" i="21"/>
  <c r="B490" i="21"/>
  <c r="B498" i="21"/>
  <c r="B506" i="21"/>
  <c r="B514" i="21"/>
  <c r="B522" i="21"/>
  <c r="B530" i="21"/>
  <c r="B538" i="21"/>
  <c r="B546" i="21"/>
  <c r="B554" i="21"/>
  <c r="B562" i="21"/>
  <c r="B570" i="21"/>
  <c r="B578" i="21"/>
  <c r="B586" i="21"/>
  <c r="B594" i="21"/>
  <c r="B602" i="21"/>
  <c r="B610" i="21"/>
  <c r="B618" i="21"/>
  <c r="B626" i="21"/>
  <c r="B634" i="21"/>
  <c r="B642" i="21"/>
  <c r="B960" i="21"/>
  <c r="B968" i="21"/>
  <c r="B976" i="21"/>
  <c r="B984" i="21"/>
  <c r="B992" i="21"/>
  <c r="B1000" i="21"/>
  <c r="B1008" i="21"/>
  <c r="B1016" i="21"/>
  <c r="B1024" i="21"/>
  <c r="AU101" i="9"/>
  <c r="AS87" i="9"/>
  <c r="AT101" i="9"/>
  <c r="AS97" i="9"/>
  <c r="AS99" i="9"/>
  <c r="AU90" i="9"/>
  <c r="AU98" i="9"/>
  <c r="AU86" i="9"/>
  <c r="AT98" i="9"/>
  <c r="AT94" i="9"/>
  <c r="AU91" i="9"/>
  <c r="AS90" i="9"/>
  <c r="AS98" i="9"/>
  <c r="B819" i="21"/>
  <c r="B827" i="21"/>
  <c r="B835" i="21"/>
  <c r="B843" i="21"/>
  <c r="B851" i="21"/>
  <c r="B859" i="21"/>
  <c r="B867" i="21"/>
  <c r="B875" i="21"/>
  <c r="B883" i="21"/>
  <c r="B891" i="21"/>
  <c r="B899" i="21"/>
  <c r="B907" i="21"/>
  <c r="B915" i="21"/>
  <c r="B923" i="21"/>
  <c r="B931" i="21"/>
  <c r="B939" i="21"/>
  <c r="B947" i="21"/>
  <c r="B461" i="21"/>
  <c r="B469" i="21"/>
  <c r="B477" i="21"/>
  <c r="B485" i="21"/>
  <c r="B493" i="21"/>
  <c r="B501" i="21"/>
  <c r="B509" i="21"/>
  <c r="B517" i="21"/>
  <c r="B525" i="21"/>
  <c r="B533" i="21"/>
  <c r="B541" i="21"/>
  <c r="B549" i="21"/>
  <c r="B557" i="21"/>
  <c r="B565" i="21"/>
  <c r="B573" i="21"/>
  <c r="B581" i="21"/>
  <c r="B589" i="21"/>
  <c r="B597" i="21"/>
  <c r="B605" i="21"/>
  <c r="B613" i="21"/>
  <c r="B621" i="21"/>
  <c r="B629" i="21"/>
  <c r="B637" i="21"/>
  <c r="B955" i="21"/>
  <c r="B963" i="21"/>
  <c r="B971" i="21"/>
  <c r="B979" i="21"/>
  <c r="B987" i="21"/>
  <c r="B995" i="21"/>
  <c r="B1003" i="21"/>
  <c r="B1011" i="21"/>
  <c r="B1019" i="21"/>
  <c r="B1027" i="21"/>
  <c r="B820" i="21"/>
  <c r="B828" i="21"/>
  <c r="B836" i="21"/>
  <c r="B844" i="21"/>
  <c r="B852" i="21"/>
  <c r="B860" i="21"/>
  <c r="B868" i="21"/>
  <c r="B876" i="21"/>
  <c r="B884" i="21"/>
  <c r="B892" i="21"/>
  <c r="B900" i="21"/>
  <c r="B908" i="21"/>
  <c r="B916" i="21"/>
  <c r="B924" i="21"/>
  <c r="B932" i="21"/>
  <c r="B940" i="21"/>
  <c r="B948" i="21"/>
  <c r="B462" i="21"/>
  <c r="B470" i="21"/>
  <c r="B478" i="21"/>
  <c r="B486" i="21"/>
  <c r="B494" i="21"/>
  <c r="B502" i="21"/>
  <c r="B510" i="21"/>
  <c r="B518" i="21"/>
  <c r="B526" i="21"/>
  <c r="B534" i="21"/>
  <c r="B542" i="21"/>
  <c r="B550" i="21"/>
  <c r="B558" i="21"/>
  <c r="B566" i="21"/>
  <c r="B574" i="21"/>
  <c r="B582" i="21"/>
  <c r="B590" i="21"/>
  <c r="B598" i="21"/>
  <c r="B606" i="21"/>
  <c r="B614" i="21"/>
  <c r="B622" i="21"/>
  <c r="B630" i="21"/>
  <c r="B638" i="21"/>
  <c r="B956" i="21"/>
  <c r="B964" i="21"/>
  <c r="B972" i="21"/>
  <c r="B980" i="21"/>
  <c r="B988" i="21"/>
  <c r="B996" i="21"/>
  <c r="B1004" i="21"/>
  <c r="B1012" i="21"/>
  <c r="B1020" i="21"/>
  <c r="B1028" i="21"/>
  <c r="AT91" i="9"/>
  <c r="AS92" i="9"/>
  <c r="AT93" i="9"/>
  <c r="AS93" i="9"/>
  <c r="AU100" i="9"/>
  <c r="B825" i="21"/>
  <c r="B841" i="21"/>
  <c r="B857" i="21"/>
  <c r="B873" i="21"/>
  <c r="B889" i="21"/>
  <c r="B905" i="21"/>
  <c r="B921" i="21"/>
  <c r="B937" i="21"/>
  <c r="B953" i="21"/>
  <c r="B463" i="21"/>
  <c r="B479" i="21"/>
  <c r="B495" i="21"/>
  <c r="B511" i="21"/>
  <c r="B527" i="21"/>
  <c r="B543" i="21"/>
  <c r="B559" i="21"/>
  <c r="B575" i="21"/>
  <c r="B591" i="21"/>
  <c r="B607" i="21"/>
  <c r="B623" i="21"/>
  <c r="B639" i="21"/>
  <c r="B965" i="21"/>
  <c r="B981" i="21"/>
  <c r="B997" i="21"/>
  <c r="B1013" i="21"/>
  <c r="B814" i="21"/>
  <c r="B830" i="21"/>
  <c r="B846" i="21"/>
  <c r="B862" i="21"/>
  <c r="B878" i="21"/>
  <c r="B894" i="21"/>
  <c r="B910" i="21"/>
  <c r="B926" i="21"/>
  <c r="B942" i="21"/>
  <c r="B468" i="21"/>
  <c r="B484" i="21"/>
  <c r="B500" i="21"/>
  <c r="B516" i="21"/>
  <c r="B532" i="21"/>
  <c r="B548" i="21"/>
  <c r="B564" i="21"/>
  <c r="B580" i="21"/>
  <c r="B596" i="21"/>
  <c r="B612" i="21"/>
  <c r="B628" i="21"/>
  <c r="B954" i="21"/>
  <c r="B970" i="21"/>
  <c r="B986" i="21"/>
  <c r="B1002" i="21"/>
  <c r="B1018" i="21"/>
  <c r="AU102" i="9"/>
  <c r="AS95" i="9"/>
  <c r="AS91" i="9"/>
  <c r="AS100" i="9"/>
  <c r="AU92" i="9"/>
  <c r="B817" i="21"/>
  <c r="B833" i="21"/>
  <c r="B849" i="21"/>
  <c r="B865" i="21"/>
  <c r="B881" i="21"/>
  <c r="B897" i="21"/>
  <c r="B913" i="21"/>
  <c r="B929" i="21"/>
  <c r="B945" i="21"/>
  <c r="B455" i="21"/>
  <c r="B471" i="21"/>
  <c r="B487" i="21"/>
  <c r="B503" i="21"/>
  <c r="B519" i="21"/>
  <c r="B535" i="21"/>
  <c r="B551" i="21"/>
  <c r="B567" i="21"/>
  <c r="B583" i="21"/>
  <c r="B599" i="21"/>
  <c r="B615" i="21"/>
  <c r="B631" i="21"/>
  <c r="B957" i="21"/>
  <c r="B973" i="21"/>
  <c r="B989" i="21"/>
  <c r="B1005" i="21"/>
  <c r="B1021" i="21"/>
  <c r="B822" i="21"/>
  <c r="B838" i="21"/>
  <c r="B854" i="21"/>
  <c r="B870" i="21"/>
  <c r="B886" i="21"/>
  <c r="B902" i="21"/>
  <c r="B918" i="21"/>
  <c r="B934" i="21"/>
  <c r="B950" i="21"/>
  <c r="B460" i="21"/>
  <c r="B476" i="21"/>
  <c r="B492" i="21"/>
  <c r="B508" i="21"/>
  <c r="B524" i="21"/>
  <c r="B540" i="21"/>
  <c r="B556" i="21"/>
  <c r="B572" i="21"/>
  <c r="B588" i="21"/>
  <c r="B604" i="21"/>
  <c r="B620" i="21"/>
  <c r="B636" i="21"/>
  <c r="B962" i="21"/>
  <c r="B978" i="21"/>
  <c r="B994" i="21"/>
  <c r="B1010" i="21"/>
  <c r="B1026" i="21"/>
  <c r="E421" i="21"/>
  <c r="D421" i="21"/>
  <c r="E425" i="21"/>
  <c r="D425" i="21"/>
  <c r="N16" i="13"/>
  <c r="AT90" i="9"/>
  <c r="X81" i="9"/>
  <c r="AU80" i="9"/>
  <c r="X10" i="9"/>
  <c r="X26" i="9"/>
  <c r="AU46" i="9"/>
  <c r="X66" i="9"/>
  <c r="AU70" i="9"/>
  <c r="X74" i="9"/>
  <c r="X78" i="9"/>
  <c r="AU82" i="9"/>
  <c r="B998" i="21"/>
  <c r="B966" i="21"/>
  <c r="B624" i="21"/>
  <c r="B592" i="21"/>
  <c r="B560" i="21"/>
  <c r="B528" i="21"/>
  <c r="B496" i="21"/>
  <c r="B464" i="21"/>
  <c r="B946" i="21"/>
  <c r="B914" i="21"/>
  <c r="B882" i="21"/>
  <c r="B850" i="21"/>
  <c r="B818" i="21"/>
  <c r="B1001" i="21"/>
  <c r="B969" i="21"/>
  <c r="B627" i="21"/>
  <c r="B595" i="21"/>
  <c r="B563" i="21"/>
  <c r="B531" i="21"/>
  <c r="B499" i="21"/>
  <c r="B467" i="21"/>
  <c r="B941" i="21"/>
  <c r="B909" i="21"/>
  <c r="B877" i="21"/>
  <c r="B845" i="21"/>
  <c r="B813" i="21"/>
  <c r="AS96" i="9"/>
  <c r="AU95" i="9"/>
  <c r="AU97" i="9"/>
  <c r="D367" i="21"/>
  <c r="X13" i="9"/>
  <c r="AU65" i="9"/>
  <c r="AU69" i="9"/>
  <c r="AU81" i="9"/>
  <c r="AU83" i="9"/>
  <c r="AU30" i="9"/>
  <c r="D420" i="21"/>
  <c r="D754" i="21"/>
  <c r="H31" i="21"/>
  <c r="P31" i="21" s="1"/>
  <c r="E261" i="21"/>
  <c r="D261" i="21"/>
  <c r="E349" i="21"/>
  <c r="D349" i="21"/>
  <c r="E353" i="21"/>
  <c r="D353" i="21"/>
  <c r="E357" i="21"/>
  <c r="D357" i="21"/>
  <c r="E361" i="21"/>
  <c r="D361" i="21"/>
  <c r="E365" i="21"/>
  <c r="D365" i="21"/>
  <c r="E369" i="21"/>
  <c r="D369" i="21"/>
  <c r="E373" i="21"/>
  <c r="D373" i="21"/>
  <c r="E377" i="21"/>
  <c r="D377" i="21"/>
  <c r="E381" i="21"/>
  <c r="D381" i="21"/>
  <c r="E385" i="21"/>
  <c r="D385" i="21"/>
  <c r="E389" i="21"/>
  <c r="D389" i="21"/>
  <c r="E393" i="21"/>
  <c r="D393" i="21"/>
  <c r="E397" i="21"/>
  <c r="D397" i="21"/>
  <c r="E401" i="21"/>
  <c r="D401" i="21"/>
  <c r="E405" i="21"/>
  <c r="D405" i="21"/>
  <c r="E409" i="21"/>
  <c r="D409" i="21"/>
  <c r="E413" i="21"/>
  <c r="D413" i="21"/>
  <c r="D306" i="21"/>
  <c r="D322" i="21"/>
  <c r="D338" i="21"/>
  <c r="D417" i="21"/>
  <c r="D648" i="21"/>
  <c r="D668" i="21"/>
  <c r="D707" i="21"/>
  <c r="D723" i="21"/>
  <c r="D755" i="21"/>
  <c r="E424" i="21"/>
  <c r="D424" i="21"/>
  <c r="E663" i="21"/>
  <c r="D663" i="21"/>
  <c r="E678" i="21"/>
  <c r="D678" i="21"/>
  <c r="E686" i="21"/>
  <c r="D686" i="21"/>
  <c r="E694" i="21"/>
  <c r="D694" i="21"/>
  <c r="E702" i="21"/>
  <c r="D702" i="21"/>
  <c r="E710" i="21"/>
  <c r="D710" i="21"/>
  <c r="E718" i="21"/>
  <c r="D718" i="21"/>
  <c r="E726" i="21"/>
  <c r="D726" i="21"/>
  <c r="E734" i="21"/>
  <c r="D734" i="21"/>
  <c r="E742" i="21"/>
  <c r="D742" i="21"/>
  <c r="E786" i="21"/>
  <c r="D786" i="21"/>
  <c r="E802" i="21"/>
  <c r="D802" i="21"/>
  <c r="E1030" i="21"/>
  <c r="D1030" i="21"/>
  <c r="E1038" i="21"/>
  <c r="D1038" i="21"/>
  <c r="E1046" i="21"/>
  <c r="D1046" i="21"/>
  <c r="E1054" i="21"/>
  <c r="D1054" i="21"/>
  <c r="D782" i="21"/>
  <c r="D774" i="21"/>
  <c r="D1034" i="21"/>
  <c r="E427" i="21"/>
  <c r="D427" i="21"/>
  <c r="E651" i="21"/>
  <c r="D651" i="21"/>
  <c r="E667" i="21"/>
  <c r="D667" i="21"/>
  <c r="E682" i="21"/>
  <c r="D682" i="21"/>
  <c r="E690" i="21"/>
  <c r="D690" i="21"/>
  <c r="E698" i="21"/>
  <c r="D698" i="21"/>
  <c r="E706" i="21"/>
  <c r="D706" i="21"/>
  <c r="E714" i="21"/>
  <c r="D714" i="21"/>
  <c r="E722" i="21"/>
  <c r="D722" i="21"/>
  <c r="E730" i="21"/>
  <c r="D730" i="21"/>
  <c r="E738" i="21"/>
  <c r="D738" i="21"/>
  <c r="E746" i="21"/>
  <c r="D746" i="21"/>
  <c r="E750" i="21"/>
  <c r="D750" i="21"/>
  <c r="E758" i="21"/>
  <c r="D758" i="21"/>
  <c r="E762" i="21"/>
  <c r="D762" i="21"/>
  <c r="E766" i="21"/>
  <c r="D766" i="21"/>
  <c r="E770" i="21"/>
  <c r="D770" i="21"/>
  <c r="E778" i="21"/>
  <c r="D778" i="21"/>
  <c r="E798" i="21"/>
  <c r="D798" i="21"/>
  <c r="E806" i="21"/>
  <c r="D806" i="21"/>
  <c r="E810" i="21"/>
  <c r="D810" i="21"/>
  <c r="E1042" i="21"/>
  <c r="D1042" i="21"/>
  <c r="E1050" i="21"/>
  <c r="D1050" i="21"/>
  <c r="X231" i="9"/>
  <c r="X147" i="9"/>
  <c r="X61" i="9"/>
  <c r="X102" i="9"/>
  <c r="X360" i="9"/>
  <c r="X188" i="9"/>
  <c r="X413" i="9"/>
  <c r="X117" i="9"/>
  <c r="X174" i="9"/>
  <c r="X403" i="9"/>
  <c r="X45" i="9"/>
  <c r="X38" i="9"/>
  <c r="X93" i="9"/>
  <c r="X87" i="9"/>
  <c r="X424" i="9"/>
  <c r="X340" i="9"/>
  <c r="X252" i="9"/>
  <c r="X168" i="9"/>
  <c r="X485" i="9"/>
  <c r="X381" i="9"/>
  <c r="X245" i="9"/>
  <c r="X474" i="9"/>
  <c r="X302" i="9"/>
  <c r="X134" i="9"/>
  <c r="X359" i="9"/>
  <c r="X187" i="9"/>
  <c r="X62" i="9"/>
  <c r="X100" i="9"/>
  <c r="X444" i="9"/>
  <c r="X276" i="9"/>
  <c r="X104" i="9"/>
  <c r="X285" i="9"/>
  <c r="X346" i="9"/>
  <c r="X29" i="9"/>
  <c r="X18" i="9"/>
  <c r="X99" i="9"/>
  <c r="X488" i="9"/>
  <c r="X404" i="9"/>
  <c r="X316" i="9"/>
  <c r="X232" i="9"/>
  <c r="X148" i="9"/>
  <c r="X461" i="9"/>
  <c r="X357" i="9"/>
  <c r="X201" i="9"/>
  <c r="X430" i="9"/>
  <c r="X262" i="9"/>
  <c r="X487" i="9"/>
  <c r="X315" i="9"/>
  <c r="X80" i="9"/>
  <c r="X77" i="9"/>
  <c r="X57" i="9"/>
  <c r="X41" i="9"/>
  <c r="X25" i="9"/>
  <c r="X9" i="9"/>
  <c r="X54" i="9"/>
  <c r="X34" i="9"/>
  <c r="X14" i="9"/>
  <c r="X55" i="9"/>
  <c r="X92" i="9"/>
  <c r="X85" i="9"/>
  <c r="X91" i="9"/>
  <c r="Y101" i="9"/>
  <c r="X94" i="9"/>
  <c r="X500" i="9"/>
  <c r="X484" i="9"/>
  <c r="X460" i="9"/>
  <c r="X440" i="9"/>
  <c r="X420" i="9"/>
  <c r="X396" i="9"/>
  <c r="X376" i="9"/>
  <c r="X356" i="9"/>
  <c r="X332" i="9"/>
  <c r="X312" i="9"/>
  <c r="X292" i="9"/>
  <c r="X268" i="9"/>
  <c r="X248" i="9"/>
  <c r="X228" i="9"/>
  <c r="X204" i="9"/>
  <c r="X184" i="9"/>
  <c r="X164" i="9"/>
  <c r="X140" i="9"/>
  <c r="X120" i="9"/>
  <c r="X501" i="9"/>
  <c r="X477" i="9"/>
  <c r="X457" i="9"/>
  <c r="X437" i="9"/>
  <c r="X405" i="9"/>
  <c r="X377" i="9"/>
  <c r="X349" i="9"/>
  <c r="X313" i="9"/>
  <c r="X269" i="9"/>
  <c r="X229" i="9"/>
  <c r="X185" i="9"/>
  <c r="X141" i="9"/>
  <c r="X502" i="9"/>
  <c r="X458" i="9"/>
  <c r="X414" i="9"/>
  <c r="X374" i="9"/>
  <c r="X330" i="9"/>
  <c r="X286" i="9"/>
  <c r="X246" i="9"/>
  <c r="X202" i="9"/>
  <c r="X158" i="9"/>
  <c r="X118" i="9"/>
  <c r="X471" i="9"/>
  <c r="X427" i="9"/>
  <c r="X387" i="9"/>
  <c r="X343" i="9"/>
  <c r="X299" i="9"/>
  <c r="X259" i="9"/>
  <c r="X215" i="9"/>
  <c r="X171" i="9"/>
  <c r="X131" i="9"/>
  <c r="X52" i="9"/>
  <c r="X69" i="9"/>
  <c r="X53" i="9"/>
  <c r="X37" i="9"/>
  <c r="X21" i="9"/>
  <c r="X5" i="9"/>
  <c r="X50" i="9"/>
  <c r="X30" i="9"/>
  <c r="X6" i="9"/>
  <c r="X31" i="9"/>
  <c r="X84" i="9"/>
  <c r="X98" i="9"/>
  <c r="X83" i="9"/>
  <c r="X97" i="9"/>
  <c r="X86" i="9"/>
  <c r="X496" i="9"/>
  <c r="X476" i="9"/>
  <c r="X456" i="9"/>
  <c r="X436" i="9"/>
  <c r="X412" i="9"/>
  <c r="X392" i="9"/>
  <c r="X372" i="9"/>
  <c r="X348" i="9"/>
  <c r="X328" i="9"/>
  <c r="X308" i="9"/>
  <c r="X284" i="9"/>
  <c r="X264" i="9"/>
  <c r="X244" i="9"/>
  <c r="X220" i="9"/>
  <c r="X200" i="9"/>
  <c r="X180" i="9"/>
  <c r="X156" i="9"/>
  <c r="X136" i="9"/>
  <c r="X116" i="9"/>
  <c r="X493" i="9"/>
  <c r="X473" i="9"/>
  <c r="X453" i="9"/>
  <c r="X425" i="9"/>
  <c r="X397" i="9"/>
  <c r="X373" i="9"/>
  <c r="X341" i="9"/>
  <c r="X309" i="9"/>
  <c r="X265" i="9"/>
  <c r="X221" i="9"/>
  <c r="X181" i="9"/>
  <c r="X137" i="9"/>
  <c r="X494" i="9"/>
  <c r="X454" i="9"/>
  <c r="X410" i="9"/>
  <c r="X366" i="9"/>
  <c r="X326" i="9"/>
  <c r="X282" i="9"/>
  <c r="X238" i="9"/>
  <c r="X198" i="9"/>
  <c r="X154" i="9"/>
  <c r="X110" i="9"/>
  <c r="X467" i="9"/>
  <c r="X423" i="9"/>
  <c r="X379" i="9"/>
  <c r="X339" i="9"/>
  <c r="X295" i="9"/>
  <c r="X251" i="9"/>
  <c r="X211" i="9"/>
  <c r="X167" i="9"/>
  <c r="X111" i="9"/>
  <c r="X127" i="9"/>
  <c r="X143" i="9"/>
  <c r="X159" i="9"/>
  <c r="X175" i="9"/>
  <c r="X191" i="9"/>
  <c r="X207" i="9"/>
  <c r="X223" i="9"/>
  <c r="X239" i="9"/>
  <c r="X255" i="9"/>
  <c r="X271" i="9"/>
  <c r="X287" i="9"/>
  <c r="X303" i="9"/>
  <c r="X319" i="9"/>
  <c r="X335" i="9"/>
  <c r="X351" i="9"/>
  <c r="X367" i="9"/>
  <c r="X383" i="9"/>
  <c r="X399" i="9"/>
  <c r="X415" i="9"/>
  <c r="X431" i="9"/>
  <c r="X447" i="9"/>
  <c r="X463" i="9"/>
  <c r="X479" i="9"/>
  <c r="X495" i="9"/>
  <c r="X114" i="9"/>
  <c r="X130" i="9"/>
  <c r="X146" i="9"/>
  <c r="X162" i="9"/>
  <c r="X178" i="9"/>
  <c r="X194" i="9"/>
  <c r="X210" i="9"/>
  <c r="X226" i="9"/>
  <c r="X242" i="9"/>
  <c r="X258" i="9"/>
  <c r="X274" i="9"/>
  <c r="X290" i="9"/>
  <c r="X306" i="9"/>
  <c r="X322" i="9"/>
  <c r="X338" i="9"/>
  <c r="X354" i="9"/>
  <c r="X370" i="9"/>
  <c r="X386" i="9"/>
  <c r="X402" i="9"/>
  <c r="X418" i="9"/>
  <c r="X434" i="9"/>
  <c r="X450" i="9"/>
  <c r="X466" i="9"/>
  <c r="X482" i="9"/>
  <c r="X498" i="9"/>
  <c r="X113" i="9"/>
  <c r="X129" i="9"/>
  <c r="X145" i="9"/>
  <c r="X161" i="9"/>
  <c r="X177" i="9"/>
  <c r="X193" i="9"/>
  <c r="X209" i="9"/>
  <c r="X225" i="9"/>
  <c r="X241" i="9"/>
  <c r="X257" i="9"/>
  <c r="X273" i="9"/>
  <c r="X289" i="9"/>
  <c r="X305" i="9"/>
  <c r="X321" i="9"/>
  <c r="X337" i="9"/>
  <c r="X353" i="9"/>
  <c r="X369" i="9"/>
  <c r="X385" i="9"/>
  <c r="X401" i="9"/>
  <c r="X417" i="9"/>
  <c r="X433" i="9"/>
  <c r="X115" i="9"/>
  <c r="X135" i="9"/>
  <c r="X155" i="9"/>
  <c r="X179" i="9"/>
  <c r="X199" i="9"/>
  <c r="X219" i="9"/>
  <c r="X243" i="9"/>
  <c r="X263" i="9"/>
  <c r="X283" i="9"/>
  <c r="X307" i="9"/>
  <c r="X327" i="9"/>
  <c r="X347" i="9"/>
  <c r="X371" i="9"/>
  <c r="X391" i="9"/>
  <c r="X411" i="9"/>
  <c r="X435" i="9"/>
  <c r="X455" i="9"/>
  <c r="X475" i="9"/>
  <c r="X499" i="9"/>
  <c r="X122" i="9"/>
  <c r="X142" i="9"/>
  <c r="X166" i="9"/>
  <c r="X186" i="9"/>
  <c r="X206" i="9"/>
  <c r="X230" i="9"/>
  <c r="X250" i="9"/>
  <c r="X270" i="9"/>
  <c r="X294" i="9"/>
  <c r="X314" i="9"/>
  <c r="X334" i="9"/>
  <c r="X358" i="9"/>
  <c r="X378" i="9"/>
  <c r="X398" i="9"/>
  <c r="X422" i="9"/>
  <c r="X442" i="9"/>
  <c r="X462" i="9"/>
  <c r="X486" i="9"/>
  <c r="X105" i="9"/>
  <c r="X125" i="9"/>
  <c r="X149" i="9"/>
  <c r="X169" i="9"/>
  <c r="X189" i="9"/>
  <c r="X213" i="9"/>
  <c r="X233" i="9"/>
  <c r="X253" i="9"/>
  <c r="X277" i="9"/>
  <c r="X297" i="9"/>
  <c r="X317" i="9"/>
  <c r="X119" i="9"/>
  <c r="X139" i="9"/>
  <c r="X163" i="9"/>
  <c r="X183" i="9"/>
  <c r="X203" i="9"/>
  <c r="X227" i="9"/>
  <c r="X247" i="9"/>
  <c r="X267" i="9"/>
  <c r="X291" i="9"/>
  <c r="X311" i="9"/>
  <c r="X331" i="9"/>
  <c r="X355" i="9"/>
  <c r="X375" i="9"/>
  <c r="X395" i="9"/>
  <c r="X419" i="9"/>
  <c r="X439" i="9"/>
  <c r="X459" i="9"/>
  <c r="X483" i="9"/>
  <c r="X106" i="9"/>
  <c r="X126" i="9"/>
  <c r="X150" i="9"/>
  <c r="X170" i="9"/>
  <c r="X190" i="9"/>
  <c r="X214" i="9"/>
  <c r="X234" i="9"/>
  <c r="X254" i="9"/>
  <c r="X278" i="9"/>
  <c r="X298" i="9"/>
  <c r="X318" i="9"/>
  <c r="X342" i="9"/>
  <c r="X362" i="9"/>
  <c r="X382" i="9"/>
  <c r="X406" i="9"/>
  <c r="X426" i="9"/>
  <c r="X446" i="9"/>
  <c r="X470" i="9"/>
  <c r="X490" i="9"/>
  <c r="X109" i="9"/>
  <c r="X133" i="9"/>
  <c r="X153" i="9"/>
  <c r="X173" i="9"/>
  <c r="X197" i="9"/>
  <c r="X217" i="9"/>
  <c r="X237" i="9"/>
  <c r="X261" i="9"/>
  <c r="X281" i="9"/>
  <c r="X301" i="9"/>
  <c r="X325" i="9"/>
  <c r="X345" i="9"/>
  <c r="X365" i="9"/>
  <c r="X389" i="9"/>
  <c r="X409" i="9"/>
  <c r="X429" i="9"/>
  <c r="X449" i="9"/>
  <c r="X465" i="9"/>
  <c r="X481" i="9"/>
  <c r="X497" i="9"/>
  <c r="X112" i="9"/>
  <c r="X128" i="9"/>
  <c r="X144" i="9"/>
  <c r="X160" i="9"/>
  <c r="X176" i="9"/>
  <c r="X192" i="9"/>
  <c r="X208" i="9"/>
  <c r="X224" i="9"/>
  <c r="X240" i="9"/>
  <c r="X256" i="9"/>
  <c r="X272" i="9"/>
  <c r="X288" i="9"/>
  <c r="X304" i="9"/>
  <c r="X320" i="9"/>
  <c r="X336" i="9"/>
  <c r="X352" i="9"/>
  <c r="X368" i="9"/>
  <c r="X384" i="9"/>
  <c r="X400" i="9"/>
  <c r="X416" i="9"/>
  <c r="X432" i="9"/>
  <c r="X448" i="9"/>
  <c r="X464" i="9"/>
  <c r="X480" i="9"/>
  <c r="X36" i="9"/>
  <c r="X65" i="9"/>
  <c r="X49" i="9"/>
  <c r="X33" i="9"/>
  <c r="X17" i="9"/>
  <c r="X82" i="9"/>
  <c r="X46" i="9"/>
  <c r="X22" i="9"/>
  <c r="X75" i="9"/>
  <c r="X23" i="9"/>
  <c r="X101" i="9"/>
  <c r="X90" i="9"/>
  <c r="X96" i="9"/>
  <c r="X89" i="9"/>
  <c r="X95" i="9"/>
  <c r="X492" i="9"/>
  <c r="X472" i="9"/>
  <c r="X452" i="9"/>
  <c r="X428" i="9"/>
  <c r="X408" i="9"/>
  <c r="X388" i="9"/>
  <c r="X364" i="9"/>
  <c r="X344" i="9"/>
  <c r="X324" i="9"/>
  <c r="X300" i="9"/>
  <c r="X280" i="9"/>
  <c r="X260" i="9"/>
  <c r="X236" i="9"/>
  <c r="X216" i="9"/>
  <c r="X196" i="9"/>
  <c r="X172" i="9"/>
  <c r="X152" i="9"/>
  <c r="X132" i="9"/>
  <c r="X108" i="9"/>
  <c r="X489" i="9"/>
  <c r="X469" i="9"/>
  <c r="X445" i="9"/>
  <c r="X421" i="9"/>
  <c r="X393" i="9"/>
  <c r="X361" i="9"/>
  <c r="X333" i="9"/>
  <c r="X293" i="9"/>
  <c r="X249" i="9"/>
  <c r="X205" i="9"/>
  <c r="X165" i="9"/>
  <c r="X121" i="9"/>
  <c r="X478" i="9"/>
  <c r="X438" i="9"/>
  <c r="X394" i="9"/>
  <c r="X350" i="9"/>
  <c r="X310" i="9"/>
  <c r="X266" i="9"/>
  <c r="X222" i="9"/>
  <c r="X182" i="9"/>
  <c r="X138" i="9"/>
  <c r="X491" i="9"/>
  <c r="X451" i="9"/>
  <c r="X407" i="9"/>
  <c r="X363" i="9"/>
  <c r="X323" i="9"/>
  <c r="X279" i="9"/>
  <c r="X235" i="9"/>
  <c r="X195" i="9"/>
  <c r="X151" i="9"/>
  <c r="X107" i="9"/>
  <c r="X73" i="9"/>
  <c r="X7" i="9"/>
  <c r="X67" i="9"/>
  <c r="X71" i="9"/>
  <c r="X79" i="9"/>
  <c r="X4" i="9"/>
  <c r="X8" i="9"/>
  <c r="X16" i="9"/>
  <c r="X20" i="9"/>
  <c r="X24" i="9"/>
  <c r="X32" i="9"/>
  <c r="X40" i="9"/>
  <c r="X44" i="9"/>
  <c r="X48" i="9"/>
  <c r="X56" i="9"/>
  <c r="X60" i="9"/>
  <c r="X64" i="9"/>
  <c r="X72" i="9"/>
  <c r="X76" i="9"/>
  <c r="E775" i="21"/>
  <c r="D775" i="21"/>
  <c r="E811" i="21"/>
  <c r="D811" i="21"/>
  <c r="D763" i="21"/>
  <c r="E736" i="21"/>
  <c r="D736" i="21"/>
  <c r="E740" i="21"/>
  <c r="D740" i="21"/>
  <c r="E744" i="21"/>
  <c r="D744" i="21"/>
  <c r="E748" i="21"/>
  <c r="D748" i="21"/>
  <c r="E752" i="21"/>
  <c r="D752" i="21"/>
  <c r="E756" i="21"/>
  <c r="D756" i="21"/>
  <c r="E760" i="21"/>
  <c r="D760" i="21"/>
  <c r="E764" i="21"/>
  <c r="D764" i="21"/>
  <c r="E780" i="21"/>
  <c r="D780" i="21"/>
  <c r="E784" i="21"/>
  <c r="D784" i="21"/>
  <c r="E788" i="21"/>
  <c r="D788" i="21"/>
  <c r="E792" i="21"/>
  <c r="D792" i="21"/>
  <c r="E796" i="21"/>
  <c r="D796" i="21"/>
  <c r="E800" i="21"/>
  <c r="D800" i="21"/>
  <c r="D297" i="21"/>
  <c r="D301" i="21"/>
  <c r="D305" i="21"/>
  <c r="D309" i="21"/>
  <c r="D313" i="21"/>
  <c r="D317" i="21"/>
  <c r="D321" i="21"/>
  <c r="D325" i="21"/>
  <c r="D329" i="21"/>
  <c r="D333" i="21"/>
  <c r="D337" i="21"/>
  <c r="D341" i="21"/>
  <c r="D345" i="21"/>
  <c r="D653" i="21"/>
  <c r="D684" i="21"/>
  <c r="D688" i="21"/>
  <c r="D771" i="21"/>
  <c r="D783" i="21"/>
  <c r="D799" i="21"/>
  <c r="D812" i="21"/>
  <c r="D1032" i="21"/>
  <c r="D1036" i="21"/>
  <c r="D1040" i="21"/>
  <c r="D1044" i="21"/>
  <c r="D1048" i="21"/>
  <c r="D1052" i="21"/>
  <c r="D671" i="21" a="1"/>
  <c r="D671" i="21" s="1"/>
  <c r="D419" i="21"/>
  <c r="D423" i="21"/>
  <c r="D645" i="21"/>
  <c r="D767" i="21"/>
  <c r="D772" i="21"/>
  <c r="D779" i="21"/>
  <c r="D795" i="21"/>
  <c r="D807" i="21"/>
  <c r="H34" i="21"/>
  <c r="P34" i="21" s="1"/>
  <c r="X70" i="9"/>
  <c r="AU42" i="9"/>
  <c r="X42" i="9"/>
  <c r="Y42" i="9"/>
  <c r="AU58" i="9"/>
  <c r="X58" i="9"/>
  <c r="AU6" i="9"/>
  <c r="AU10" i="9"/>
  <c r="AU14" i="9"/>
  <c r="AU62" i="9"/>
  <c r="AU66" i="9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AA80" i="9"/>
  <c r="AA86" i="9"/>
  <c r="AB86" i="9"/>
  <c r="Z98" i="9"/>
  <c r="AB178" i="9"/>
  <c r="AB216" i="9"/>
  <c r="AA16" i="9"/>
  <c r="Y65" i="9"/>
  <c r="Z75" i="9"/>
  <c r="AB40" i="9"/>
  <c r="Y78" i="9"/>
  <c r="AB39" i="9"/>
  <c r="AB330" i="9"/>
  <c r="Z62" i="9"/>
  <c r="Y14" i="9"/>
  <c r="AB364" i="9"/>
  <c r="Z322" i="9"/>
  <c r="Z34" i="9"/>
  <c r="AB20" i="9"/>
  <c r="Y56" i="9"/>
  <c r="AB88" i="9"/>
  <c r="AB99" i="9"/>
  <c r="AB84" i="9"/>
  <c r="Z400" i="9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AB72" i="9"/>
  <c r="AB52" i="9"/>
  <c r="AB8" i="9"/>
  <c r="Y33" i="9"/>
  <c r="AA48" i="9"/>
  <c r="AB280" i="9"/>
  <c r="Z194" i="9"/>
  <c r="AA253" i="9"/>
  <c r="Y245" i="9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Y26" i="9"/>
  <c r="AB79" i="9"/>
  <c r="Y69" i="9"/>
  <c r="Y49" i="9"/>
  <c r="AA64" i="9"/>
  <c r="Y67" i="9"/>
  <c r="Y35" i="9"/>
  <c r="AB428" i="9"/>
  <c r="Y223" i="9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Y298" i="9"/>
  <c r="Z302" i="9"/>
  <c r="AB304" i="9"/>
  <c r="AA310" i="9"/>
  <c r="Y314" i="9"/>
  <c r="Z318" i="9"/>
  <c r="AB320" i="9"/>
  <c r="AA326" i="9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D263" i="21"/>
  <c r="D348" i="21"/>
  <c r="H33" i="21"/>
  <c r="P33" i="21" s="1"/>
  <c r="AB4" i="5"/>
  <c r="AB18" i="5"/>
  <c r="AB22" i="5" s="1"/>
  <c r="AB19" i="5"/>
  <c r="AB23" i="5" s="1"/>
  <c r="AB16" i="5"/>
  <c r="AB20" i="5" s="1"/>
  <c r="AB17" i="5" a="1"/>
  <c r="AB17" i="5" s="1"/>
  <c r="AB21" i="5" s="1"/>
  <c r="D680" i="21"/>
  <c r="D692" i="21"/>
  <c r="D776" i="21"/>
  <c r="D808" i="21"/>
  <c r="H32" i="21"/>
  <c r="P32" i="21" s="1"/>
  <c r="D265" i="21"/>
  <c r="D273" i="21"/>
  <c r="D281" i="21"/>
  <c r="D649" i="21"/>
  <c r="D657" i="21"/>
  <c r="D665" i="21"/>
  <c r="D765" i="21"/>
  <c r="D769" i="21"/>
  <c r="D773" i="21"/>
  <c r="D801" i="21"/>
  <c r="D805" i="21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AC9" i="13"/>
  <c r="AC7" i="13"/>
  <c r="AC5" i="13"/>
  <c r="AC10" i="13"/>
  <c r="AC6" i="13"/>
  <c r="AC8" i="13"/>
  <c r="H36" i="21"/>
  <c r="L36" i="21" s="1"/>
  <c r="H35" i="21"/>
  <c r="J35" i="21" s="1" a="1"/>
  <c r="J35" i="21" s="1"/>
  <c r="D1088" i="21" a="1"/>
  <c r="D1088" i="21" s="1"/>
  <c r="H1088" i="21" s="1"/>
  <c r="K1088" i="21" s="1"/>
  <c r="L1088" i="21" s="1"/>
  <c r="AU78" i="9"/>
  <c r="AU74" i="9"/>
  <c r="C15" i="13"/>
  <c r="D1092" i="21" a="1"/>
  <c r="D1092" i="21" s="1"/>
  <c r="H1092" i="21" s="1"/>
  <c r="L1092" i="21" s="1"/>
  <c r="E20" i="13"/>
  <c r="D1089" i="21" a="1"/>
  <c r="D1089" i="21" s="1"/>
  <c r="H1089" i="21" s="1"/>
  <c r="K1089" i="21" s="1"/>
  <c r="L1089" i="21" s="1"/>
  <c r="AS85" i="9"/>
  <c r="AS83" i="9"/>
  <c r="AS86" i="9"/>
  <c r="P284" i="21"/>
  <c r="K283" i="21" a="1"/>
  <c r="K283" i="21" s="1"/>
  <c r="G14" i="5" l="1"/>
  <c r="E21" i="13"/>
  <c r="AC105" i="13"/>
  <c r="T12" i="13"/>
  <c r="V14" i="5"/>
  <c r="E12" i="13"/>
  <c r="D13" i="13"/>
  <c r="Y21" i="13"/>
  <c r="AA104" i="13"/>
  <c r="E15" i="13"/>
  <c r="C20" i="13"/>
  <c r="M21" i="13"/>
  <c r="H41" i="21"/>
  <c r="P41" i="21" s="1"/>
  <c r="H140" i="21"/>
  <c r="L140" i="21" s="1"/>
  <c r="H54" i="21"/>
  <c r="J54" i="21" s="1" a="1"/>
  <c r="J54" i="21" s="1"/>
  <c r="J12" i="5"/>
  <c r="Y114" i="13"/>
  <c r="AB79" i="13"/>
  <c r="AC11" i="5"/>
  <c r="T20" i="13"/>
  <c r="S16" i="13"/>
  <c r="T15" i="5"/>
  <c r="AA12" i="5"/>
  <c r="H85" i="21"/>
  <c r="J85" i="21" s="1" a="1"/>
  <c r="J85" i="21" s="1"/>
  <c r="U19" i="13"/>
  <c r="AB96" i="13"/>
  <c r="Q14" i="5"/>
  <c r="R11" i="5"/>
  <c r="V19" i="13"/>
  <c r="O15" i="13"/>
  <c r="X15" i="13"/>
  <c r="AC13" i="5"/>
  <c r="D11" i="5"/>
  <c r="G15" i="5"/>
  <c r="H195" i="21"/>
  <c r="J195" i="21" s="1" a="1"/>
  <c r="J195" i="21" s="1"/>
  <c r="H82" i="21"/>
  <c r="J82" i="21" s="1" a="1"/>
  <c r="J82" i="21" s="1"/>
  <c r="R13" i="13"/>
  <c r="AC14" i="5"/>
  <c r="AC19" i="13"/>
  <c r="V21" i="13"/>
  <c r="G16" i="13"/>
  <c r="Y20" i="13"/>
  <c r="J13" i="13"/>
  <c r="W18" i="13"/>
  <c r="AC77" i="13"/>
  <c r="AC67" i="13"/>
  <c r="AB92" i="13"/>
  <c r="H643" i="21"/>
  <c r="J643" i="21" s="1" a="1"/>
  <c r="J643" i="21" s="1"/>
  <c r="H1001" i="21"/>
  <c r="J1001" i="21" s="1" a="1"/>
  <c r="J1001" i="21" s="1"/>
  <c r="A4" i="5"/>
  <c r="AB7" i="5"/>
  <c r="A9" i="5"/>
  <c r="AC121" i="13"/>
  <c r="O118" i="13"/>
  <c r="L111" i="13"/>
  <c r="E121" i="13"/>
  <c r="C110" i="13"/>
  <c r="S117" i="13"/>
  <c r="J109" i="13"/>
  <c r="H110" i="13"/>
  <c r="AB121" i="13"/>
  <c r="W104" i="13"/>
  <c r="U121" i="13"/>
  <c r="Y98" i="13"/>
  <c r="M8" i="9"/>
  <c r="V98" i="13"/>
  <c r="AB82" i="13"/>
  <c r="K111" i="13"/>
  <c r="J107" i="13"/>
  <c r="V102" i="13"/>
  <c r="W99" i="13"/>
  <c r="Y104" i="13"/>
  <c r="P17" i="13"/>
  <c r="X13" i="13"/>
  <c r="Q11" i="5"/>
  <c r="C13" i="13"/>
  <c r="S12" i="13"/>
  <c r="AA18" i="13"/>
  <c r="T13" i="5"/>
  <c r="I19" i="13"/>
  <c r="Q18" i="13"/>
  <c r="Y19" i="13"/>
  <c r="N12" i="5"/>
  <c r="J17" i="13"/>
  <c r="V17" i="13"/>
  <c r="Z12" i="13"/>
  <c r="O11" i="5"/>
  <c r="AA13" i="5"/>
  <c r="V13" i="5"/>
  <c r="R13" i="5"/>
  <c r="Y16" i="13"/>
  <c r="X15" i="5"/>
  <c r="F11" i="5"/>
  <c r="F18" i="13"/>
  <c r="Z20" i="13"/>
  <c r="J16" i="13"/>
  <c r="U16" i="13"/>
  <c r="O20" i="13"/>
  <c r="F13" i="13"/>
  <c r="O21" i="13"/>
  <c r="D14" i="13"/>
  <c r="L14" i="5"/>
  <c r="X14" i="5"/>
  <c r="Q15" i="5"/>
  <c r="AB17" i="13"/>
  <c r="F21" i="13"/>
  <c r="W101" i="13"/>
  <c r="R121" i="13"/>
  <c r="U99" i="13"/>
  <c r="X110" i="13"/>
  <c r="C114" i="13"/>
  <c r="U120" i="13"/>
  <c r="T108" i="13"/>
  <c r="K119" i="13"/>
  <c r="Z120" i="13"/>
  <c r="AB73" i="13"/>
  <c r="Y103" i="13"/>
  <c r="AC118" i="13"/>
  <c r="X115" i="13"/>
  <c r="P14" i="13"/>
  <c r="AB13" i="13"/>
  <c r="G15" i="13"/>
  <c r="S18" i="13"/>
  <c r="X12" i="5"/>
  <c r="I14" i="13"/>
  <c r="AC106" i="13"/>
  <c r="O119" i="13"/>
  <c r="H113" i="13"/>
  <c r="L101" i="13"/>
  <c r="AB85" i="13"/>
  <c r="V121" i="13"/>
  <c r="L98" i="13"/>
  <c r="AB62" i="13"/>
  <c r="P13" i="5"/>
  <c r="J15" i="5"/>
  <c r="U13" i="5"/>
  <c r="AA14" i="13"/>
  <c r="Q12" i="13"/>
  <c r="H61" i="21"/>
  <c r="J61" i="21" s="1" a="1"/>
  <c r="J61" i="21" s="1"/>
  <c r="H59" i="21"/>
  <c r="L59" i="21" s="1"/>
  <c r="H58" i="21"/>
  <c r="L58" i="21" s="1"/>
  <c r="H481" i="21"/>
  <c r="L481" i="21" s="1"/>
  <c r="D674" i="21" a="1"/>
  <c r="D674" i="21" s="1"/>
  <c r="H674" i="21" s="1" a="1"/>
  <c r="H674" i="21" s="1"/>
  <c r="K674" i="21" s="1" a="1"/>
  <c r="K674" i="21" s="1"/>
  <c r="L674" i="21" s="1"/>
  <c r="D1093" i="21" a="1"/>
  <c r="D1093" i="21" s="1"/>
  <c r="H1093" i="21" s="1"/>
  <c r="L1093" i="21" s="1"/>
  <c r="D289" i="21" a="1"/>
  <c r="D289" i="21" s="1"/>
  <c r="H289" i="21" s="1" a="1"/>
  <c r="H289" i="21" s="1"/>
  <c r="K289" i="21" s="1" a="1"/>
  <c r="K289" i="21" s="1"/>
  <c r="L289" i="21" s="1"/>
  <c r="P21" i="13"/>
  <c r="AA15" i="13"/>
  <c r="AB14" i="5"/>
  <c r="J14" i="5"/>
  <c r="W21" i="13"/>
  <c r="C21" i="13"/>
  <c r="N21" i="13"/>
  <c r="O16" i="13"/>
  <c r="C16" i="13"/>
  <c r="G21" i="13"/>
  <c r="AA16" i="13"/>
  <c r="R12" i="5"/>
  <c r="P15" i="5"/>
  <c r="G7" i="9"/>
  <c r="M7" i="9"/>
  <c r="D13" i="5"/>
  <c r="W11" i="5"/>
  <c r="G12" i="5"/>
  <c r="V14" i="13"/>
  <c r="Z12" i="5"/>
  <c r="J11" i="5"/>
  <c r="M14" i="13"/>
  <c r="L11" i="5"/>
  <c r="O14" i="13"/>
  <c r="I13" i="5"/>
  <c r="H20" i="13"/>
  <c r="U109" i="13"/>
  <c r="M116" i="13"/>
  <c r="J100" i="13"/>
  <c r="H120" i="13"/>
  <c r="H111" i="13"/>
  <c r="V108" i="13"/>
  <c r="AB115" i="13"/>
  <c r="T103" i="13"/>
  <c r="AC62" i="13"/>
  <c r="F115" i="13"/>
  <c r="S13" i="5"/>
  <c r="N19" i="13"/>
  <c r="Y14" i="13"/>
  <c r="K20" i="13"/>
  <c r="I11" i="5"/>
  <c r="AC68" i="13"/>
  <c r="N113" i="13"/>
  <c r="M111" i="13"/>
  <c r="AA112" i="13"/>
  <c r="O113" i="13"/>
  <c r="U117" i="13"/>
  <c r="Z19" i="13"/>
  <c r="Z13" i="5"/>
  <c r="M18" i="13"/>
  <c r="H12" i="5"/>
  <c r="H15" i="13"/>
  <c r="X109" i="13"/>
  <c r="AB80" i="13"/>
  <c r="AC113" i="13"/>
  <c r="X118" i="13"/>
  <c r="F674" i="21"/>
  <c r="P15" i="13"/>
  <c r="K12" i="13"/>
  <c r="U15" i="5"/>
  <c r="R14" i="5"/>
  <c r="AB14" i="13"/>
  <c r="K21" i="13"/>
  <c r="Z21" i="13"/>
  <c r="AC12" i="13"/>
  <c r="I16" i="13"/>
  <c r="Q21" i="13"/>
  <c r="AC12" i="5"/>
  <c r="N15" i="13"/>
  <c r="F17" i="13"/>
  <c r="H141" i="21"/>
  <c r="P141" i="21" s="1"/>
  <c r="H84" i="21"/>
  <c r="P84" i="21" s="1"/>
  <c r="H46" i="21"/>
  <c r="L46" i="21" s="1"/>
  <c r="H198" i="21"/>
  <c r="J198" i="21" s="1" a="1"/>
  <c r="J198" i="21" s="1"/>
  <c r="H57" i="21"/>
  <c r="L57" i="21" s="1"/>
  <c r="H44" i="21"/>
  <c r="I44" i="21" s="1"/>
  <c r="H89" i="21"/>
  <c r="J89" i="21" s="1" a="1"/>
  <c r="J89" i="21" s="1"/>
  <c r="H43" i="21"/>
  <c r="J43" i="21" s="1" a="1"/>
  <c r="J43" i="21" s="1"/>
  <c r="O13" i="5"/>
  <c r="Z17" i="13"/>
  <c r="N12" i="13"/>
  <c r="N14" i="5"/>
  <c r="U18" i="13"/>
  <c r="E14" i="13"/>
  <c r="W19" i="13"/>
  <c r="C12" i="13"/>
  <c r="T17" i="13"/>
  <c r="AC64" i="13"/>
  <c r="AB105" i="13"/>
  <c r="AB95" i="13"/>
  <c r="L100" i="13"/>
  <c r="U113" i="13"/>
  <c r="T112" i="13"/>
  <c r="AB94" i="13"/>
  <c r="E119" i="13"/>
  <c r="D119" i="13"/>
  <c r="H47" i="21"/>
  <c r="I47" i="21" s="1"/>
  <c r="L47" i="21" s="1"/>
  <c r="H51" i="21"/>
  <c r="L51" i="21" s="1"/>
  <c r="E112" i="13"/>
  <c r="H199" i="21"/>
  <c r="P199" i="21" s="1"/>
  <c r="H50" i="21"/>
  <c r="P50" i="21" s="1"/>
  <c r="N118" i="13"/>
  <c r="AC112" i="13"/>
  <c r="F289" i="21"/>
  <c r="D118" i="13"/>
  <c r="N112" i="13"/>
  <c r="M110" i="13"/>
  <c r="T116" i="13"/>
  <c r="C111" i="13"/>
  <c r="V106" i="13"/>
  <c r="AC76" i="13"/>
  <c r="S119" i="13"/>
  <c r="J8" i="9"/>
  <c r="AC116" i="13"/>
  <c r="W103" i="13"/>
  <c r="AA105" i="13"/>
  <c r="U106" i="13"/>
  <c r="AC66" i="13"/>
  <c r="T98" i="13"/>
  <c r="AA119" i="13"/>
  <c r="AC96" i="13"/>
  <c r="AC72" i="13"/>
  <c r="AB104" i="13"/>
  <c r="G119" i="13"/>
  <c r="Z113" i="13"/>
  <c r="V100" i="13"/>
  <c r="H114" i="13"/>
  <c r="F121" i="13"/>
  <c r="V105" i="13"/>
  <c r="AC79" i="13"/>
  <c r="L108" i="13"/>
  <c r="N116" i="13"/>
  <c r="D110" i="13"/>
  <c r="S101" i="13"/>
  <c r="AA102" i="13"/>
  <c r="J118" i="13"/>
  <c r="AC117" i="13"/>
  <c r="Y115" i="13"/>
  <c r="H8" i="9"/>
  <c r="G13" i="13"/>
  <c r="H13" i="13"/>
  <c r="L14" i="13"/>
  <c r="P18" i="13"/>
  <c r="T13" i="13"/>
  <c r="X18" i="13"/>
  <c r="E13" i="5"/>
  <c r="M11" i="5"/>
  <c r="Q13" i="5"/>
  <c r="Y12" i="5"/>
  <c r="C14" i="13"/>
  <c r="G19" i="13"/>
  <c r="K15" i="13"/>
  <c r="O17" i="13"/>
  <c r="S17" i="13"/>
  <c r="W13" i="13"/>
  <c r="AA17" i="13"/>
  <c r="H13" i="5"/>
  <c r="L13" i="5"/>
  <c r="X13" i="5"/>
  <c r="E18" i="13"/>
  <c r="I15" i="13"/>
  <c r="M17" i="13"/>
  <c r="D286" i="21" a="1"/>
  <c r="D286" i="21" s="1"/>
  <c r="H286" i="21" s="1" a="1"/>
  <c r="H286" i="21" s="1"/>
  <c r="K286" i="21" s="1" a="1"/>
  <c r="K286" i="21" s="1"/>
  <c r="L286" i="21" s="1"/>
  <c r="D1090" i="21" a="1"/>
  <c r="D1090" i="21" s="1"/>
  <c r="H1090" i="21" s="1"/>
  <c r="L1090" i="21" s="1"/>
  <c r="H893" i="21"/>
  <c r="I893" i="21" s="1"/>
  <c r="W15" i="13"/>
  <c r="L21" i="13"/>
  <c r="D12" i="5"/>
  <c r="Z14" i="5"/>
  <c r="P14" i="5"/>
  <c r="R14" i="13"/>
  <c r="R18" i="13"/>
  <c r="R12" i="13"/>
  <c r="S20" i="13"/>
  <c r="W16" i="13"/>
  <c r="M16" i="13"/>
  <c r="AC21" i="13"/>
  <c r="J20" i="13"/>
  <c r="AB21" i="13"/>
  <c r="AB12" i="5"/>
  <c r="X21" i="13"/>
  <c r="D7" i="9"/>
  <c r="I7" i="9"/>
  <c r="I13" i="9" s="1"/>
  <c r="H7" i="9"/>
  <c r="D1086" i="21" a="1"/>
  <c r="D1086" i="21" s="1"/>
  <c r="H1086" i="21" s="1"/>
  <c r="K1086" i="21" s="1"/>
  <c r="L1086" i="21" s="1"/>
  <c r="H37" i="21"/>
  <c r="J37" i="21" s="1" a="1"/>
  <c r="J37" i="21" s="1"/>
  <c r="H45" i="21"/>
  <c r="J45" i="21" s="1" a="1"/>
  <c r="J45" i="21" s="1"/>
  <c r="H42" i="21"/>
  <c r="J42" i="21" s="1" a="1"/>
  <c r="J42" i="21" s="1"/>
  <c r="H169" i="21"/>
  <c r="J169" i="21" s="1" a="1"/>
  <c r="J169" i="21" s="1"/>
  <c r="H40" i="21"/>
  <c r="H39" i="21"/>
  <c r="L39" i="21" s="1"/>
  <c r="H535" i="21"/>
  <c r="J535" i="21" s="1" a="1"/>
  <c r="J535" i="21" s="1"/>
  <c r="H616" i="21"/>
  <c r="H1028" i="21"/>
  <c r="K1028" i="21" s="1" a="1"/>
  <c r="K1028" i="21" s="1"/>
  <c r="P1028" i="21" s="1"/>
  <c r="H38" i="21"/>
  <c r="I38" i="21" s="1"/>
  <c r="H166" i="21"/>
  <c r="L166" i="21" s="1"/>
  <c r="W12" i="5"/>
  <c r="S11" i="5"/>
  <c r="K15" i="5"/>
  <c r="C13" i="5"/>
  <c r="Z16" i="13"/>
  <c r="V13" i="13"/>
  <c r="N17" i="13"/>
  <c r="J14" i="13"/>
  <c r="J12" i="13"/>
  <c r="V12" i="5"/>
  <c r="N13" i="5"/>
  <c r="AC16" i="13"/>
  <c r="Y13" i="13"/>
  <c r="U13" i="13"/>
  <c r="Q17" i="13"/>
  <c r="M15" i="13"/>
  <c r="I20" i="13"/>
  <c r="E17" i="13"/>
  <c r="P12" i="5"/>
  <c r="H11" i="5"/>
  <c r="AA12" i="13"/>
  <c r="S14" i="13"/>
  <c r="O18" i="13"/>
  <c r="G12" i="13"/>
  <c r="C18" i="13"/>
  <c r="Y13" i="5"/>
  <c r="M13" i="5"/>
  <c r="I14" i="5"/>
  <c r="X12" i="13"/>
  <c r="T14" i="13"/>
  <c r="L18" i="13"/>
  <c r="H19" i="13"/>
  <c r="T11" i="5"/>
  <c r="T19" i="5" s="1"/>
  <c r="T23" i="5" s="1"/>
  <c r="G13" i="5"/>
  <c r="K115" i="13"/>
  <c r="AB75" i="13"/>
  <c r="H118" i="13"/>
  <c r="V112" i="13"/>
  <c r="AC107" i="13"/>
  <c r="AB84" i="13"/>
  <c r="P111" i="13"/>
  <c r="C121" i="13"/>
  <c r="E114" i="13"/>
  <c r="L113" i="13"/>
  <c r="AB74" i="13"/>
  <c r="C120" i="13"/>
  <c r="E8" i="9"/>
  <c r="L104" i="13"/>
  <c r="D113" i="13"/>
  <c r="AB81" i="13"/>
  <c r="AC84" i="13"/>
  <c r="J104" i="13"/>
  <c r="AC100" i="13"/>
  <c r="T121" i="13"/>
  <c r="W116" i="13"/>
  <c r="AA101" i="13"/>
  <c r="Z118" i="13"/>
  <c r="Y117" i="13"/>
  <c r="J115" i="13"/>
  <c r="W117" i="13"/>
  <c r="AC78" i="13"/>
  <c r="J116" i="13"/>
  <c r="V111" i="13"/>
  <c r="D114" i="13"/>
  <c r="B8" i="9"/>
  <c r="B14" i="9" s="1"/>
  <c r="H60" i="21"/>
  <c r="I60" i="21" s="1"/>
  <c r="H946" i="21"/>
  <c r="L946" i="21" s="1"/>
  <c r="N114" i="13"/>
  <c r="AB68" i="13"/>
  <c r="J112" i="13"/>
  <c r="AC75" i="13"/>
  <c r="AB113" i="13"/>
  <c r="P113" i="13"/>
  <c r="T101" i="13"/>
  <c r="Z117" i="13"/>
  <c r="T109" i="13"/>
  <c r="Y99" i="13"/>
  <c r="H115" i="21"/>
  <c r="L115" i="21" s="1"/>
  <c r="H144" i="21"/>
  <c r="J144" i="21" s="1" a="1"/>
  <c r="J144" i="21" s="1"/>
  <c r="H200" i="21"/>
  <c r="J200" i="21" s="1" a="1"/>
  <c r="J200" i="21" s="1"/>
  <c r="H974" i="21"/>
  <c r="L974" i="21" s="1"/>
  <c r="H143" i="21"/>
  <c r="L143" i="21" s="1"/>
  <c r="H172" i="21"/>
  <c r="P172" i="21" s="1"/>
  <c r="H838" i="21"/>
  <c r="P838" i="21" s="1"/>
  <c r="H589" i="21"/>
  <c r="K589" i="21" s="1" a="1"/>
  <c r="K589" i="21" s="1"/>
  <c r="P589" i="21" s="1"/>
  <c r="H866" i="21"/>
  <c r="I866" i="21" s="1"/>
  <c r="H920" i="21"/>
  <c r="L920" i="21" s="1"/>
  <c r="H508" i="21"/>
  <c r="I508" i="21" s="1"/>
  <c r="AC20" i="13"/>
  <c r="Q20" i="13"/>
  <c r="Y15" i="13"/>
  <c r="Y15" i="5"/>
  <c r="U14" i="5"/>
  <c r="C14" i="5"/>
  <c r="AB20" i="13"/>
  <c r="K17" i="13"/>
  <c r="AB19" i="13"/>
  <c r="J21" i="13"/>
  <c r="R16" i="13"/>
  <c r="D16" i="13"/>
  <c r="V20" i="13"/>
  <c r="AB12" i="13"/>
  <c r="D673" i="21" a="1"/>
  <c r="D673" i="21" s="1"/>
  <c r="H673" i="21" s="1" a="1"/>
  <c r="H673" i="21" s="1"/>
  <c r="K673" i="21" s="1" a="1"/>
  <c r="K673" i="21" s="1"/>
  <c r="L673" i="21" s="1"/>
  <c r="H15" i="5"/>
  <c r="E15" i="5"/>
  <c r="AB15" i="5"/>
  <c r="D15" i="5"/>
  <c r="D288" i="21" a="1"/>
  <c r="D288" i="21" s="1"/>
  <c r="H288" i="21" s="1" a="1"/>
  <c r="H288" i="21" s="1"/>
  <c r="K288" i="21" s="1" a="1"/>
  <c r="K288" i="21" s="1"/>
  <c r="L288" i="21" s="1"/>
  <c r="F1089" i="21"/>
  <c r="H947" i="21"/>
  <c r="J947" i="21" s="1" a="1"/>
  <c r="J947" i="21" s="1"/>
  <c r="L15" i="13"/>
  <c r="D18" i="13"/>
  <c r="T21" i="13"/>
  <c r="R19" i="13"/>
  <c r="Z15" i="13"/>
  <c r="F13" i="5"/>
  <c r="AC15" i="5"/>
  <c r="Y14" i="5"/>
  <c r="T14" i="5"/>
  <c r="M14" i="5"/>
  <c r="AB11" i="5"/>
  <c r="K14" i="13"/>
  <c r="X20" i="13"/>
  <c r="P20" i="13"/>
  <c r="D21" i="13"/>
  <c r="K13" i="13"/>
  <c r="AA20" i="13"/>
  <c r="R21" i="13"/>
  <c r="H21" i="13"/>
  <c r="V16" i="13"/>
  <c r="Q16" i="13"/>
  <c r="K16" i="13"/>
  <c r="H16" i="13"/>
  <c r="AC17" i="13"/>
  <c r="R20" i="13"/>
  <c r="I21" i="13"/>
  <c r="D12" i="13"/>
  <c r="AC15" i="13"/>
  <c r="T15" i="13"/>
  <c r="I15" i="5"/>
  <c r="W15" i="5"/>
  <c r="AB15" i="13"/>
  <c r="N20" i="13"/>
  <c r="S15" i="5"/>
  <c r="AC13" i="13"/>
  <c r="Y91" i="13"/>
  <c r="H562" i="21"/>
  <c r="J562" i="21" s="1" a="1"/>
  <c r="J562" i="21" s="1"/>
  <c r="H454" i="21"/>
  <c r="I454" i="21" s="1"/>
  <c r="U14" i="13"/>
  <c r="W13" i="5"/>
  <c r="O12" i="5"/>
  <c r="K11" i="5"/>
  <c r="C12" i="5"/>
  <c r="Z18" i="13"/>
  <c r="V18" i="13"/>
  <c r="N13" i="13"/>
  <c r="J18" i="13"/>
  <c r="F20" i="13"/>
  <c r="V11" i="5"/>
  <c r="J13" i="5"/>
  <c r="Y18" i="13"/>
  <c r="Y17" i="13"/>
  <c r="Q13" i="13"/>
  <c r="M19" i="13"/>
  <c r="I18" i="13"/>
  <c r="I12" i="13"/>
  <c r="T12" i="5"/>
  <c r="L12" i="5"/>
  <c r="AA13" i="13"/>
  <c r="W14" i="13"/>
  <c r="S13" i="13"/>
  <c r="O12" i="13"/>
  <c r="G17" i="13"/>
  <c r="C17" i="13"/>
  <c r="U11" i="5"/>
  <c r="M15" i="5"/>
  <c r="E11" i="5"/>
  <c r="X19" i="13"/>
  <c r="T19" i="13"/>
  <c r="L17" i="13"/>
  <c r="D15" i="13"/>
  <c r="D120" i="13"/>
  <c r="N115" i="13"/>
  <c r="AB117" i="13"/>
  <c r="U118" i="13"/>
  <c r="K112" i="13"/>
  <c r="T110" i="13"/>
  <c r="S116" i="13"/>
  <c r="S103" i="13"/>
  <c r="AB87" i="13"/>
  <c r="AA121" i="13"/>
  <c r="U114" i="13"/>
  <c r="M113" i="13"/>
  <c r="W119" i="13"/>
  <c r="S120" i="13"/>
  <c r="D8" i="9"/>
  <c r="V119" i="13"/>
  <c r="AA106" i="13"/>
  <c r="AB111" i="13"/>
  <c r="AB108" i="13"/>
  <c r="Z98" i="13"/>
  <c r="M114" i="13"/>
  <c r="T105" i="13"/>
  <c r="AC83" i="13"/>
  <c r="AB88" i="13"/>
  <c r="W118" i="13"/>
  <c r="E117" i="13"/>
  <c r="AB109" i="13"/>
  <c r="AB112" i="13"/>
  <c r="D116" i="13"/>
  <c r="AC87" i="13"/>
  <c r="AB76" i="13"/>
  <c r="H88" i="21"/>
  <c r="L88" i="21" s="1"/>
  <c r="AB72" i="13"/>
  <c r="AB97" i="13"/>
  <c r="T107" i="13"/>
  <c r="W102" i="13"/>
  <c r="AC115" i="13"/>
  <c r="AC99" i="13"/>
  <c r="W107" i="13"/>
  <c r="C115" i="13"/>
  <c r="AA115" i="13"/>
  <c r="AA117" i="13"/>
  <c r="AB101" i="13"/>
  <c r="Y102" i="13"/>
  <c r="O114" i="13"/>
  <c r="AB67" i="13"/>
  <c r="U116" i="13"/>
  <c r="S118" i="13"/>
  <c r="S111" i="13"/>
  <c r="U119" i="13"/>
  <c r="D115" i="13"/>
  <c r="AC103" i="13"/>
  <c r="Y113" i="13"/>
  <c r="V120" i="13"/>
  <c r="J113" i="13"/>
  <c r="L121" i="13"/>
  <c r="P110" i="13"/>
  <c r="AC70" i="13"/>
  <c r="E110" i="13"/>
  <c r="W114" i="13"/>
  <c r="V117" i="13"/>
  <c r="L102" i="13"/>
  <c r="V110" i="13"/>
  <c r="AC92" i="13"/>
  <c r="J119" i="13"/>
  <c r="AC71" i="13"/>
  <c r="V114" i="13"/>
  <c r="AB63" i="13"/>
  <c r="K116" i="13"/>
  <c r="AC88" i="13"/>
  <c r="X117" i="13"/>
  <c r="AB91" i="13"/>
  <c r="C8" i="9"/>
  <c r="AC98" i="13"/>
  <c r="W100" i="13"/>
  <c r="AA109" i="13"/>
  <c r="V116" i="13"/>
  <c r="Z106" i="13"/>
  <c r="J98" i="13"/>
  <c r="W105" i="13"/>
  <c r="V107" i="13"/>
  <c r="AB70" i="13"/>
  <c r="N117" i="13"/>
  <c r="T115" i="13"/>
  <c r="AC109" i="13"/>
  <c r="V101" i="13"/>
  <c r="E116" i="13"/>
  <c r="Q121" i="13"/>
  <c r="S98" i="13"/>
  <c r="L103" i="13"/>
  <c r="G121" i="13"/>
  <c r="X100" i="13"/>
  <c r="X119" i="13"/>
  <c r="N8" i="9"/>
  <c r="T104" i="13"/>
  <c r="AA113" i="13"/>
  <c r="AC114" i="13"/>
  <c r="I121" i="13"/>
  <c r="U111" i="13"/>
  <c r="W108" i="13"/>
  <c r="L107" i="13"/>
  <c r="Y112" i="13"/>
  <c r="K118" i="13"/>
  <c r="AC69" i="13"/>
  <c r="M115" i="13"/>
  <c r="O120" i="13"/>
  <c r="G20" i="13"/>
  <c r="H18" i="13"/>
  <c r="L12" i="13"/>
  <c r="H112" i="13"/>
  <c r="AA107" i="13"/>
  <c r="L110" i="13"/>
  <c r="J117" i="13"/>
  <c r="J106" i="13"/>
  <c r="Z115" i="13"/>
  <c r="S102" i="13"/>
  <c r="O121" i="13"/>
  <c r="T99" i="13"/>
  <c r="AB78" i="13"/>
  <c r="AA111" i="13"/>
  <c r="AB71" i="13"/>
  <c r="U100" i="13"/>
  <c r="S105" i="13"/>
  <c r="AB77" i="13"/>
  <c r="AB118" i="13"/>
  <c r="Z110" i="13"/>
  <c r="AA98" i="13"/>
  <c r="V115" i="13"/>
  <c r="O117" i="13"/>
  <c r="L112" i="13"/>
  <c r="AB110" i="13"/>
  <c r="Z108" i="13"/>
  <c r="S104" i="13"/>
  <c r="L119" i="13"/>
  <c r="AC82" i="13"/>
  <c r="Z111" i="13"/>
  <c r="AB83" i="13"/>
  <c r="W112" i="13"/>
  <c r="M117" i="13"/>
  <c r="W115" i="13"/>
  <c r="L120" i="13"/>
  <c r="AC65" i="13"/>
  <c r="J121" i="13"/>
  <c r="W109" i="13"/>
  <c r="O111" i="13"/>
  <c r="E115" i="13"/>
  <c r="U112" i="13"/>
  <c r="L109" i="13"/>
  <c r="Y107" i="13"/>
  <c r="V113" i="13"/>
  <c r="T118" i="13"/>
  <c r="S107" i="13"/>
  <c r="T100" i="13"/>
  <c r="U98" i="13"/>
  <c r="W121" i="13"/>
  <c r="AB86" i="13"/>
  <c r="Z102" i="13"/>
  <c r="O112" i="13"/>
  <c r="X121" i="13"/>
  <c r="S99" i="13"/>
  <c r="AA118" i="13"/>
  <c r="Z101" i="13"/>
  <c r="H116" i="13"/>
  <c r="Z114" i="13"/>
  <c r="K120" i="13"/>
  <c r="Z100" i="13"/>
  <c r="N121" i="13"/>
  <c r="AA116" i="13"/>
  <c r="U101" i="13"/>
  <c r="AC93" i="13"/>
  <c r="J99" i="13"/>
  <c r="G115" i="13"/>
  <c r="N119" i="13"/>
  <c r="E113" i="13"/>
  <c r="O115" i="13"/>
  <c r="L99" i="13"/>
  <c r="L117" i="13"/>
  <c r="Y118" i="13"/>
  <c r="C112" i="13"/>
  <c r="S110" i="13"/>
  <c r="L116" i="13"/>
  <c r="AA108" i="13"/>
  <c r="Y105" i="13"/>
  <c r="L106" i="13"/>
  <c r="X113" i="13"/>
  <c r="J120" i="13"/>
  <c r="AC104" i="13"/>
  <c r="C119" i="13"/>
  <c r="Y100" i="13"/>
  <c r="AB106" i="13"/>
  <c r="AC81" i="13"/>
  <c r="Y111" i="13"/>
  <c r="J103" i="13"/>
  <c r="X116" i="13"/>
  <c r="X107" i="13"/>
  <c r="U110" i="13"/>
  <c r="S112" i="13"/>
  <c r="X102" i="13"/>
  <c r="M118" i="13"/>
  <c r="AB69" i="13"/>
  <c r="H117" i="13"/>
  <c r="I115" i="13"/>
  <c r="X99" i="13"/>
  <c r="G117" i="13"/>
  <c r="Z109" i="13"/>
  <c r="C118" i="13"/>
  <c r="U102" i="13"/>
  <c r="AB64" i="13"/>
  <c r="J110" i="13"/>
  <c r="U107" i="13"/>
  <c r="G116" i="13"/>
  <c r="S108" i="13"/>
  <c r="X111" i="13"/>
  <c r="K121" i="13"/>
  <c r="Y106" i="13"/>
  <c r="X114" i="13"/>
  <c r="T113" i="13"/>
  <c r="AC89" i="13"/>
  <c r="AC80" i="13"/>
  <c r="I8" i="9"/>
  <c r="I14" i="9" s="1"/>
  <c r="U108" i="13"/>
  <c r="V103" i="13"/>
  <c r="N111" i="13"/>
  <c r="AC63" i="13"/>
  <c r="H121" i="13"/>
  <c r="Y121" i="13"/>
  <c r="T114" i="13"/>
  <c r="AB114" i="13"/>
  <c r="S100" i="13"/>
  <c r="G113" i="13"/>
  <c r="AB98" i="13"/>
  <c r="M119" i="13"/>
  <c r="U104" i="13"/>
  <c r="E120" i="13"/>
  <c r="K8" i="9"/>
  <c r="F8" i="9"/>
  <c r="Y120" i="13"/>
  <c r="P120" i="13"/>
  <c r="V104" i="13"/>
  <c r="T119" i="13"/>
  <c r="X98" i="13"/>
  <c r="AB65" i="13"/>
  <c r="C113" i="13"/>
  <c r="AB100" i="13"/>
  <c r="AC90" i="13"/>
  <c r="K114" i="13"/>
  <c r="X106" i="13"/>
  <c r="Z121" i="13"/>
  <c r="S121" i="13"/>
  <c r="L105" i="13"/>
  <c r="W111" i="13"/>
  <c r="J111" i="13"/>
  <c r="X103" i="13"/>
  <c r="X108" i="13"/>
  <c r="Z116" i="13"/>
  <c r="C116" i="13"/>
  <c r="AB107" i="13"/>
  <c r="AC86" i="13"/>
  <c r="O110" i="13"/>
  <c r="Y101" i="13"/>
  <c r="Z112" i="13"/>
  <c r="P112" i="13"/>
  <c r="J102" i="13"/>
  <c r="E118" i="13"/>
  <c r="AC85" i="13"/>
  <c r="S109" i="13"/>
  <c r="D117" i="13"/>
  <c r="V99" i="13"/>
  <c r="L115" i="13"/>
  <c r="R115" i="13"/>
  <c r="X120" i="13"/>
  <c r="T120" i="13"/>
  <c r="G8" i="9"/>
  <c r="AA15" i="5"/>
  <c r="D20" i="13"/>
  <c r="H12" i="13"/>
  <c r="H14" i="13"/>
  <c r="L19" i="13"/>
  <c r="P13" i="13"/>
  <c r="P12" i="13"/>
  <c r="T18" i="13"/>
  <c r="X14" i="13"/>
  <c r="X17" i="13"/>
  <c r="E12" i="5"/>
  <c r="M12" i="5"/>
  <c r="Q12" i="5"/>
  <c r="U12" i="5"/>
  <c r="Y11" i="5"/>
  <c r="C19" i="13"/>
  <c r="G18" i="13"/>
  <c r="G14" i="13"/>
  <c r="O19" i="13"/>
  <c r="O13" i="13"/>
  <c r="S19" i="13"/>
  <c r="W12" i="13"/>
  <c r="W17" i="13"/>
  <c r="AA19" i="13"/>
  <c r="D14" i="5"/>
  <c r="H14" i="5"/>
  <c r="P11" i="5"/>
  <c r="X11" i="5"/>
  <c r="E13" i="13"/>
  <c r="E19" i="13"/>
  <c r="I17" i="13"/>
  <c r="I13" i="13"/>
  <c r="M12" i="13"/>
  <c r="Q14" i="13"/>
  <c r="U17" i="13"/>
  <c r="U12" i="13"/>
  <c r="Y12" i="13"/>
  <c r="F14" i="5"/>
  <c r="N11" i="5"/>
  <c r="R15" i="5"/>
  <c r="Z11" i="5"/>
  <c r="N15" i="5"/>
  <c r="F15" i="13"/>
  <c r="J19" i="13"/>
  <c r="N18" i="13"/>
  <c r="N14" i="13"/>
  <c r="V12" i="13"/>
  <c r="Z14" i="13"/>
  <c r="Z13" i="13"/>
  <c r="G11" i="5"/>
  <c r="K14" i="5"/>
  <c r="O15" i="5"/>
  <c r="S12" i="5"/>
  <c r="AA11" i="5"/>
  <c r="Q19" i="13"/>
  <c r="J7" i="9"/>
  <c r="Q15" i="13"/>
  <c r="F12" i="5"/>
  <c r="V15" i="5"/>
  <c r="R15" i="13"/>
  <c r="V15" i="13"/>
  <c r="K13" i="5"/>
  <c r="Z15" i="5"/>
  <c r="K12" i="5"/>
  <c r="F15" i="5"/>
  <c r="C15" i="5"/>
  <c r="D19" i="13"/>
  <c r="K19" i="13"/>
  <c r="U21" i="13"/>
  <c r="AB18" i="13"/>
  <c r="E16" i="13"/>
  <c r="F16" i="13"/>
  <c r="L16" i="13"/>
  <c r="P16" i="13"/>
  <c r="T16" i="13"/>
  <c r="X16" i="13"/>
  <c r="F19" i="13"/>
  <c r="R17" i="13"/>
  <c r="W20" i="13"/>
  <c r="AC18" i="13"/>
  <c r="F12" i="13"/>
  <c r="D17" i="13"/>
  <c r="L20" i="13"/>
  <c r="S21" i="13"/>
  <c r="AA21" i="13"/>
  <c r="F14" i="13"/>
  <c r="AC14" i="13"/>
  <c r="E14" i="5"/>
  <c r="O14" i="5"/>
  <c r="S14" i="5"/>
  <c r="W14" i="5"/>
  <c r="AA14" i="5"/>
  <c r="AA19" i="5" s="1"/>
  <c r="AA23" i="5" s="1"/>
  <c r="AB13" i="5"/>
  <c r="L15" i="5"/>
  <c r="AB16" i="13"/>
  <c r="U15" i="13"/>
  <c r="M20" i="13"/>
  <c r="U20" i="13"/>
  <c r="K18" i="13"/>
  <c r="S15" i="13"/>
  <c r="J15" i="13"/>
  <c r="Q115" i="13"/>
  <c r="AB99" i="13"/>
  <c r="T102" i="13"/>
  <c r="X112" i="13"/>
  <c r="W110" i="13"/>
  <c r="AB103" i="13"/>
  <c r="D121" i="13"/>
  <c r="AB89" i="13"/>
  <c r="AA120" i="13"/>
  <c r="AC95" i="13"/>
  <c r="AA114" i="13"/>
  <c r="AC73" i="13"/>
  <c r="T111" i="13"/>
  <c r="AC108" i="13"/>
  <c r="AC101" i="13"/>
  <c r="M112" i="13"/>
  <c r="G118" i="13"/>
  <c r="AB93" i="13"/>
  <c r="AA99" i="13"/>
  <c r="T117" i="13"/>
  <c r="V118" i="13"/>
  <c r="AC102" i="13"/>
  <c r="G112" i="13"/>
  <c r="G110" i="13"/>
  <c r="Z107" i="13"/>
  <c r="AA103" i="13"/>
  <c r="AC111" i="13"/>
  <c r="L114" i="13"/>
  <c r="AB66" i="13"/>
  <c r="K113" i="13"/>
  <c r="Z119" i="13"/>
  <c r="G120" i="13"/>
  <c r="Y108" i="13"/>
  <c r="G111" i="13"/>
  <c r="X105" i="13"/>
  <c r="T106" i="13"/>
  <c r="G114" i="13"/>
  <c r="AB90" i="13"/>
  <c r="W113" i="13"/>
  <c r="AC74" i="13"/>
  <c r="X104" i="13"/>
  <c r="AC120" i="13"/>
  <c r="M120" i="13"/>
  <c r="N120" i="13"/>
  <c r="P119" i="13"/>
  <c r="W98" i="13"/>
  <c r="S113" i="13"/>
  <c r="AA100" i="13"/>
  <c r="J114" i="13"/>
  <c r="W106" i="13"/>
  <c r="P121" i="13"/>
  <c r="J105" i="13"/>
  <c r="E111" i="13"/>
  <c r="U103" i="13"/>
  <c r="Y116" i="13"/>
  <c r="P116" i="13"/>
  <c r="AC110" i="13"/>
  <c r="N110" i="13"/>
  <c r="X101" i="13"/>
  <c r="AB102" i="13"/>
  <c r="AC94" i="13"/>
  <c r="Y109" i="13"/>
  <c r="K117" i="13"/>
  <c r="AC91" i="13"/>
  <c r="O8" i="9"/>
  <c r="W120" i="13"/>
  <c r="Z104" i="13"/>
  <c r="I12" i="5"/>
  <c r="C11" i="5"/>
  <c r="M13" i="13"/>
  <c r="H17" i="13"/>
  <c r="L13" i="13"/>
  <c r="P19" i="13"/>
  <c r="H116" i="21"/>
  <c r="J116" i="21" s="1" a="1"/>
  <c r="J116" i="21" s="1"/>
  <c r="P117" i="13"/>
  <c r="S115" i="13"/>
  <c r="Z99" i="13"/>
  <c r="L118" i="13"/>
  <c r="D112" i="13"/>
  <c r="Y110" i="13"/>
  <c r="J108" i="13"/>
  <c r="U105" i="13"/>
  <c r="S114" i="13"/>
  <c r="AB119" i="13"/>
  <c r="H119" i="13"/>
  <c r="M121" i="13"/>
  <c r="AB116" i="13"/>
  <c r="J101" i="13"/>
  <c r="P118" i="13"/>
  <c r="P115" i="13"/>
  <c r="AC119" i="13"/>
  <c r="AA110" i="13"/>
  <c r="L8" i="9"/>
  <c r="V109" i="13"/>
  <c r="AB120" i="13"/>
  <c r="D111" i="13"/>
  <c r="C117" i="13"/>
  <c r="P114" i="13"/>
  <c r="U115" i="13"/>
  <c r="Z103" i="13"/>
  <c r="AC97" i="13"/>
  <c r="H115" i="13"/>
  <c r="Z105" i="13"/>
  <c r="S106" i="13"/>
  <c r="K110" i="13"/>
  <c r="O116" i="13"/>
  <c r="Y119" i="13"/>
  <c r="H839" i="21"/>
  <c r="H112" i="21"/>
  <c r="H113" i="21"/>
  <c r="I113" i="21" s="1"/>
  <c r="H196" i="21"/>
  <c r="J196" i="21" s="1" a="1"/>
  <c r="J196" i="21" s="1"/>
  <c r="H48" i="21"/>
  <c r="H507" i="21"/>
  <c r="H453" i="21"/>
  <c r="L453" i="21" s="1"/>
  <c r="H171" i="21"/>
  <c r="P171" i="21" s="1"/>
  <c r="E10" i="5"/>
  <c r="Y73" i="13"/>
  <c r="H49" i="21"/>
  <c r="J49" i="21" s="1" a="1"/>
  <c r="J49" i="21" s="1"/>
  <c r="H67" i="21"/>
  <c r="J67" i="21" s="1" a="1"/>
  <c r="J67" i="21" s="1"/>
  <c r="H52" i="21"/>
  <c r="P52" i="21" s="1"/>
  <c r="E7" i="9"/>
  <c r="K7" i="9"/>
  <c r="H153" i="21"/>
  <c r="P153" i="21" s="1"/>
  <c r="H68" i="21"/>
  <c r="J68" i="21" s="1" a="1"/>
  <c r="J68" i="21" s="1"/>
  <c r="H96" i="21"/>
  <c r="I96" i="21" s="1"/>
  <c r="B4" i="9"/>
  <c r="L7" i="9"/>
  <c r="B7" i="9"/>
  <c r="C7" i="9"/>
  <c r="N7" i="9"/>
  <c r="D4" i="9"/>
  <c r="O7" i="9"/>
  <c r="F7" i="9"/>
  <c r="H124" i="21"/>
  <c r="I124" i="21" s="1"/>
  <c r="D10" i="5"/>
  <c r="A8" i="5"/>
  <c r="C10" i="5"/>
  <c r="A7" i="5"/>
  <c r="AB8" i="5"/>
  <c r="M5" i="9"/>
  <c r="AC6" i="5"/>
  <c r="K5" i="9"/>
  <c r="AC3" i="5"/>
  <c r="H97" i="21"/>
  <c r="I97" i="21" s="1"/>
  <c r="AB6" i="5"/>
  <c r="AC9" i="5"/>
  <c r="A6" i="5"/>
  <c r="AC8" i="5"/>
  <c r="P103" i="13"/>
  <c r="AC326" i="9" a="1"/>
  <c r="AC326" i="9" s="1"/>
  <c r="AJ326" i="9" s="1"/>
  <c r="H100" i="21"/>
  <c r="H181" i="21"/>
  <c r="J181" i="21" s="1" a="1"/>
  <c r="J181" i="21" s="1"/>
  <c r="H149" i="21"/>
  <c r="P149" i="21" s="1"/>
  <c r="H150" i="21"/>
  <c r="J150" i="21" s="1" a="1"/>
  <c r="J150" i="21" s="1"/>
  <c r="AF234" i="9"/>
  <c r="AM234" i="9" s="1"/>
  <c r="AF294" i="9"/>
  <c r="AM294" i="9" s="1"/>
  <c r="H99" i="21"/>
  <c r="J99" i="21" s="1" a="1"/>
  <c r="J99" i="21" s="1"/>
  <c r="H103" i="21"/>
  <c r="J103" i="21" s="1" a="1"/>
  <c r="J103" i="21" s="1"/>
  <c r="AH112" i="9"/>
  <c r="AO112" i="9" s="1"/>
  <c r="AF83" i="9"/>
  <c r="AM83" i="9" s="1"/>
  <c r="AH375" i="9"/>
  <c r="AO375" i="9" s="1"/>
  <c r="AF53" i="9"/>
  <c r="AM53" i="9" s="1"/>
  <c r="AI21" i="9"/>
  <c r="AP21" i="9" s="1"/>
  <c r="AD8" i="9"/>
  <c r="AK8" i="9" s="1"/>
  <c r="AV8" i="9" s="1"/>
  <c r="C11" i="13"/>
  <c r="AH22" i="9"/>
  <c r="AO22" i="9" s="1"/>
  <c r="AD53" i="9"/>
  <c r="AK53" i="9" s="1"/>
  <c r="AV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R461" i="9" s="1"/>
  <c r="AC139" i="9" a="1"/>
  <c r="AC139" i="9" s="1"/>
  <c r="AJ139" i="9" s="1"/>
  <c r="AH5" i="9"/>
  <c r="AO5" i="9" s="1"/>
  <c r="F283" i="21"/>
  <c r="AI375" i="9"/>
  <c r="AP375" i="9" s="1"/>
  <c r="AF8" i="9"/>
  <c r="AM8" i="9" s="1"/>
  <c r="AI493" i="9"/>
  <c r="AP493" i="9" s="1"/>
  <c r="AD54" i="9"/>
  <c r="AK54" i="9" s="1"/>
  <c r="AV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V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V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Q115" i="9" s="1"/>
  <c r="AD102" i="9"/>
  <c r="AQ102" i="9" s="1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V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V287" i="9" s="1"/>
  <c r="AH369" i="9"/>
  <c r="AO369" i="9" s="1"/>
  <c r="AE76" i="9"/>
  <c r="AL76" i="9" s="1"/>
  <c r="AI499" i="9"/>
  <c r="AP499" i="9" s="1"/>
  <c r="AD435" i="9"/>
  <c r="AR435" i="9" s="1"/>
  <c r="AI403" i="9"/>
  <c r="AP403" i="9" s="1"/>
  <c r="AH371" i="9"/>
  <c r="AO371" i="9" s="1"/>
  <c r="AE355" i="9"/>
  <c r="AL355" i="9" s="1"/>
  <c r="AD275" i="9"/>
  <c r="AQ275" i="9" s="1"/>
  <c r="AC179" i="9" a="1"/>
  <c r="AC179" i="9" s="1"/>
  <c r="AJ179" i="9" s="1"/>
  <c r="AI479" i="9"/>
  <c r="AP479" i="9" s="1"/>
  <c r="AH392" i="9"/>
  <c r="AO392" i="9" s="1"/>
  <c r="AI365" i="9"/>
  <c r="AP365" i="9" s="1"/>
  <c r="AD237" i="9"/>
  <c r="AQ237" i="9" s="1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V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V30" i="9" s="1"/>
  <c r="AG20" i="9"/>
  <c r="AN20" i="9" s="1"/>
  <c r="AD78" i="9"/>
  <c r="AK78" i="9" s="1"/>
  <c r="AV78" i="9" s="1"/>
  <c r="AE3" i="9"/>
  <c r="AL3" i="9" s="1"/>
  <c r="AC69" i="9" a="1"/>
  <c r="AC69" i="9" s="1"/>
  <c r="AJ69" i="9" s="1"/>
  <c r="AH98" i="9"/>
  <c r="AO98" i="9" s="1"/>
  <c r="AD420" i="9"/>
  <c r="AK420" i="9" s="1"/>
  <c r="AV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V46" i="9" s="1"/>
  <c r="AG14" i="9"/>
  <c r="AN14" i="9" s="1"/>
  <c r="AF17" i="9"/>
  <c r="AM17" i="9" s="1"/>
  <c r="AH498" i="9"/>
  <c r="AO498" i="9" s="1"/>
  <c r="AB9" i="5"/>
  <c r="H118" i="21"/>
  <c r="P118" i="21" s="1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F263" i="21"/>
  <c r="H148" i="21"/>
  <c r="J148" i="21" s="1" a="1"/>
  <c r="J148" i="21" s="1"/>
  <c r="H108" i="21"/>
  <c r="L108" i="21" s="1"/>
  <c r="H180" i="21"/>
  <c r="L180" i="21" s="1"/>
  <c r="AD145" i="9"/>
  <c r="AQ145" i="9" s="1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R189" i="9" s="1"/>
  <c r="AI20" i="9"/>
  <c r="AP20" i="9" s="1"/>
  <c r="AD14" i="9"/>
  <c r="AE36" i="9"/>
  <c r="AL36" i="9" s="1"/>
  <c r="AD11" i="9"/>
  <c r="AK11" i="9" s="1"/>
  <c r="AV11" i="9" s="1"/>
  <c r="AE29" i="9"/>
  <c r="AL29" i="9" s="1"/>
  <c r="H152" i="21"/>
  <c r="L152" i="21" s="1"/>
  <c r="AD438" i="9"/>
  <c r="AR438" i="9" s="1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R101" i="9" s="1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V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H92" i="21"/>
  <c r="I92" i="21" s="1"/>
  <c r="H122" i="21"/>
  <c r="L122" i="21" s="1"/>
  <c r="H183" i="21"/>
  <c r="I183" i="21" s="1"/>
  <c r="C5" i="9"/>
  <c r="I109" i="13"/>
  <c r="H154" i="21"/>
  <c r="J154" i="21" s="1" a="1"/>
  <c r="J154" i="21" s="1"/>
  <c r="AD150" i="9"/>
  <c r="AK150" i="9" s="1"/>
  <c r="AV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Q500" i="9" s="1"/>
  <c r="AF372" i="9"/>
  <c r="AM372" i="9" s="1"/>
  <c r="AG356" i="9"/>
  <c r="AN356" i="9" s="1"/>
  <c r="AD244" i="9"/>
  <c r="AQ244" i="9" s="1"/>
  <c r="AD212" i="9"/>
  <c r="AQ212" i="9" s="1"/>
  <c r="AF164" i="9"/>
  <c r="AM164" i="9" s="1"/>
  <c r="AE154" i="9"/>
  <c r="AL154" i="9" s="1"/>
  <c r="AF489" i="9"/>
  <c r="AM489" i="9" s="1"/>
  <c r="AG407" i="9"/>
  <c r="AN407" i="9" s="1"/>
  <c r="AD375" i="9"/>
  <c r="AR375" i="9" s="1"/>
  <c r="AF311" i="9"/>
  <c r="AM311" i="9" s="1"/>
  <c r="AH470" i="9"/>
  <c r="AO470" i="9" s="1"/>
  <c r="AD293" i="9"/>
  <c r="AK293" i="9" s="1"/>
  <c r="AV293" i="9" s="1"/>
  <c r="AI469" i="9"/>
  <c r="AP469" i="9" s="1"/>
  <c r="AG421" i="9"/>
  <c r="AN421" i="9" s="1"/>
  <c r="AI367" i="9"/>
  <c r="AP367" i="9" s="1"/>
  <c r="AG111" i="9"/>
  <c r="AN111" i="9" s="1"/>
  <c r="AD476" i="9"/>
  <c r="AQ476" i="9" s="1"/>
  <c r="AD140" i="9"/>
  <c r="AR140" i="9" s="1"/>
  <c r="AD445" i="9"/>
  <c r="AQ445" i="9" s="1"/>
  <c r="AH265" i="9"/>
  <c r="AO265" i="9" s="1"/>
  <c r="AH436" i="9"/>
  <c r="AO436" i="9" s="1"/>
  <c r="AH88" i="9"/>
  <c r="AO88" i="9" s="1"/>
  <c r="AD408" i="9"/>
  <c r="AR408" i="9" s="1"/>
  <c r="AF494" i="9"/>
  <c r="AM494" i="9" s="1"/>
  <c r="AG487" i="9"/>
  <c r="AN487" i="9" s="1"/>
  <c r="AD378" i="9"/>
  <c r="AR378" i="9" s="1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V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F273" i="21"/>
  <c r="F278" i="21"/>
  <c r="F266" i="21"/>
  <c r="F271" i="21"/>
  <c r="F275" i="21"/>
  <c r="AH46" i="9"/>
  <c r="AO46" i="9" s="1"/>
  <c r="AC43" i="9" a="1"/>
  <c r="AC43" i="9" s="1"/>
  <c r="AJ43" i="9" s="1"/>
  <c r="AC478" i="9" a="1"/>
  <c r="AC478" i="9" s="1"/>
  <c r="AJ478" i="9" s="1"/>
  <c r="H174" i="21"/>
  <c r="J174" i="21" s="1" a="1"/>
  <c r="J174" i="21" s="1"/>
  <c r="H94" i="21"/>
  <c r="P94" i="21" s="1"/>
  <c r="F282" i="2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H127" i="21"/>
  <c r="H95" i="21"/>
  <c r="L95" i="21" s="1"/>
  <c r="H159" i="21"/>
  <c r="J159" i="21" s="1" a="1"/>
  <c r="J159" i="21" s="1"/>
  <c r="AD374" i="9"/>
  <c r="AR374" i="9" s="1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V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V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Q87" i="9" s="1"/>
  <c r="AH21" i="9"/>
  <c r="AO21" i="9" s="1"/>
  <c r="AG53" i="9"/>
  <c r="AN53" i="9" s="1"/>
  <c r="AG108" i="9"/>
  <c r="AN108" i="9" s="1"/>
  <c r="I5" i="9"/>
  <c r="AF158" i="9"/>
  <c r="AM158" i="9" s="1"/>
  <c r="AD342" i="9"/>
  <c r="AK342" i="9" s="1"/>
  <c r="AV342" i="9" s="1"/>
  <c r="AH214" i="9"/>
  <c r="AO214" i="9" s="1"/>
  <c r="AD136" i="9"/>
  <c r="AR136" i="9" s="1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V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R71" i="9" s="1"/>
  <c r="AE39" i="9"/>
  <c r="AL39" i="9" s="1"/>
  <c r="AD93" i="9"/>
  <c r="AQ93" i="9" s="1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R345" i="9" s="1"/>
  <c r="AE345" i="9"/>
  <c r="AL345" i="9" s="1"/>
  <c r="L6" i="9"/>
  <c r="AE375" i="9"/>
  <c r="AL375" i="9" s="1"/>
  <c r="AD498" i="9"/>
  <c r="AQ498" i="9" s="1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Q404" i="9" s="1"/>
  <c r="AD108" i="9"/>
  <c r="AK108" i="9" s="1"/>
  <c r="AV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V21" i="9" s="1"/>
  <c r="AI54" i="9"/>
  <c r="AP54" i="9" s="1"/>
  <c r="AF24" i="9"/>
  <c r="AM24" i="9" s="1"/>
  <c r="AD230" i="9"/>
  <c r="AK230" i="9" s="1"/>
  <c r="AV230" i="9" s="1"/>
  <c r="AH24" i="9"/>
  <c r="AO24" i="9" s="1"/>
  <c r="U91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R484" i="9" s="1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V43" i="9" s="1"/>
  <c r="AI71" i="9"/>
  <c r="AP71" i="9" s="1"/>
  <c r="R103" i="13"/>
  <c r="J5" i="9"/>
  <c r="E5" i="9"/>
  <c r="H6" i="9"/>
  <c r="E6" i="9"/>
  <c r="M6" i="9"/>
  <c r="F264" i="21"/>
  <c r="F270" i="21"/>
  <c r="F267" i="21"/>
  <c r="F265" i="21"/>
  <c r="F284" i="21"/>
  <c r="F260" i="21"/>
  <c r="F269" i="21"/>
  <c r="F272" i="21"/>
  <c r="F258" i="21"/>
  <c r="F274" i="21"/>
  <c r="F279" i="21"/>
  <c r="F268" i="21"/>
  <c r="F280" i="21"/>
  <c r="F277" i="21"/>
  <c r="F262" i="21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AV39" i="9" s="1"/>
  <c r="F261" i="21"/>
  <c r="F276" i="21"/>
  <c r="F281" i="2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V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Q95" i="9" s="1"/>
  <c r="AF490" i="9"/>
  <c r="AM490" i="9" s="1"/>
  <c r="AH474" i="9"/>
  <c r="AO474" i="9" s="1"/>
  <c r="AH489" i="9"/>
  <c r="AO489" i="9" s="1"/>
  <c r="AH441" i="9"/>
  <c r="AO441" i="9" s="1"/>
  <c r="AD425" i="9"/>
  <c r="AR425" i="9" s="1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R308" i="9" s="1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AD410" i="9"/>
  <c r="AR410" i="9" s="1"/>
  <c r="AH346" i="9"/>
  <c r="AO346" i="9" s="1"/>
  <c r="AG266" i="9"/>
  <c r="AN266" i="9" s="1"/>
  <c r="AD170" i="9"/>
  <c r="AQ170" i="9" s="1"/>
  <c r="H147" i="21"/>
  <c r="P147" i="21" s="1"/>
  <c r="AH267" i="9"/>
  <c r="AO267" i="9" s="1"/>
  <c r="AD235" i="9"/>
  <c r="AK235" i="9" s="1"/>
  <c r="AV235" i="9" s="1"/>
  <c r="AI203" i="9"/>
  <c r="AP203" i="9" s="1"/>
  <c r="AG123" i="9"/>
  <c r="AN123" i="9" s="1"/>
  <c r="AD107" i="9"/>
  <c r="AQ107" i="9" s="1"/>
  <c r="AD444" i="9"/>
  <c r="AQ444" i="9" s="1"/>
  <c r="AF412" i="9"/>
  <c r="AM412" i="9" s="1"/>
  <c r="AD380" i="9"/>
  <c r="AR380" i="9" s="1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V384" i="9" s="1"/>
  <c r="AG336" i="9"/>
  <c r="AN336" i="9" s="1"/>
  <c r="AG320" i="9"/>
  <c r="AN320" i="9" s="1"/>
  <c r="AD288" i="9"/>
  <c r="AQ288" i="9" s="1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V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Q459" i="9" s="1"/>
  <c r="AI443" i="9"/>
  <c r="AP443" i="9" s="1"/>
  <c r="AC413" i="9" a="1"/>
  <c r="AC413" i="9" s="1"/>
  <c r="AJ413" i="9" s="1"/>
  <c r="AI349" i="9"/>
  <c r="AP349" i="9" s="1"/>
  <c r="AD285" i="9"/>
  <c r="AQ285" i="9" s="1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R261" i="9" s="1"/>
  <c r="AH197" i="9"/>
  <c r="AO197" i="9" s="1"/>
  <c r="AF352" i="9"/>
  <c r="AM352" i="9" s="1"/>
  <c r="AD97" i="9"/>
  <c r="AQ97" i="9" s="1"/>
  <c r="AC401" i="9" a="1"/>
  <c r="AC401" i="9" s="1"/>
  <c r="AJ401" i="9" s="1"/>
  <c r="AF338" i="9"/>
  <c r="AM338" i="9" s="1"/>
  <c r="AH59" i="9"/>
  <c r="AO59" i="9" s="1"/>
  <c r="AD27" i="9"/>
  <c r="AK27" i="9" s="1"/>
  <c r="AV27" i="9" s="1"/>
  <c r="AH100" i="9"/>
  <c r="AO100" i="9" s="1"/>
  <c r="AD146" i="9"/>
  <c r="AQ146" i="9" s="1"/>
  <c r="AD455" i="9"/>
  <c r="AK455" i="9" s="1"/>
  <c r="AV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V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AG126" i="9"/>
  <c r="AN126" i="9" s="1"/>
  <c r="AI126" i="9"/>
  <c r="AP126" i="9" s="1"/>
  <c r="AE310" i="9"/>
  <c r="AL310" i="9" s="1"/>
  <c r="AD310" i="9"/>
  <c r="AK310" i="9" s="1"/>
  <c r="AV310" i="9" s="1"/>
  <c r="AI231" i="9"/>
  <c r="AP231" i="9" s="1"/>
  <c r="AH231" i="9"/>
  <c r="AO231" i="9" s="1"/>
  <c r="AF96" i="9"/>
  <c r="AM96" i="9" s="1"/>
  <c r="AD96" i="9"/>
  <c r="AQ96" i="9" s="1"/>
  <c r="AC458" i="9" a="1"/>
  <c r="AC458" i="9" s="1"/>
  <c r="AJ458" i="9" s="1"/>
  <c r="AF458" i="9"/>
  <c r="AM458" i="9" s="1"/>
  <c r="AI458" i="9"/>
  <c r="AP458" i="9" s="1"/>
  <c r="AD458" i="9"/>
  <c r="AR458" i="9" s="1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R314" i="9" s="1"/>
  <c r="AF250" i="9"/>
  <c r="AM250" i="9" s="1"/>
  <c r="AI250" i="9"/>
  <c r="AP250" i="9" s="1"/>
  <c r="AD250" i="9"/>
  <c r="AK250" i="9" s="1"/>
  <c r="AV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R117" i="9" s="1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V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V196" i="9" s="1"/>
  <c r="AF460" i="9"/>
  <c r="AM460" i="9" s="1"/>
  <c r="AH460" i="9"/>
  <c r="AO460" i="9" s="1"/>
  <c r="AD396" i="9"/>
  <c r="AQ396" i="9" s="1"/>
  <c r="AF396" i="9"/>
  <c r="AM396" i="9" s="1"/>
  <c r="AD188" i="9"/>
  <c r="AK188" i="9" s="1"/>
  <c r="AV188" i="9" s="1"/>
  <c r="AH188" i="9"/>
  <c r="AO188" i="9" s="1"/>
  <c r="AI162" i="9"/>
  <c r="AP162" i="9" s="1"/>
  <c r="AC162" i="9" a="1"/>
  <c r="AC162" i="9" s="1"/>
  <c r="AJ162" i="9" s="1"/>
  <c r="AD497" i="9"/>
  <c r="AR497" i="9" s="1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Q419" i="9" s="1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R339" i="9" s="1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R211" i="9" s="1"/>
  <c r="AD163" i="9"/>
  <c r="AK163" i="9" s="1"/>
  <c r="AV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V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Q365" i="9" s="1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V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V42" i="9" s="1"/>
  <c r="AC495" i="9" a="1"/>
  <c r="AC495" i="9" s="1"/>
  <c r="AJ495" i="9" s="1"/>
  <c r="AF495" i="9"/>
  <c r="AM495" i="9" s="1"/>
  <c r="AD495" i="9"/>
  <c r="AK495" i="9" s="1"/>
  <c r="AV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Q383" i="9" s="1"/>
  <c r="AG383" i="9"/>
  <c r="AN383" i="9" s="1"/>
  <c r="AF383" i="9"/>
  <c r="AM383" i="9" s="1"/>
  <c r="AG55" i="9"/>
  <c r="AN55" i="9" s="1"/>
  <c r="AI55" i="9"/>
  <c r="AP55" i="9" s="1"/>
  <c r="AD55" i="9"/>
  <c r="AK55" i="9" s="1"/>
  <c r="AV55" i="9" s="1"/>
  <c r="AE55" i="9"/>
  <c r="AL55" i="9" s="1"/>
  <c r="AF55" i="9"/>
  <c r="AM55" i="9" s="1"/>
  <c r="AI70" i="9"/>
  <c r="AP70" i="9" s="1"/>
  <c r="AG70" i="9"/>
  <c r="AN70" i="9" s="1"/>
  <c r="AD70" i="9"/>
  <c r="AK70" i="9" s="1"/>
  <c r="AV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V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V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V245" i="9" s="1"/>
  <c r="AI388" i="9"/>
  <c r="AP388" i="9" s="1"/>
  <c r="AE388" i="9"/>
  <c r="AL388" i="9" s="1"/>
  <c r="AD388" i="9"/>
  <c r="AR388" i="9" s="1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V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V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Q286" i="9" s="1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V201" i="9" s="1"/>
  <c r="AI169" i="9"/>
  <c r="AP169" i="9" s="1"/>
  <c r="AF169" i="9"/>
  <c r="AM169" i="9" s="1"/>
  <c r="AD169" i="9"/>
  <c r="AQ169" i="9" s="1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V439" i="9" s="1"/>
  <c r="AH439" i="9"/>
  <c r="AO439" i="9" s="1"/>
  <c r="AE490" i="9"/>
  <c r="AL490" i="9" s="1"/>
  <c r="AD490" i="9"/>
  <c r="AQ490" i="9" s="1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Q442" i="9" s="1"/>
  <c r="AC426" i="9" a="1"/>
  <c r="AC426" i="9" s="1"/>
  <c r="AJ426" i="9" s="1"/>
  <c r="AE426" i="9"/>
  <c r="AL426" i="9" s="1"/>
  <c r="AD426" i="9"/>
  <c r="AQ426" i="9" s="1"/>
  <c r="AH426" i="9"/>
  <c r="AO426" i="9" s="1"/>
  <c r="AG394" i="9"/>
  <c r="AN394" i="9" s="1"/>
  <c r="AE394" i="9"/>
  <c r="AL394" i="9" s="1"/>
  <c r="AH394" i="9"/>
  <c r="AO394" i="9" s="1"/>
  <c r="AD394" i="9"/>
  <c r="AQ394" i="9" s="1"/>
  <c r="AG362" i="9"/>
  <c r="AN362" i="9" s="1"/>
  <c r="AH362" i="9"/>
  <c r="AO362" i="9" s="1"/>
  <c r="AD362" i="9"/>
  <c r="AQ362" i="9" s="1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Q282" i="9" s="1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V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R218" i="9" s="1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Q311" i="9" s="1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Q149" i="9" s="1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Q124" i="9" s="1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V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Q132" i="9" s="1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R399" i="9" s="1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Q299" i="9" s="1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R139" i="9" s="1"/>
  <c r="AI139" i="9"/>
  <c r="AP139" i="9" s="1"/>
  <c r="AH139" i="9"/>
  <c r="AO139" i="9" s="1"/>
  <c r="AC492" i="9" a="1"/>
  <c r="AC492" i="9" s="1"/>
  <c r="AJ492" i="9" s="1"/>
  <c r="AD492" i="9"/>
  <c r="AK492" i="9" s="1"/>
  <c r="AV492" i="9" s="1"/>
  <c r="AC476" i="9" a="1"/>
  <c r="AC476" i="9" s="1"/>
  <c r="AJ476" i="9" s="1"/>
  <c r="AG476" i="9"/>
  <c r="AN476" i="9" s="1"/>
  <c r="AD428" i="9"/>
  <c r="AK428" i="9" s="1"/>
  <c r="AV428" i="9" s="1"/>
  <c r="AF428" i="9"/>
  <c r="AM428" i="9" s="1"/>
  <c r="AD348" i="9"/>
  <c r="AR348" i="9" s="1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R284" i="9" s="1"/>
  <c r="AC268" i="9" a="1"/>
  <c r="AC268" i="9" s="1"/>
  <c r="AJ268" i="9" s="1"/>
  <c r="AD268" i="9"/>
  <c r="AK268" i="9" s="1"/>
  <c r="AV268" i="9" s="1"/>
  <c r="AF268" i="9"/>
  <c r="AM268" i="9" s="1"/>
  <c r="AD220" i="9"/>
  <c r="AQ220" i="9" s="1"/>
  <c r="AF220" i="9"/>
  <c r="AM220" i="9" s="1"/>
  <c r="AH220" i="9"/>
  <c r="AO220" i="9" s="1"/>
  <c r="AG220" i="9"/>
  <c r="AN220" i="9" s="1"/>
  <c r="AE204" i="9"/>
  <c r="AL204" i="9" s="1"/>
  <c r="AD204" i="9"/>
  <c r="AR204" i="9" s="1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V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V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V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V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V31" i="9" s="1"/>
  <c r="AG31" i="9"/>
  <c r="AN31" i="9" s="1"/>
  <c r="AD85" i="9"/>
  <c r="AQ85" i="9" s="1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Q128" i="9" s="1"/>
  <c r="AF403" i="9"/>
  <c r="AM403" i="9" s="1"/>
  <c r="AD403" i="9"/>
  <c r="AG403" i="9"/>
  <c r="AN403" i="9" s="1"/>
  <c r="AH403" i="9"/>
  <c r="AO403" i="9" s="1"/>
  <c r="AD371" i="9"/>
  <c r="AR371" i="9" s="1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Q291" i="9" s="1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Q119" i="9" s="1"/>
  <c r="AG119" i="9"/>
  <c r="AN119" i="9" s="1"/>
  <c r="AH119" i="9"/>
  <c r="AO119" i="9" s="1"/>
  <c r="AF119" i="9"/>
  <c r="AM119" i="9" s="1"/>
  <c r="AI119" i="9"/>
  <c r="AP119" i="9" s="1"/>
  <c r="AD472" i="9"/>
  <c r="AK472" i="9" s="1"/>
  <c r="AV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Q456" i="9" s="1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V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V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V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V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Q221" i="9" s="1"/>
  <c r="AE157" i="9"/>
  <c r="AL157" i="9" s="1"/>
  <c r="AI157" i="9"/>
  <c r="AP157" i="9" s="1"/>
  <c r="AG157" i="9"/>
  <c r="AN157" i="9" s="1"/>
  <c r="AD157" i="9"/>
  <c r="AR157" i="9" s="1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V341" i="9" s="1"/>
  <c r="AG341" i="9"/>
  <c r="AN341" i="9" s="1"/>
  <c r="AH341" i="9"/>
  <c r="AO341" i="9" s="1"/>
  <c r="AE309" i="9"/>
  <c r="AL309" i="9" s="1"/>
  <c r="AD309" i="9"/>
  <c r="AR309" i="9" s="1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V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V58" i="9" s="1"/>
  <c r="AI58" i="9"/>
  <c r="AP58" i="9" s="1"/>
  <c r="AG58" i="9"/>
  <c r="AN58" i="9" s="1"/>
  <c r="AG59" i="9"/>
  <c r="AN59" i="9" s="1"/>
  <c r="AD59" i="9"/>
  <c r="AQ59" i="9" s="1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R479" i="9" s="1"/>
  <c r="AC479" i="9" a="1"/>
  <c r="AC479" i="9" s="1"/>
  <c r="AJ479" i="9" s="1"/>
  <c r="AG351" i="9"/>
  <c r="AN351" i="9" s="1"/>
  <c r="AI351" i="9"/>
  <c r="AP351" i="9" s="1"/>
  <c r="AD351" i="9"/>
  <c r="AK351" i="9" s="1"/>
  <c r="AV351" i="9" s="1"/>
  <c r="AC351" i="9" a="1"/>
  <c r="AC351" i="9" s="1"/>
  <c r="AJ351" i="9" s="1"/>
  <c r="AG289" i="9"/>
  <c r="AN289" i="9" s="1"/>
  <c r="AH289" i="9"/>
  <c r="AO289" i="9" s="1"/>
  <c r="AD225" i="9"/>
  <c r="AR225" i="9" s="1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V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V38" i="9" s="1"/>
  <c r="AI38" i="9"/>
  <c r="AP38" i="9" s="1"/>
  <c r="AI6" i="9"/>
  <c r="AP6" i="9" s="1"/>
  <c r="AH6" i="9"/>
  <c r="AO6" i="9" s="1"/>
  <c r="AD6" i="9"/>
  <c r="AK6" i="9" s="1"/>
  <c r="AV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Q80" i="9" s="1"/>
  <c r="AC80" i="9" a="1"/>
  <c r="AC80" i="9" s="1"/>
  <c r="AJ80" i="9" s="1"/>
  <c r="AG32" i="9"/>
  <c r="AN32" i="9" s="1"/>
  <c r="AH32" i="9"/>
  <c r="AO32" i="9" s="1"/>
  <c r="AD32" i="9"/>
  <c r="AK32" i="9" s="1"/>
  <c r="AV32" i="9" s="1"/>
  <c r="AE32" i="9"/>
  <c r="AL32" i="9" s="1"/>
  <c r="AD16" i="9"/>
  <c r="AK16" i="9" s="1"/>
  <c r="AV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V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V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Q89" i="9" s="1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V466" i="9" s="1"/>
  <c r="AG269" i="9"/>
  <c r="AN269" i="9" s="1"/>
  <c r="AC269" i="9" a="1"/>
  <c r="AC269" i="9" s="1"/>
  <c r="AJ269" i="9" s="1"/>
  <c r="AH269" i="9"/>
  <c r="AO269" i="9" s="1"/>
  <c r="AD269" i="9"/>
  <c r="AK269" i="9" s="1"/>
  <c r="AV269" i="9" s="1"/>
  <c r="AF78" i="9"/>
  <c r="AM78" i="9" s="1"/>
  <c r="AG78" i="9"/>
  <c r="AN78" i="9" s="1"/>
  <c r="AC78" i="9" a="1"/>
  <c r="AC78" i="9" s="1"/>
  <c r="AJ78" i="9" s="1"/>
  <c r="AD72" i="9"/>
  <c r="AQ72" i="9" s="1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V400" i="9" s="1"/>
  <c r="AD65" i="9"/>
  <c r="AK65" i="9" s="1"/>
  <c r="AV65" i="9" s="1"/>
  <c r="AC65" i="9" a="1"/>
  <c r="AC65" i="9" s="1"/>
  <c r="AJ65" i="9" s="1"/>
  <c r="AE65" i="9"/>
  <c r="AL65" i="9" s="1"/>
  <c r="AD86" i="9"/>
  <c r="AQ86" i="9" s="1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R123" i="9" s="1"/>
  <c r="AE351" i="9"/>
  <c r="AL351" i="9" s="1"/>
  <c r="AD436" i="9"/>
  <c r="AK436" i="9" s="1"/>
  <c r="AV436" i="9" s="1"/>
  <c r="AE403" i="9"/>
  <c r="AL403" i="9" s="1"/>
  <c r="AD88" i="9"/>
  <c r="AR88" i="9" s="1"/>
  <c r="AD185" i="9"/>
  <c r="AQ185" i="9" s="1"/>
  <c r="AD141" i="9"/>
  <c r="AQ141" i="9" s="1"/>
  <c r="AD340" i="9"/>
  <c r="AK340" i="9" s="1"/>
  <c r="AV340" i="9" s="1"/>
  <c r="AD331" i="9"/>
  <c r="AK331" i="9" s="1"/>
  <c r="AV331" i="9" s="1"/>
  <c r="AD267" i="9"/>
  <c r="AK267" i="9" s="1"/>
  <c r="AV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V349" i="9" s="1"/>
  <c r="AD357" i="9"/>
  <c r="AQ357" i="9" s="1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V26" i="9" s="1"/>
  <c r="AD74" i="9"/>
  <c r="AK74" i="9" s="1"/>
  <c r="AV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R440" i="9" s="1"/>
  <c r="AE163" i="9"/>
  <c r="AL163" i="9" s="1"/>
  <c r="AE371" i="9"/>
  <c r="AL371" i="9" s="1"/>
  <c r="AD270" i="9"/>
  <c r="AQ270" i="9" s="1"/>
  <c r="AE139" i="9"/>
  <c r="AL139" i="9" s="1"/>
  <c r="AD122" i="9"/>
  <c r="AQ122" i="9" s="1"/>
  <c r="AD463" i="9"/>
  <c r="AQ463" i="9" s="1"/>
  <c r="AD173" i="9"/>
  <c r="AQ173" i="9" s="1"/>
  <c r="AD106" i="9"/>
  <c r="AR106" i="9" s="1"/>
  <c r="AD323" i="9"/>
  <c r="AK323" i="9" s="1"/>
  <c r="AV323" i="9" s="1"/>
  <c r="AD243" i="9"/>
  <c r="AR243" i="9" s="1"/>
  <c r="AD164" i="9"/>
  <c r="AR164" i="9" s="1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Q143" i="9" s="1"/>
  <c r="AE212" i="9"/>
  <c r="AL212" i="9" s="1"/>
  <c r="AD289" i="9"/>
  <c r="AQ289" i="9" s="1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R190" i="9" s="1"/>
  <c r="AC190" i="9" a="1"/>
  <c r="AC190" i="9" s="1"/>
  <c r="AJ190" i="9" s="1"/>
  <c r="AD265" i="9"/>
  <c r="AQ265" i="9" s="1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V266" i="9" s="1"/>
  <c r="AF266" i="9"/>
  <c r="AM266" i="9" s="1"/>
  <c r="AD202" i="9"/>
  <c r="AQ202" i="9" s="1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V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V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R180" i="9" s="1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Q203" i="9" s="1"/>
  <c r="AG380" i="9"/>
  <c r="AN380" i="9" s="1"/>
  <c r="AC380" i="9" a="1"/>
  <c r="AC380" i="9" s="1"/>
  <c r="AJ380" i="9" s="1"/>
  <c r="AI316" i="9"/>
  <c r="AP316" i="9" s="1"/>
  <c r="AD316" i="9"/>
  <c r="AR316" i="9" s="1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R148" i="9" s="1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Q129" i="9" s="1"/>
  <c r="AI129" i="9"/>
  <c r="AP129" i="9" s="1"/>
  <c r="AC76" i="9" a="1"/>
  <c r="AC76" i="9" s="1"/>
  <c r="AJ76" i="9" s="1"/>
  <c r="AD76" i="9"/>
  <c r="AG76" i="9"/>
  <c r="AN76" i="9" s="1"/>
  <c r="AI76" i="9"/>
  <c r="AP76" i="9" s="1"/>
  <c r="AE15" i="9"/>
  <c r="AL15" i="9" s="1"/>
  <c r="AD15" i="9"/>
  <c r="AK15" i="9" s="1"/>
  <c r="AV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R387" i="9" s="1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Q259" i="9" s="1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V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Q424" i="9" s="1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V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Q389" i="9" s="1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V13" i="9" s="1"/>
  <c r="AI13" i="9"/>
  <c r="AP13" i="9" s="1"/>
  <c r="AH13" i="9"/>
  <c r="AO13" i="9" s="1"/>
  <c r="AI277" i="9"/>
  <c r="AP277" i="9" s="1"/>
  <c r="AD277" i="9"/>
  <c r="AQ277" i="9" s="1"/>
  <c r="AE277" i="9"/>
  <c r="AL277" i="9" s="1"/>
  <c r="AF277" i="9"/>
  <c r="AM277" i="9" s="1"/>
  <c r="AD25" i="9"/>
  <c r="AK25" i="9" s="1"/>
  <c r="AV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R346" i="9" s="1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V301" i="9" s="1"/>
  <c r="AD253" i="9"/>
  <c r="AQ253" i="9" s="1"/>
  <c r="AE451" i="9"/>
  <c r="AL451" i="9" s="1"/>
  <c r="AD99" i="9"/>
  <c r="AK99" i="9" s="1"/>
  <c r="AV99" i="9" s="1"/>
  <c r="AD415" i="9"/>
  <c r="AD162" i="9"/>
  <c r="AD109" i="9"/>
  <c r="AK109" i="9" s="1"/>
  <c r="AV109" i="9" s="1"/>
  <c r="AD467" i="9"/>
  <c r="AK467" i="9" s="1"/>
  <c r="AV467" i="9" s="1"/>
  <c r="AD358" i="9"/>
  <c r="AQ358" i="9" s="1"/>
  <c r="AD228" i="9"/>
  <c r="AD307" i="9"/>
  <c r="AQ307" i="9" s="1"/>
  <c r="AD179" i="9"/>
  <c r="AR179" i="9" s="1"/>
  <c r="AD276" i="9"/>
  <c r="AK276" i="9" s="1"/>
  <c r="AV276" i="9" s="1"/>
  <c r="AD90" i="9"/>
  <c r="AR90" i="9" s="1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V328" i="9" s="1"/>
  <c r="AD474" i="9"/>
  <c r="AQ474" i="9" s="1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H671" i="21" a="1"/>
  <c r="H671" i="21" s="1"/>
  <c r="K671" i="21" s="1" a="1"/>
  <c r="K671" i="21" s="1"/>
  <c r="L671" i="21" s="1"/>
  <c r="F671" i="2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Q366" i="9" s="1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V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V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R485" i="9" s="1"/>
  <c r="AD469" i="9"/>
  <c r="AK469" i="9" s="1"/>
  <c r="AV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Q486" i="9" s="1"/>
  <c r="AI470" i="9"/>
  <c r="AP470" i="9" s="1"/>
  <c r="AE454" i="9"/>
  <c r="AL454" i="9" s="1"/>
  <c r="AG422" i="9"/>
  <c r="AN422" i="9" s="1"/>
  <c r="AD390" i="9"/>
  <c r="AK390" i="9" s="1"/>
  <c r="AV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R198" i="9" s="1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R487" i="9" s="1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Q386" i="9" s="1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R354" i="9" s="1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V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V322" i="9" s="1"/>
  <c r="AG306" i="9"/>
  <c r="AN306" i="9" s="1"/>
  <c r="AC306" i="9" a="1"/>
  <c r="AC306" i="9" s="1"/>
  <c r="AJ306" i="9" s="1"/>
  <c r="AD306" i="9"/>
  <c r="AQ306" i="9" s="1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R242" i="9" s="1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Q194" i="9" s="1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R130" i="9" s="1"/>
  <c r="AF130" i="9"/>
  <c r="AM130" i="9" s="1"/>
  <c r="AI130" i="9"/>
  <c r="AP130" i="9" s="1"/>
  <c r="AE130" i="9"/>
  <c r="AL130" i="9" s="1"/>
  <c r="AD114" i="9"/>
  <c r="AR114" i="9" s="1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V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V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V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Q471" i="9" s="1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V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V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V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Q382" i="9" s="1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Q350" i="9" s="1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Q254" i="9" s="1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Q158" i="9" s="1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V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Q491" i="9" s="1"/>
  <c r="AH491" i="9"/>
  <c r="AO491" i="9" s="1"/>
  <c r="AF491" i="9"/>
  <c r="AM491" i="9" s="1"/>
  <c r="AC491" i="9" a="1"/>
  <c r="AC491" i="9" s="1"/>
  <c r="AJ491" i="9" s="1"/>
  <c r="AE475" i="9"/>
  <c r="AL475" i="9" s="1"/>
  <c r="AD475" i="9"/>
  <c r="AQ475" i="9" s="1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V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R347" i="9" s="1"/>
  <c r="AH347" i="9"/>
  <c r="AO347" i="9" s="1"/>
  <c r="AE315" i="9"/>
  <c r="AL315" i="9" s="1"/>
  <c r="AD315" i="9"/>
  <c r="AK315" i="9" s="1"/>
  <c r="AV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V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V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R219" i="9" s="1"/>
  <c r="AG219" i="9"/>
  <c r="AN219" i="9" s="1"/>
  <c r="AH219" i="9"/>
  <c r="AO219" i="9" s="1"/>
  <c r="AD187" i="9"/>
  <c r="AK187" i="9" s="1"/>
  <c r="AV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V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Q125" i="9" s="1"/>
  <c r="AI125" i="9"/>
  <c r="AP125" i="9" s="1"/>
  <c r="AI460" i="9"/>
  <c r="AP460" i="9" s="1"/>
  <c r="AE460" i="9"/>
  <c r="AL460" i="9" s="1"/>
  <c r="AD364" i="9"/>
  <c r="AK364" i="9" s="1"/>
  <c r="AV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Q333" i="9" s="1"/>
  <c r="AC205" i="9" a="1"/>
  <c r="AC205" i="9" s="1"/>
  <c r="AJ205" i="9" s="1"/>
  <c r="AE205" i="9"/>
  <c r="AL205" i="9" s="1"/>
  <c r="AD205" i="9"/>
  <c r="AR205" i="9" s="1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R280" i="9" s="1"/>
  <c r="AC280" i="9" a="1"/>
  <c r="AC280" i="9" s="1"/>
  <c r="AJ280" i="9" s="1"/>
  <c r="AH280" i="9"/>
  <c r="AO280" i="9" s="1"/>
  <c r="AE280" i="9"/>
  <c r="AL280" i="9" s="1"/>
  <c r="AF280" i="9"/>
  <c r="AM280" i="9" s="1"/>
  <c r="AD264" i="9"/>
  <c r="AR264" i="9" s="1"/>
  <c r="AE264" i="9"/>
  <c r="AL264" i="9" s="1"/>
  <c r="AF264" i="9"/>
  <c r="AM264" i="9" s="1"/>
  <c r="AG264" i="9"/>
  <c r="AN264" i="9" s="1"/>
  <c r="AD248" i="9"/>
  <c r="AK248" i="9" s="1"/>
  <c r="AV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V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R184" i="9" s="1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R473" i="9" s="1"/>
  <c r="AG473" i="9"/>
  <c r="AN473" i="9" s="1"/>
  <c r="AI473" i="9"/>
  <c r="AP473" i="9" s="1"/>
  <c r="AH473" i="9"/>
  <c r="AO473" i="9" s="1"/>
  <c r="AF473" i="9"/>
  <c r="AM473" i="9" s="1"/>
  <c r="AD441" i="9"/>
  <c r="AQ441" i="9" s="1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R215" i="9" s="1"/>
  <c r="AE215" i="9"/>
  <c r="AL215" i="9" s="1"/>
  <c r="AD151" i="9"/>
  <c r="AQ151" i="9" s="1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Q271" i="9" s="1"/>
  <c r="AF271" i="9"/>
  <c r="AM271" i="9" s="1"/>
  <c r="AE271" i="9"/>
  <c r="AL271" i="9" s="1"/>
  <c r="AH271" i="9"/>
  <c r="AO271" i="9" s="1"/>
  <c r="AI255" i="9"/>
  <c r="AP255" i="9" s="1"/>
  <c r="AD255" i="9"/>
  <c r="AQ255" i="9" s="1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R223" i="9" s="1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V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R480" i="9" s="1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R464" i="9" s="1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Q432" i="9" s="1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V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V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Q320" i="9" s="1"/>
  <c r="AE304" i="9"/>
  <c r="AL304" i="9" s="1"/>
  <c r="AI304" i="9"/>
  <c r="AP304" i="9" s="1"/>
  <c r="AD304" i="9"/>
  <c r="AQ304" i="9" s="1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R240" i="9" s="1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V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Q295" i="9" s="1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Q167" i="9" s="1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V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Q82" i="9" s="1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R50" i="9" s="1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V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V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V448" i="9" s="1"/>
  <c r="AE210" i="9"/>
  <c r="AL210" i="9" s="1"/>
  <c r="AE159" i="9"/>
  <c r="AL159" i="9" s="1"/>
  <c r="AE223" i="9"/>
  <c r="AL223" i="9" s="1"/>
  <c r="AD478" i="9"/>
  <c r="AR478" i="9" s="1"/>
  <c r="AD272" i="9"/>
  <c r="AD447" i="9"/>
  <c r="AK447" i="9" s="1"/>
  <c r="AV447" i="9" s="1"/>
  <c r="AD258" i="9"/>
  <c r="AK258" i="9" s="1"/>
  <c r="AV258" i="9" s="1"/>
  <c r="AD446" i="9"/>
  <c r="AK446" i="9" s="1"/>
  <c r="AV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R427" i="9" s="1"/>
  <c r="AD494" i="9"/>
  <c r="AR494" i="9" s="1"/>
  <c r="AE286" i="9"/>
  <c r="AL286" i="9" s="1"/>
  <c r="AE288" i="9"/>
  <c r="AL288" i="9" s="1"/>
  <c r="AD305" i="9"/>
  <c r="AQ305" i="9" s="1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V207" i="9" s="1"/>
  <c r="AH4" i="9"/>
  <c r="AO4" i="9" s="1"/>
  <c r="AH19" i="9"/>
  <c r="AO19" i="9" s="1"/>
  <c r="AH437" i="9"/>
  <c r="AO437" i="9" s="1"/>
  <c r="AD263" i="9"/>
  <c r="AR263" i="9" s="1"/>
  <c r="AD434" i="9"/>
  <c r="AE256" i="9"/>
  <c r="AL256" i="9" s="1"/>
  <c r="AF373" i="9"/>
  <c r="AM373" i="9" s="1"/>
  <c r="AD175" i="9"/>
  <c r="AR175" i="9" s="1"/>
  <c r="AD421" i="9"/>
  <c r="AR421" i="9" s="1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R246" i="9" s="1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Q502" i="9" s="1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R470" i="9" s="1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V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Q166" i="9" s="1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V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V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R181" i="9" s="1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R453" i="9" s="1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V303" i="9" s="1"/>
  <c r="AF303" i="9"/>
  <c r="AM303" i="9" s="1"/>
  <c r="AD239" i="9"/>
  <c r="AK239" i="9" s="1"/>
  <c r="AV239" i="9" s="1"/>
  <c r="AC175" i="9" a="1"/>
  <c r="AC175" i="9" s="1"/>
  <c r="AJ175" i="9" s="1"/>
  <c r="AD111" i="9"/>
  <c r="AK111" i="9" s="1"/>
  <c r="AV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R412" i="9" s="1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R300" i="9" s="1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Q252" i="9" s="1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V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R156" i="9" s="1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R363" i="9" s="1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V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R433" i="9" s="1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Q385" i="9" s="1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R337" i="9" s="1"/>
  <c r="AI321" i="9"/>
  <c r="AP321" i="9" s="1"/>
  <c r="AD321" i="9"/>
  <c r="AK321" i="9" s="1"/>
  <c r="AV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R257" i="9" s="1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Q161" i="9" s="1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Q393" i="9" s="1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R313" i="9" s="1"/>
  <c r="AC313" i="9" a="1"/>
  <c r="AC313" i="9" s="1"/>
  <c r="AJ313" i="9" s="1"/>
  <c r="AE313" i="9"/>
  <c r="AL313" i="9" s="1"/>
  <c r="AF313" i="9"/>
  <c r="AM313" i="9" s="1"/>
  <c r="AD297" i="9"/>
  <c r="AQ297" i="9" s="1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R233" i="9" s="1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R217" i="9" s="1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Q137" i="9" s="1"/>
  <c r="AE137" i="9"/>
  <c r="AL137" i="9" s="1"/>
  <c r="AF121" i="9"/>
  <c r="AM121" i="9" s="1"/>
  <c r="AD121" i="9"/>
  <c r="AQ121" i="9" s="1"/>
  <c r="AF105" i="9"/>
  <c r="AM105" i="9" s="1"/>
  <c r="AG105" i="9"/>
  <c r="AN105" i="9" s="1"/>
  <c r="AC105" i="9" a="1"/>
  <c r="AC105" i="9" s="1"/>
  <c r="AJ105" i="9" s="1"/>
  <c r="AD105" i="9"/>
  <c r="AR105" i="9" s="1"/>
  <c r="AE481" i="9"/>
  <c r="AL481" i="9" s="1"/>
  <c r="AF481" i="9"/>
  <c r="AM481" i="9" s="1"/>
  <c r="AD481" i="9"/>
  <c r="AQ481" i="9" s="1"/>
  <c r="AG481" i="9"/>
  <c r="AN481" i="9" s="1"/>
  <c r="AD197" i="9"/>
  <c r="AK197" i="9" s="1"/>
  <c r="AV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Q468" i="9" s="1"/>
  <c r="AE468" i="9"/>
  <c r="AL468" i="9" s="1"/>
  <c r="AC372" i="9" a="1"/>
  <c r="AC372" i="9" s="1"/>
  <c r="AJ372" i="9" s="1"/>
  <c r="AI372" i="9"/>
  <c r="AP372" i="9" s="1"/>
  <c r="AD372" i="9"/>
  <c r="AR372" i="9" s="1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V407" i="9" s="1"/>
  <c r="AC124" i="9" a="1"/>
  <c r="AC124" i="9" s="1"/>
  <c r="AJ124" i="9" s="1"/>
  <c r="AD489" i="9"/>
  <c r="AQ489" i="9" s="1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Q177" i="9" s="1"/>
  <c r="AG177" i="9"/>
  <c r="AN177" i="9" s="1"/>
  <c r="AE113" i="9"/>
  <c r="AL113" i="9" s="1"/>
  <c r="AG113" i="9"/>
  <c r="AN113" i="9" s="1"/>
  <c r="AI113" i="9"/>
  <c r="AP113" i="9" s="1"/>
  <c r="AD41" i="9"/>
  <c r="AK41" i="9" s="1"/>
  <c r="AV41" i="9" s="1"/>
  <c r="AC41" i="9" a="1"/>
  <c r="AC41" i="9" s="1"/>
  <c r="AJ41" i="9" s="1"/>
  <c r="AD36" i="9"/>
  <c r="AK36" i="9" s="1"/>
  <c r="AV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H131" i="21"/>
  <c r="H151" i="21"/>
  <c r="I151" i="21" s="1"/>
  <c r="AD406" i="9"/>
  <c r="AK406" i="9" s="1"/>
  <c r="AV406" i="9" s="1"/>
  <c r="AD326" i="9"/>
  <c r="AK326" i="9" s="1"/>
  <c r="AV326" i="9" s="1"/>
  <c r="AD262" i="9"/>
  <c r="AD118" i="9"/>
  <c r="AQ118" i="9" s="1"/>
  <c r="AE372" i="9"/>
  <c r="AL372" i="9" s="1"/>
  <c r="H175" i="21"/>
  <c r="J175" i="21" s="1" a="1"/>
  <c r="J175" i="21" s="1"/>
  <c r="H179" i="21"/>
  <c r="H177" i="21"/>
  <c r="P177" i="21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R224" i="9" s="1"/>
  <c r="AD208" i="9"/>
  <c r="AQ208" i="9" s="1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V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69" i="21"/>
  <c r="H72" i="21"/>
  <c r="H187" i="21"/>
  <c r="L187" i="21" s="1"/>
  <c r="H125" i="21"/>
  <c r="H63" i="21"/>
  <c r="P63" i="21" s="1"/>
  <c r="H91" i="2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H157" i="21"/>
  <c r="I157" i="21" s="1"/>
  <c r="H119" i="21"/>
  <c r="J119" i="21" s="1" a="1"/>
  <c r="J119" i="21" s="1"/>
  <c r="H146" i="21"/>
  <c r="H78" i="21"/>
  <c r="I78" i="21" s="1"/>
  <c r="G5" i="9"/>
  <c r="B5" i="9"/>
  <c r="H64" i="21"/>
  <c r="H123" i="21"/>
  <c r="J123" i="21" s="1" a="1"/>
  <c r="J123" i="21" s="1"/>
  <c r="H90" i="21"/>
  <c r="H164" i="21"/>
  <c r="L164" i="21" s="1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V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Q417" i="9" s="1"/>
  <c r="AD401" i="9"/>
  <c r="AR401" i="9" s="1"/>
  <c r="AG385" i="9"/>
  <c r="AN385" i="9" s="1"/>
  <c r="AD199" i="9"/>
  <c r="AK199" i="9" s="1"/>
  <c r="AV199" i="9" s="1"/>
  <c r="AD133" i="9"/>
  <c r="AQ133" i="9" s="1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V457" i="9" s="1"/>
  <c r="AG343" i="9"/>
  <c r="AN343" i="9" s="1"/>
  <c r="AD279" i="9"/>
  <c r="AD4" i="9"/>
  <c r="AK4" i="9" s="1"/>
  <c r="AV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V377" i="9" s="1"/>
  <c r="AH8" i="9"/>
  <c r="AO8" i="9" s="1"/>
  <c r="AG8" i="9"/>
  <c r="AN8" i="9" s="1"/>
  <c r="AI80" i="9"/>
  <c r="AP80" i="9" s="1"/>
  <c r="AG80" i="9"/>
  <c r="AN80" i="9" s="1"/>
  <c r="AD48" i="9"/>
  <c r="AK48" i="9" s="1"/>
  <c r="AV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D672" i="21" a="1"/>
  <c r="D672" i="21" s="1"/>
  <c r="F672" i="21" s="1"/>
  <c r="D287" i="21" a="1"/>
  <c r="D287" i="21" s="1"/>
  <c r="F287" i="21" s="1"/>
  <c r="AD359" i="9"/>
  <c r="AK359" i="9" s="1"/>
  <c r="AV359" i="9" s="1"/>
  <c r="AI178" i="9"/>
  <c r="AP178" i="9" s="1"/>
  <c r="AD178" i="9"/>
  <c r="AK178" i="9" s="1"/>
  <c r="AV178" i="9" s="1"/>
  <c r="AI268" i="9"/>
  <c r="AP268" i="9" s="1"/>
  <c r="AD236" i="9"/>
  <c r="AQ236" i="9" s="1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V68" i="9" s="1"/>
  <c r="AH68" i="9"/>
  <c r="AO68" i="9" s="1"/>
  <c r="AF52" i="9"/>
  <c r="AM52" i="9" s="1"/>
  <c r="AD52" i="9"/>
  <c r="AK52" i="9" s="1"/>
  <c r="AV52" i="9" s="1"/>
  <c r="AG36" i="9"/>
  <c r="AN36" i="9" s="1"/>
  <c r="AD20" i="9"/>
  <c r="AK20" i="9" s="1"/>
  <c r="AV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V210" i="9" s="1"/>
  <c r="AE146" i="9"/>
  <c r="AL146" i="9" s="1"/>
  <c r="H3" i="21"/>
  <c r="P3" i="21" s="1"/>
  <c r="H4" i="21"/>
  <c r="P4" i="21" s="1"/>
  <c r="F1088" i="21"/>
  <c r="AF434" i="9"/>
  <c r="AM434" i="9" s="1"/>
  <c r="H1000" i="21"/>
  <c r="J1000" i="21" s="1" a="1"/>
  <c r="J1000" i="21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V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V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H892" i="21"/>
  <c r="K892" i="21" s="1" a="1"/>
  <c r="K892" i="21" s="1"/>
  <c r="P892" i="21" s="1"/>
  <c r="H615" i="21"/>
  <c r="I615" i="21" s="1"/>
  <c r="H588" i="21"/>
  <c r="I588" i="21" s="1"/>
  <c r="H480" i="21"/>
  <c r="K480" i="21" s="1" a="1"/>
  <c r="K480" i="21" s="1"/>
  <c r="P480" i="21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V418" i="9" s="1"/>
  <c r="AD402" i="9"/>
  <c r="AR402" i="9" s="1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P36" i="21"/>
  <c r="J36" i="21" a="1"/>
  <c r="J36" i="21" s="1"/>
  <c r="D1087" i="21" a="1"/>
  <c r="D1087" i="21" s="1"/>
  <c r="H919" i="21"/>
  <c r="K919" i="21" s="1" a="1"/>
  <c r="K919" i="21" s="1"/>
  <c r="P919" i="21" s="1"/>
  <c r="H642" i="21"/>
  <c r="K642" i="21" s="1" a="1"/>
  <c r="K642" i="21" s="1"/>
  <c r="P642" i="21" s="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F288" i="21"/>
  <c r="D1091" i="21" a="1"/>
  <c r="D1091" i="21" s="1"/>
  <c r="H1091" i="21" s="1"/>
  <c r="L1091" i="21" s="1"/>
  <c r="H534" i="21"/>
  <c r="I534" i="21" s="1"/>
  <c r="H561" i="21"/>
  <c r="I36" i="21"/>
  <c r="H75" i="21"/>
  <c r="J75" i="21" s="1" a="1"/>
  <c r="J75" i="21" s="1"/>
  <c r="H182" i="21"/>
  <c r="I182" i="21" s="1"/>
  <c r="H65" i="21"/>
  <c r="L65" i="21" s="1"/>
  <c r="H70" i="21"/>
  <c r="J70" i="21" s="1" a="1"/>
  <c r="J70" i="21" s="1"/>
  <c r="H155" i="21"/>
  <c r="L155" i="21" s="1"/>
  <c r="H102" i="21"/>
  <c r="H865" i="21"/>
  <c r="H1027" i="21"/>
  <c r="L1027" i="21" s="1"/>
  <c r="H120" i="21"/>
  <c r="J120" i="21" s="1" a="1"/>
  <c r="J120" i="21" s="1"/>
  <c r="H178" i="21"/>
  <c r="H137" i="21"/>
  <c r="J137" i="21" s="1" a="1"/>
  <c r="J137" i="21" s="1"/>
  <c r="H189" i="21"/>
  <c r="P189" i="21" s="1"/>
  <c r="H66" i="21"/>
  <c r="L66" i="21" s="1"/>
  <c r="H158" i="21"/>
  <c r="J158" i="21" s="1" a="1"/>
  <c r="J158" i="21" s="1"/>
  <c r="H101" i="21"/>
  <c r="P101" i="21" s="1"/>
  <c r="H156" i="21"/>
  <c r="L156" i="21" s="1"/>
  <c r="H126" i="21"/>
  <c r="P126" i="21" s="1"/>
  <c r="H186" i="21"/>
  <c r="H973" i="21"/>
  <c r="I973" i="21" s="1"/>
  <c r="H71" i="21"/>
  <c r="H133" i="21"/>
  <c r="J133" i="21" s="1" a="1"/>
  <c r="J133" i="21" s="1"/>
  <c r="H76" i="21"/>
  <c r="L76" i="21" s="1"/>
  <c r="H163" i="21"/>
  <c r="I163" i="21" s="1"/>
  <c r="H105" i="21"/>
  <c r="H121" i="21"/>
  <c r="J121" i="21" s="1" a="1"/>
  <c r="J121" i="21" s="1"/>
  <c r="H98" i="21"/>
  <c r="H170" i="21"/>
  <c r="H93" i="21"/>
  <c r="L93" i="21" s="1"/>
  <c r="H197" i="21"/>
  <c r="L197" i="21" s="1"/>
  <c r="H142" i="21"/>
  <c r="J142" i="21" s="1" a="1"/>
  <c r="J142" i="21" s="1"/>
  <c r="H109" i="21"/>
  <c r="H176" i="21"/>
  <c r="H167" i="21"/>
  <c r="P167" i="21" s="1"/>
  <c r="H86" i="21"/>
  <c r="H114" i="21"/>
  <c r="J114" i="21" s="1" a="1"/>
  <c r="J114" i="21" s="1"/>
  <c r="H194" i="21"/>
  <c r="H53" i="21"/>
  <c r="J53" i="21" s="1" a="1"/>
  <c r="J53" i="21" s="1"/>
  <c r="H83" i="21"/>
  <c r="H193" i="21"/>
  <c r="H139" i="21"/>
  <c r="H110" i="21"/>
  <c r="J110" i="21" s="1" a="1"/>
  <c r="J110" i="21" s="1"/>
  <c r="H56" i="21"/>
  <c r="H111" i="21"/>
  <c r="H138" i="21"/>
  <c r="J138" i="21" s="1" a="1"/>
  <c r="J138" i="21" s="1"/>
  <c r="H55" i="21"/>
  <c r="H165" i="21"/>
  <c r="L643" i="21"/>
  <c r="H103" i="13"/>
  <c r="P35" i="21"/>
  <c r="I35" i="21"/>
  <c r="L35" i="21"/>
  <c r="F673" i="21"/>
  <c r="H62" i="21"/>
  <c r="D1108" i="21"/>
  <c r="W91" i="13"/>
  <c r="AS67" i="9"/>
  <c r="AS63" i="9"/>
  <c r="X85" i="13"/>
  <c r="AS65" i="9"/>
  <c r="AS57" i="9"/>
  <c r="Z85" i="13"/>
  <c r="Z17" i="5" a="1"/>
  <c r="Z17" i="5" s="1"/>
  <c r="Z21" i="5" s="1"/>
  <c r="X19" i="5"/>
  <c r="X23" i="5" s="1"/>
  <c r="H109" i="13"/>
  <c r="G103" i="13"/>
  <c r="J4" i="9"/>
  <c r="O4" i="9"/>
  <c r="W73" i="13"/>
  <c r="F103" i="13"/>
  <c r="X73" i="13"/>
  <c r="X67" i="13"/>
  <c r="D109" i="13"/>
  <c r="F109" i="13"/>
  <c r="V79" i="13"/>
  <c r="G109" i="13"/>
  <c r="M103" i="13"/>
  <c r="C4" i="9"/>
  <c r="M4" i="9"/>
  <c r="I4" i="9"/>
  <c r="N9" i="9"/>
  <c r="N4" i="9"/>
  <c r="W67" i="13"/>
  <c r="W79" i="13"/>
  <c r="X79" i="13"/>
  <c r="Z79" i="13"/>
  <c r="K103" i="13"/>
  <c r="E4" i="9"/>
  <c r="H9" i="9"/>
  <c r="H4" i="9"/>
  <c r="K109" i="13"/>
  <c r="L4" i="9"/>
  <c r="Z67" i="13"/>
  <c r="F4" i="9"/>
  <c r="F9" i="9"/>
  <c r="P67" i="13"/>
  <c r="Z73" i="13"/>
  <c r="U73" i="13"/>
  <c r="I103" i="13"/>
  <c r="R109" i="13"/>
  <c r="D9" i="9"/>
  <c r="Z18" i="5"/>
  <c r="Z22" i="5" s="1"/>
  <c r="V18" i="5"/>
  <c r="V22" i="5" s="1"/>
  <c r="D103" i="13"/>
  <c r="V85" i="13"/>
  <c r="W97" i="13"/>
  <c r="N109" i="13"/>
  <c r="M109" i="13"/>
  <c r="K9" i="9"/>
  <c r="K4" i="9"/>
  <c r="G4" i="9"/>
  <c r="Y67" i="13"/>
  <c r="W85" i="13"/>
  <c r="Z16" i="5"/>
  <c r="Z20" i="5" s="1"/>
  <c r="Z19" i="5"/>
  <c r="Z23" i="5" s="1"/>
  <c r="X17" i="5" a="1"/>
  <c r="X17" i="5" s="1"/>
  <c r="X21" i="5" s="1"/>
  <c r="AA18" i="5"/>
  <c r="AA22" i="5" s="1"/>
  <c r="X18" i="5"/>
  <c r="X22" i="5" s="1"/>
  <c r="AA17" i="5" a="1"/>
  <c r="AA17" i="5" s="1"/>
  <c r="AA21" i="5" s="1"/>
  <c r="Y16" i="5"/>
  <c r="Y20" i="5" s="1"/>
  <c r="W16" i="5"/>
  <c r="W20" i="5" s="1"/>
  <c r="W17" i="5" a="1"/>
  <c r="W17" i="5" s="1"/>
  <c r="W21" i="5" s="1"/>
  <c r="Y17" i="5" a="1"/>
  <c r="Y17" i="5" s="1"/>
  <c r="Y21" i="5" s="1"/>
  <c r="X16" i="5"/>
  <c r="X20" i="5" s="1"/>
  <c r="AA16" i="5"/>
  <c r="AA20" i="5" s="1"/>
  <c r="W19" i="5"/>
  <c r="W23" i="5" s="1"/>
  <c r="W18" i="5"/>
  <c r="W22" i="5" s="1"/>
  <c r="U17" i="5" a="1"/>
  <c r="U17" i="5" s="1"/>
  <c r="U21" i="5" s="1"/>
  <c r="V17" i="5" a="1"/>
  <c r="V17" i="5" s="1"/>
  <c r="V21" i="5" s="1"/>
  <c r="U18" i="5"/>
  <c r="U22" i="5" s="1"/>
  <c r="V19" i="5"/>
  <c r="V23" i="5" s="1"/>
  <c r="V16" i="5"/>
  <c r="V20" i="5" s="1"/>
  <c r="H73" i="21"/>
  <c r="H184" i="21"/>
  <c r="D1106" i="21"/>
  <c r="Y18" i="5"/>
  <c r="Y22" i="5" s="1"/>
  <c r="U16" i="5"/>
  <c r="U20" i="5" s="1"/>
  <c r="H128" i="21"/>
  <c r="J128" i="21" s="1" a="1"/>
  <c r="J128" i="21" s="1"/>
  <c r="H129" i="21"/>
  <c r="Y19" i="5"/>
  <c r="Y23" i="5" s="1"/>
  <c r="U19" i="5"/>
  <c r="U23" i="5" s="1"/>
  <c r="D1109" i="21"/>
  <c r="D1104" i="21"/>
  <c r="D1102" i="21"/>
  <c r="D1107" i="21"/>
  <c r="D1105" i="21"/>
  <c r="AS66" i="9"/>
  <c r="AS79" i="9"/>
  <c r="AS81" i="9"/>
  <c r="AS74" i="9"/>
  <c r="AS80" i="9"/>
  <c r="AT80" i="9"/>
  <c r="AS82" i="9"/>
  <c r="F1086" i="21" l="1"/>
  <c r="C14" i="9"/>
  <c r="J41" i="21" a="1"/>
  <c r="J41" i="21" s="1"/>
  <c r="L82" i="21"/>
  <c r="P82" i="21"/>
  <c r="L144" i="21"/>
  <c r="I82" i="21"/>
  <c r="L85" i="21"/>
  <c r="H162" i="21"/>
  <c r="P162" i="21" s="1"/>
  <c r="H106" i="21"/>
  <c r="J106" i="21" s="1" a="1"/>
  <c r="J106" i="21" s="1"/>
  <c r="Q17" i="5" a="1"/>
  <c r="Q17" i="5" s="1"/>
  <c r="Q21" i="5" s="1"/>
  <c r="J140" i="21" a="1"/>
  <c r="J140" i="21" s="1"/>
  <c r="P140" i="21"/>
  <c r="I140" i="21"/>
  <c r="R19" i="5"/>
  <c r="R23" i="5" s="1"/>
  <c r="S19" i="5"/>
  <c r="S23" i="5" s="1"/>
  <c r="L54" i="21"/>
  <c r="L1001" i="21"/>
  <c r="I643" i="21"/>
  <c r="S16" i="5"/>
  <c r="S20" i="5" s="1"/>
  <c r="Q16" i="5"/>
  <c r="Q20" i="5" s="1"/>
  <c r="I54" i="21"/>
  <c r="P54" i="21"/>
  <c r="S17" i="5" a="1"/>
  <c r="S17" i="5" s="1"/>
  <c r="S21" i="5" s="1"/>
  <c r="Q18" i="5"/>
  <c r="Q22" i="5" s="1"/>
  <c r="Q19" i="5"/>
  <c r="Q23" i="5" s="1"/>
  <c r="P195" i="21"/>
  <c r="L195" i="21"/>
  <c r="I195" i="21"/>
  <c r="P85" i="21"/>
  <c r="I85" i="21"/>
  <c r="S18" i="5"/>
  <c r="S22" i="5" s="1"/>
  <c r="R17" i="5" a="1"/>
  <c r="R17" i="5" s="1"/>
  <c r="R21" i="5" s="1"/>
  <c r="H190" i="21"/>
  <c r="L190" i="21" s="1"/>
  <c r="H134" i="21"/>
  <c r="I134" i="21" s="1"/>
  <c r="R18" i="5"/>
  <c r="R22" i="5" s="1"/>
  <c r="R16" i="5"/>
  <c r="R20" i="5" s="1"/>
  <c r="I41" i="21"/>
  <c r="L41" i="21"/>
  <c r="H79" i="21"/>
  <c r="L79" i="21" s="1"/>
  <c r="K1001" i="21" a="1"/>
  <c r="K1001" i="21" s="1"/>
  <c r="P1001" i="21" s="1"/>
  <c r="K643" i="21" a="1"/>
  <c r="K643" i="21" s="1"/>
  <c r="P643" i="21" s="1"/>
  <c r="I1001" i="21"/>
  <c r="AS49" i="9"/>
  <c r="C85" i="13"/>
  <c r="L13" i="9"/>
  <c r="AS13" i="9"/>
  <c r="AS11" i="9"/>
  <c r="AS16" i="9"/>
  <c r="AS28" i="9"/>
  <c r="F286" i="21"/>
  <c r="D290" i="21" s="1"/>
  <c r="P290" i="21" s="1"/>
  <c r="H85" i="13"/>
  <c r="K974" i="21" a="1"/>
  <c r="K974" i="21" s="1"/>
  <c r="P974" i="21" s="1"/>
  <c r="L169" i="21"/>
  <c r="P47" i="21"/>
  <c r="L838" i="21"/>
  <c r="I169" i="21"/>
  <c r="L199" i="21"/>
  <c r="I589" i="21"/>
  <c r="P43" i="21"/>
  <c r="J589" i="21" a="1"/>
  <c r="J589" i="21" s="1"/>
  <c r="J199" i="21" a="1"/>
  <c r="J199" i="21" s="1"/>
  <c r="L61" i="21"/>
  <c r="J974" i="21" a="1"/>
  <c r="J974" i="21" s="1"/>
  <c r="P115" i="21"/>
  <c r="P198" i="21"/>
  <c r="I198" i="21"/>
  <c r="L198" i="21" s="1"/>
  <c r="J47" i="21" a="1"/>
  <c r="J47" i="21" s="1"/>
  <c r="I43" i="21"/>
  <c r="P57" i="21"/>
  <c r="L45" i="21"/>
  <c r="I535" i="21"/>
  <c r="K535" i="21" a="1"/>
  <c r="K535" i="21" s="1"/>
  <c r="P535" i="21" s="1"/>
  <c r="J143" i="21" a="1"/>
  <c r="J143" i="21" s="1"/>
  <c r="P61" i="21"/>
  <c r="AC4" i="13"/>
  <c r="J13" i="9"/>
  <c r="L141" i="21"/>
  <c r="J166" i="21" a="1"/>
  <c r="J166" i="21" s="1"/>
  <c r="I166" i="21"/>
  <c r="I144" i="21"/>
  <c r="L589" i="21"/>
  <c r="J141" i="21" a="1"/>
  <c r="J141" i="21" s="1"/>
  <c r="P45" i="21"/>
  <c r="L535" i="21"/>
  <c r="P169" i="21"/>
  <c r="I199" i="21"/>
  <c r="J946" i="21" a="1"/>
  <c r="J946" i="21" s="1"/>
  <c r="I61" i="21"/>
  <c r="N13" i="9"/>
  <c r="K13" i="9"/>
  <c r="C3" i="13"/>
  <c r="K562" i="21" a="1"/>
  <c r="K562" i="21" s="1"/>
  <c r="P562" i="21" s="1"/>
  <c r="L562" i="21"/>
  <c r="I141" i="21"/>
  <c r="I45" i="21"/>
  <c r="I562" i="21"/>
  <c r="L43" i="21"/>
  <c r="P166" i="21"/>
  <c r="P144" i="21"/>
  <c r="K946" i="21" a="1"/>
  <c r="K946" i="21" s="1"/>
  <c r="P946" i="21" s="1"/>
  <c r="G13" i="9"/>
  <c r="AC5" i="5"/>
  <c r="AC25" i="5" s="1"/>
  <c r="V4" i="13"/>
  <c r="L50" i="21"/>
  <c r="J50" i="21" a="1"/>
  <c r="J50" i="21" s="1"/>
  <c r="P453" i="21"/>
  <c r="I58" i="21"/>
  <c r="F5" i="5"/>
  <c r="F25" i="5" s="1"/>
  <c r="K920" i="21" a="1"/>
  <c r="K920" i="21" s="1"/>
  <c r="P920" i="21" s="1"/>
  <c r="I84" i="21"/>
  <c r="J454" i="21" a="1"/>
  <c r="J454" i="21" s="1"/>
  <c r="P46" i="21"/>
  <c r="P37" i="21"/>
  <c r="L116" i="21"/>
  <c r="L38" i="21"/>
  <c r="I974" i="21"/>
  <c r="J115" i="21" a="1"/>
  <c r="J115" i="21" s="1"/>
  <c r="K481" i="21" a="1"/>
  <c r="K481" i="21" s="1"/>
  <c r="P481" i="21" s="1"/>
  <c r="J481" i="21" a="1"/>
  <c r="J481" i="21" s="1"/>
  <c r="X5" i="5"/>
  <c r="X25" i="5" s="1"/>
  <c r="P49" i="21"/>
  <c r="I39" i="21"/>
  <c r="L49" i="21"/>
  <c r="I49" i="21"/>
  <c r="J38" i="21" a="1"/>
  <c r="J38" i="21" s="1"/>
  <c r="I115" i="21"/>
  <c r="K508" i="21" a="1"/>
  <c r="K508" i="21" s="1"/>
  <c r="P508" i="21" s="1"/>
  <c r="I17" i="5" a="1"/>
  <c r="I17" i="5" s="1"/>
  <c r="I21" i="5" s="1"/>
  <c r="J39" i="21" a="1"/>
  <c r="J39" i="21" s="1"/>
  <c r="L196" i="21"/>
  <c r="L37" i="21"/>
  <c r="P89" i="21"/>
  <c r="K838" i="21" a="1"/>
  <c r="K838" i="21" s="1"/>
  <c r="I838" i="21"/>
  <c r="P38" i="21"/>
  <c r="L508" i="21"/>
  <c r="I481" i="21"/>
  <c r="G3" i="13"/>
  <c r="I37" i="21"/>
  <c r="I46" i="21"/>
  <c r="P39" i="21"/>
  <c r="J46" i="21" a="1"/>
  <c r="J46" i="21" s="1"/>
  <c r="L89" i="21"/>
  <c r="I89" i="21"/>
  <c r="J838" i="21" a="1"/>
  <c r="J838" i="21" s="1"/>
  <c r="J14" i="9"/>
  <c r="J508" i="21" a="1"/>
  <c r="J508" i="21" s="1"/>
  <c r="K14" i="9"/>
  <c r="L14" i="9"/>
  <c r="K19" i="5"/>
  <c r="K23" i="5" s="1"/>
  <c r="O18" i="5"/>
  <c r="O22" i="5" s="1"/>
  <c r="U3" i="13"/>
  <c r="I3" i="13"/>
  <c r="G4" i="13"/>
  <c r="Y4" i="13"/>
  <c r="S5" i="5"/>
  <c r="S25" i="5" s="1"/>
  <c r="H16" i="5"/>
  <c r="H20" i="5" s="1"/>
  <c r="Z4" i="13"/>
  <c r="F4" i="13"/>
  <c r="O14" i="9"/>
  <c r="W5" i="5"/>
  <c r="W25" i="5" s="1"/>
  <c r="N5" i="5"/>
  <c r="N25" i="5" s="1"/>
  <c r="P18" i="5"/>
  <c r="P22" i="5" s="1"/>
  <c r="J3" i="13"/>
  <c r="Q5" i="5"/>
  <c r="Q25" i="5" s="1"/>
  <c r="M13" i="9"/>
  <c r="S3" i="13"/>
  <c r="M14" i="9"/>
  <c r="W3" i="13"/>
  <c r="AF12" i="5"/>
  <c r="AD21" i="13"/>
  <c r="I1028" i="21"/>
  <c r="J58" i="21" a="1"/>
  <c r="J58" i="21" s="1"/>
  <c r="O17" i="5" a="1"/>
  <c r="O17" i="5" s="1"/>
  <c r="O21" i="5" s="1"/>
  <c r="Q4" i="13"/>
  <c r="J893" i="21" a="1"/>
  <c r="J893" i="21" s="1"/>
  <c r="I42" i="21"/>
  <c r="P60" i="21"/>
  <c r="I59" i="21"/>
  <c r="I50" i="21"/>
  <c r="R3" i="13"/>
  <c r="R5" i="5"/>
  <c r="R25" i="5" s="1"/>
  <c r="J19" i="5"/>
  <c r="J23" i="5" s="1"/>
  <c r="P4" i="13"/>
  <c r="J59" i="21" a="1"/>
  <c r="J59" i="21" s="1"/>
  <c r="J51" i="21" a="1"/>
  <c r="J51" i="21" s="1"/>
  <c r="P88" i="21"/>
  <c r="J920" i="21" a="1"/>
  <c r="J920" i="21" s="1"/>
  <c r="L84" i="21"/>
  <c r="L60" i="21"/>
  <c r="I172" i="21"/>
  <c r="L200" i="21"/>
  <c r="P200" i="21"/>
  <c r="AF13" i="13"/>
  <c r="K4" i="13"/>
  <c r="V5" i="5"/>
  <c r="V25" i="5" s="1"/>
  <c r="O4" i="13"/>
  <c r="Y5" i="5"/>
  <c r="Y25" i="5" s="1"/>
  <c r="L893" i="21"/>
  <c r="P17" i="5" a="1"/>
  <c r="P17" i="5" s="1"/>
  <c r="P21" i="5" s="1"/>
  <c r="L947" i="21"/>
  <c r="L42" i="21"/>
  <c r="J57" i="21" a="1"/>
  <c r="J57" i="21" s="1"/>
  <c r="P42" i="21"/>
  <c r="I57" i="21"/>
  <c r="P44" i="21"/>
  <c r="J60" i="21" a="1"/>
  <c r="J60" i="21" s="1"/>
  <c r="P59" i="21"/>
  <c r="L172" i="21"/>
  <c r="I200" i="21"/>
  <c r="I453" i="21"/>
  <c r="K453" i="21" a="1"/>
  <c r="K453" i="21" s="1"/>
  <c r="N19" i="5"/>
  <c r="N23" i="5" s="1"/>
  <c r="I51" i="21"/>
  <c r="I171" i="21"/>
  <c r="AD14" i="13"/>
  <c r="AB4" i="13"/>
  <c r="F18" i="5"/>
  <c r="F22" i="5" s="1"/>
  <c r="G18" i="5"/>
  <c r="G22" i="5" s="1"/>
  <c r="H19" i="5"/>
  <c r="H23" i="5" s="1"/>
  <c r="X4" i="13"/>
  <c r="K893" i="21" a="1"/>
  <c r="K893" i="21" s="1"/>
  <c r="P893" i="21" s="1"/>
  <c r="I947" i="21"/>
  <c r="J44" i="21" a="1"/>
  <c r="J44" i="21" s="1"/>
  <c r="P58" i="21"/>
  <c r="AB3" i="13"/>
  <c r="Z5" i="5"/>
  <c r="Z25" i="5" s="1"/>
  <c r="I4" i="13"/>
  <c r="I920" i="21"/>
  <c r="K947" i="21" a="1"/>
  <c r="K947" i="21" s="1"/>
  <c r="P947" i="21" s="1"/>
  <c r="L44" i="21"/>
  <c r="J84" i="21" a="1"/>
  <c r="J84" i="21" s="1"/>
  <c r="J1028" i="21" a="1"/>
  <c r="J1028" i="21" s="1"/>
  <c r="L1028" i="21"/>
  <c r="J172" i="21" a="1"/>
  <c r="J172" i="21" s="1"/>
  <c r="J453" i="21" a="1"/>
  <c r="J453" i="21" s="1"/>
  <c r="P51" i="21"/>
  <c r="L171" i="21"/>
  <c r="O19" i="5"/>
  <c r="O23" i="5" s="1"/>
  <c r="N4" i="13"/>
  <c r="J88" i="21" a="1"/>
  <c r="J88" i="21" s="1"/>
  <c r="I88" i="21"/>
  <c r="J171" i="21" a="1"/>
  <c r="J171" i="21" s="1"/>
  <c r="E3" i="13"/>
  <c r="Z3" i="13"/>
  <c r="S4" i="13"/>
  <c r="AF19" i="13"/>
  <c r="V3" i="13"/>
  <c r="U4" i="13"/>
  <c r="E16" i="5"/>
  <c r="E20" i="5" s="1"/>
  <c r="P3" i="13"/>
  <c r="H3" i="13"/>
  <c r="M16" i="5"/>
  <c r="M20" i="5" s="1"/>
  <c r="O3" i="13"/>
  <c r="L19" i="5"/>
  <c r="L23" i="5" s="1"/>
  <c r="M4" i="13"/>
  <c r="AF13" i="5"/>
  <c r="N3" i="13"/>
  <c r="AF21" i="13"/>
  <c r="AB5" i="5"/>
  <c r="AB24" i="5" s="1"/>
  <c r="T4" i="13"/>
  <c r="J4" i="13"/>
  <c r="C16" i="5"/>
  <c r="C20" i="5" s="1"/>
  <c r="E14" i="9"/>
  <c r="X3" i="13"/>
  <c r="X22" i="13" s="1"/>
  <c r="C4" i="13"/>
  <c r="AA3" i="13"/>
  <c r="AF20" i="13"/>
  <c r="Y3" i="13"/>
  <c r="M3" i="13"/>
  <c r="D16" i="5"/>
  <c r="D20" i="5" s="1"/>
  <c r="E4" i="13"/>
  <c r="AA4" i="13"/>
  <c r="K3" i="13"/>
  <c r="W4" i="13"/>
  <c r="K17" i="5" a="1"/>
  <c r="K17" i="5" s="1"/>
  <c r="K21" i="5" s="1"/>
  <c r="AF12" i="13"/>
  <c r="AG12" i="13" s="1"/>
  <c r="D18" i="5"/>
  <c r="D22" i="5" s="1"/>
  <c r="C5" i="5"/>
  <c r="C25" i="5" s="1"/>
  <c r="M19" i="5"/>
  <c r="M23" i="5" s="1"/>
  <c r="D5" i="5"/>
  <c r="D25" i="5" s="1"/>
  <c r="AF15" i="5"/>
  <c r="T5" i="5"/>
  <c r="T25" i="5" s="1"/>
  <c r="K18" i="5"/>
  <c r="K22" i="5" s="1"/>
  <c r="H14" i="9"/>
  <c r="J866" i="21" a="1"/>
  <c r="J866" i="21" s="1"/>
  <c r="D19" i="5"/>
  <c r="D23" i="5" s="1"/>
  <c r="M5" i="5"/>
  <c r="M25" i="5" s="1"/>
  <c r="T16" i="5"/>
  <c r="T20" i="5" s="1"/>
  <c r="M18" i="5"/>
  <c r="M22" i="5" s="1"/>
  <c r="O5" i="5"/>
  <c r="O25" i="5" s="1"/>
  <c r="D17" i="5" a="1"/>
  <c r="D17" i="5" s="1"/>
  <c r="D21" i="5" s="1"/>
  <c r="I18" i="5"/>
  <c r="I22" i="5" s="1"/>
  <c r="P196" i="21"/>
  <c r="I196" i="21"/>
  <c r="I116" i="21"/>
  <c r="N14" i="9"/>
  <c r="P116" i="21"/>
  <c r="AD14" i="5"/>
  <c r="L18" i="5"/>
  <c r="L22" i="5" s="1"/>
  <c r="AD15" i="5"/>
  <c r="H4" i="13"/>
  <c r="F3" i="13"/>
  <c r="R4" i="13"/>
  <c r="R22" i="13" s="1"/>
  <c r="C18" i="5"/>
  <c r="C22" i="5" s="1"/>
  <c r="AF14" i="5"/>
  <c r="Q3" i="13"/>
  <c r="AD20" i="13"/>
  <c r="AE20" i="13" s="1"/>
  <c r="AF18" i="13"/>
  <c r="O16" i="5"/>
  <c r="O20" i="5" s="1"/>
  <c r="D14" i="9"/>
  <c r="G14" i="9"/>
  <c r="P113" i="21"/>
  <c r="J113" i="21" a="1"/>
  <c r="J113" i="21" s="1"/>
  <c r="K839" i="21" a="1"/>
  <c r="K839" i="21" s="1"/>
  <c r="P839" i="21"/>
  <c r="L839" i="21"/>
  <c r="L3" i="13"/>
  <c r="AF17" i="13"/>
  <c r="AG17" i="13" s="1"/>
  <c r="AD16" i="13"/>
  <c r="AD19" i="13"/>
  <c r="J839" i="21" a="1"/>
  <c r="J839" i="21" s="1"/>
  <c r="J48" i="21" a="1"/>
  <c r="J48" i="21" s="1"/>
  <c r="P48" i="21"/>
  <c r="I48" i="21"/>
  <c r="L48" i="21"/>
  <c r="J112" i="21" a="1"/>
  <c r="J112" i="21" s="1"/>
  <c r="I112" i="21"/>
  <c r="L112" i="21"/>
  <c r="D4" i="13"/>
  <c r="AD17" i="13"/>
  <c r="AD11" i="5"/>
  <c r="G19" i="5"/>
  <c r="G23" i="5" s="1"/>
  <c r="H17" i="5" a="1"/>
  <c r="H17" i="5" s="1"/>
  <c r="H21" i="5" s="1"/>
  <c r="H5" i="5"/>
  <c r="H25" i="5" s="1"/>
  <c r="H18" i="5"/>
  <c r="H22" i="5" s="1"/>
  <c r="U5" i="5"/>
  <c r="U25" i="5" s="1"/>
  <c r="P16" i="5"/>
  <c r="P20" i="5" s="1"/>
  <c r="AF14" i="13"/>
  <c r="P19" i="5"/>
  <c r="P23" i="5" s="1"/>
  <c r="AD12" i="13"/>
  <c r="AD2" i="5"/>
  <c r="L17" i="5" a="1"/>
  <c r="L17" i="5" s="1"/>
  <c r="L21" i="5" s="1"/>
  <c r="F19" i="5"/>
  <c r="F23" i="5" s="1"/>
  <c r="P5" i="5"/>
  <c r="P25" i="5" s="1"/>
  <c r="L113" i="21"/>
  <c r="P112" i="21"/>
  <c r="I839" i="21"/>
  <c r="M17" i="5" a="1"/>
  <c r="M17" i="5" s="1"/>
  <c r="M21" i="5" s="1"/>
  <c r="G5" i="5"/>
  <c r="G25" i="5" s="1"/>
  <c r="AF16" i="13"/>
  <c r="AF11" i="5"/>
  <c r="AG11" i="5" s="1"/>
  <c r="G16" i="5"/>
  <c r="G20" i="5" s="1"/>
  <c r="G17" i="5" a="1"/>
  <c r="G17" i="5" s="1"/>
  <c r="G21" i="5" s="1"/>
  <c r="N18" i="5"/>
  <c r="N22" i="5" s="1"/>
  <c r="N16" i="5"/>
  <c r="N20" i="5" s="1"/>
  <c r="F14" i="9"/>
  <c r="AF15" i="13"/>
  <c r="AD15" i="13"/>
  <c r="E17" i="5" a="1"/>
  <c r="E17" i="5" s="1"/>
  <c r="E21" i="5" s="1"/>
  <c r="E19" i="5"/>
  <c r="E23" i="5" s="1"/>
  <c r="E18" i="5"/>
  <c r="E22" i="5" s="1"/>
  <c r="E5" i="5"/>
  <c r="E25" i="5" s="1"/>
  <c r="L4" i="13"/>
  <c r="L16" i="5"/>
  <c r="L20" i="5" s="1"/>
  <c r="L5" i="5"/>
  <c r="L25" i="5" s="1"/>
  <c r="J5" i="5"/>
  <c r="J25" i="5" s="1"/>
  <c r="AD13" i="5"/>
  <c r="J17" i="5" a="1"/>
  <c r="J17" i="5" s="1"/>
  <c r="J21" i="5" s="1"/>
  <c r="J18" i="5"/>
  <c r="J22" i="5" s="1"/>
  <c r="K16" i="5"/>
  <c r="K20" i="5" s="1"/>
  <c r="K5" i="5"/>
  <c r="K25" i="5" s="1"/>
  <c r="K454" i="21" a="1"/>
  <c r="K454" i="21" s="1"/>
  <c r="P454" i="21"/>
  <c r="L454" i="21"/>
  <c r="AC3" i="13"/>
  <c r="AD2" i="13"/>
  <c r="D3" i="13"/>
  <c r="C17" i="5" a="1"/>
  <c r="C17" i="5" s="1"/>
  <c r="C21" i="5" s="1"/>
  <c r="C19" i="5"/>
  <c r="C23" i="5" s="1"/>
  <c r="L866" i="21"/>
  <c r="K866" i="21" a="1"/>
  <c r="K866" i="21" s="1"/>
  <c r="P866" i="21" s="1"/>
  <c r="I143" i="21"/>
  <c r="P143" i="21"/>
  <c r="T18" i="5"/>
  <c r="T22" i="5" s="1"/>
  <c r="T17" i="5" a="1"/>
  <c r="T17" i="5" s="1"/>
  <c r="T21" i="5" s="1"/>
  <c r="K616" i="21" a="1"/>
  <c r="K616" i="21" s="1"/>
  <c r="P616" i="21" s="1"/>
  <c r="J616" i="21" a="1"/>
  <c r="J616" i="21" s="1"/>
  <c r="I616" i="21"/>
  <c r="L616" i="21"/>
  <c r="J40" i="21" a="1"/>
  <c r="J40" i="21" s="1"/>
  <c r="L40" i="21"/>
  <c r="P40" i="21"/>
  <c r="I40" i="21"/>
  <c r="T3" i="13"/>
  <c r="K507" i="21" a="1"/>
  <c r="K507" i="21" s="1"/>
  <c r="P507" i="21" s="1"/>
  <c r="L507" i="21"/>
  <c r="I507" i="21"/>
  <c r="I19" i="5"/>
  <c r="I23" i="5" s="1"/>
  <c r="I5" i="5"/>
  <c r="I25" i="5" s="1"/>
  <c r="I16" i="5"/>
  <c r="I20" i="5" s="1"/>
  <c r="N17" i="5" a="1"/>
  <c r="N17" i="5" s="1"/>
  <c r="N21" i="5" s="1"/>
  <c r="J507" i="21" a="1"/>
  <c r="J507" i="21" s="1"/>
  <c r="F16" i="5"/>
  <c r="F20" i="5" s="1"/>
  <c r="F17" i="5" a="1"/>
  <c r="F17" i="5" s="1"/>
  <c r="F21" i="5" s="1"/>
  <c r="AA5" i="5"/>
  <c r="AA25" i="5" s="1"/>
  <c r="J16" i="5"/>
  <c r="J20" i="5" s="1"/>
  <c r="I946" i="21"/>
  <c r="O13" i="9"/>
  <c r="AR14" i="9"/>
  <c r="J96" i="21" a="1"/>
  <c r="J96" i="21" s="1"/>
  <c r="F13" i="9"/>
  <c r="L52" i="21"/>
  <c r="J52" i="21" a="1"/>
  <c r="J52" i="21" s="1"/>
  <c r="H13" i="9"/>
  <c r="L68" i="21"/>
  <c r="I52" i="21"/>
  <c r="C13" i="9"/>
  <c r="L96" i="21"/>
  <c r="P96" i="21"/>
  <c r="E13" i="9"/>
  <c r="J79" i="13"/>
  <c r="G79" i="13"/>
  <c r="I67" i="21"/>
  <c r="L67" i="21"/>
  <c r="P67" i="21"/>
  <c r="H160" i="21"/>
  <c r="P160" i="21" s="1"/>
  <c r="I153" i="21"/>
  <c r="L153" i="21"/>
  <c r="J153" i="21" a="1"/>
  <c r="J153" i="21" s="1"/>
  <c r="I68" i="21"/>
  <c r="B13" i="9"/>
  <c r="H191" i="21"/>
  <c r="J191" i="21" s="1" a="1"/>
  <c r="J191" i="21" s="1"/>
  <c r="J124" i="21" a="1"/>
  <c r="J124" i="21" s="1"/>
  <c r="L124" i="21" s="1"/>
  <c r="G9" i="9"/>
  <c r="P68" i="21"/>
  <c r="P124" i="21"/>
  <c r="D13" i="9"/>
  <c r="H104" i="21"/>
  <c r="I104" i="21" s="1"/>
  <c r="H80" i="21"/>
  <c r="I80" i="21" s="1"/>
  <c r="M9" i="9"/>
  <c r="H132" i="21"/>
  <c r="H135" i="21"/>
  <c r="J135" i="21" s="1" a="1"/>
  <c r="J135" i="21" s="1"/>
  <c r="H107" i="21"/>
  <c r="J107" i="21" s="1" a="1"/>
  <c r="J107" i="21" s="1"/>
  <c r="H188" i="21"/>
  <c r="L188" i="21" s="1"/>
  <c r="H77" i="21"/>
  <c r="I77" i="21" s="1"/>
  <c r="O9" i="9"/>
  <c r="AS24" i="9"/>
  <c r="AS6" i="9"/>
  <c r="J97" i="21" a="1"/>
  <c r="J97" i="21" s="1"/>
  <c r="P97" i="21"/>
  <c r="L97" i="21"/>
  <c r="AQ461" i="9"/>
  <c r="AS7" i="9"/>
  <c r="M73" i="13"/>
  <c r="AS52" i="9"/>
  <c r="K10" i="13"/>
  <c r="L150" i="21"/>
  <c r="H79" i="13"/>
  <c r="S97" i="13"/>
  <c r="M97" i="13"/>
  <c r="Z97" i="13"/>
  <c r="Q109" i="13"/>
  <c r="T97" i="13"/>
  <c r="J85" i="13"/>
  <c r="P91" i="13"/>
  <c r="Y97" i="13"/>
  <c r="P109" i="13"/>
  <c r="I79" i="13"/>
  <c r="I85" i="13"/>
  <c r="G85" i="13"/>
  <c r="Z91" i="13"/>
  <c r="Q103" i="13"/>
  <c r="T91" i="13"/>
  <c r="S91" i="13"/>
  <c r="I181" i="21"/>
  <c r="L181" i="21" s="1"/>
  <c r="I148" i="21"/>
  <c r="L149" i="21"/>
  <c r="P103" i="21"/>
  <c r="AR237" i="9"/>
  <c r="I152" i="21"/>
  <c r="I149" i="21"/>
  <c r="J149" i="21" a="1"/>
  <c r="J149" i="21" s="1"/>
  <c r="L99" i="21"/>
  <c r="AR61" i="9"/>
  <c r="AR76" i="9"/>
  <c r="P181" i="21"/>
  <c r="I150" i="21"/>
  <c r="P150" i="21"/>
  <c r="A18" i="13"/>
  <c r="AD18" i="13" s="1"/>
  <c r="AR8" i="9"/>
  <c r="I99" i="21"/>
  <c r="P99" i="21"/>
  <c r="AQ438" i="9"/>
  <c r="I103" i="21"/>
  <c r="L103" i="21"/>
  <c r="J152" i="21" a="1"/>
  <c r="J152" i="21" s="1"/>
  <c r="AK461" i="9"/>
  <c r="AV461" i="9" s="1"/>
  <c r="AR500" i="9"/>
  <c r="P154" i="21"/>
  <c r="AQ101" i="9"/>
  <c r="AK14" i="9"/>
  <c r="AV14" i="9" s="1"/>
  <c r="AK237" i="9"/>
  <c r="AV237" i="9" s="1"/>
  <c r="P148" i="21"/>
  <c r="L148" i="21"/>
  <c r="AQ293" i="9"/>
  <c r="P152" i="21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P174" i="21"/>
  <c r="AS76" i="9"/>
  <c r="V97" i="13"/>
  <c r="C109" i="13"/>
  <c r="N103" i="13"/>
  <c r="AA91" i="13"/>
  <c r="O103" i="13"/>
  <c r="X91" i="13"/>
  <c r="E103" i="13"/>
  <c r="AS5" i="9"/>
  <c r="AS22" i="9"/>
  <c r="H117" i="21"/>
  <c r="P117" i="21" s="1"/>
  <c r="AA97" i="13"/>
  <c r="O109" i="13"/>
  <c r="X97" i="13"/>
  <c r="E109" i="13"/>
  <c r="V91" i="13"/>
  <c r="C103" i="13"/>
  <c r="AR115" i="9"/>
  <c r="AQ113" i="9"/>
  <c r="AR113" i="9"/>
  <c r="AQ375" i="9"/>
  <c r="J95" i="21" a="1"/>
  <c r="J95" i="21" s="1"/>
  <c r="P183" i="21"/>
  <c r="AR150" i="9"/>
  <c r="AR476" i="9"/>
  <c r="AK375" i="9"/>
  <c r="AV375" i="9" s="1"/>
  <c r="AK476" i="9"/>
  <c r="AV476" i="9" s="1"/>
  <c r="AQ150" i="9"/>
  <c r="I118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P95" i="21"/>
  <c r="J183" i="21" a="1"/>
  <c r="J183" i="21" s="1"/>
  <c r="L183" i="21" s="1"/>
  <c r="J118" i="21" a="1"/>
  <c r="J118" i="21" s="1"/>
  <c r="AK115" i="9"/>
  <c r="AV115" i="9" s="1"/>
  <c r="AK438" i="9"/>
  <c r="AV438" i="9" s="1"/>
  <c r="AS10" i="9"/>
  <c r="L118" i="21"/>
  <c r="AK275" i="9"/>
  <c r="AV275" i="9" s="1"/>
  <c r="AQ287" i="9"/>
  <c r="AS3" i="9"/>
  <c r="AS32" i="9"/>
  <c r="AS15" i="9"/>
  <c r="AQ378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I127" i="21"/>
  <c r="AK378" i="9"/>
  <c r="AV378" i="9" s="1"/>
  <c r="AQ484" i="9"/>
  <c r="AQ290" i="9"/>
  <c r="P159" i="21"/>
  <c r="P180" i="21"/>
  <c r="AR244" i="9"/>
  <c r="AQ160" i="9"/>
  <c r="AK408" i="9"/>
  <c r="AV408" i="9" s="1"/>
  <c r="AR445" i="9"/>
  <c r="AR160" i="9"/>
  <c r="J94" i="21" a="1"/>
  <c r="J94" i="21" s="1"/>
  <c r="I94" i="21"/>
  <c r="I180" i="21"/>
  <c r="J180" i="21" a="1"/>
  <c r="J180" i="21" s="1"/>
  <c r="AR29" i="9"/>
  <c r="AK226" i="9"/>
  <c r="AV226" i="9" s="1"/>
  <c r="D6" i="21"/>
  <c r="I95" i="21"/>
  <c r="E91" i="13"/>
  <c r="N10" i="13"/>
  <c r="J10" i="13"/>
  <c r="H130" i="21"/>
  <c r="I130" i="21" s="1"/>
  <c r="J92" i="21" a="1"/>
  <c r="J92" i="21" s="1"/>
  <c r="L92" i="21" s="1"/>
  <c r="P92" i="21"/>
  <c r="L159" i="2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P127" i="21"/>
  <c r="I159" i="21"/>
  <c r="I174" i="21"/>
  <c r="L174" i="21" s="1"/>
  <c r="J127" i="21" a="1"/>
  <c r="J127" i="21" s="1"/>
  <c r="AK345" i="9"/>
  <c r="AV345" i="9" s="1"/>
  <c r="I122" i="21"/>
  <c r="AQ408" i="9"/>
  <c r="AK212" i="9"/>
  <c r="AV212" i="9" s="1"/>
  <c r="AK445" i="9"/>
  <c r="AV445" i="9" s="1"/>
  <c r="AR293" i="9"/>
  <c r="AK244" i="9"/>
  <c r="AV244" i="9" s="1"/>
  <c r="AK101" i="9"/>
  <c r="AV101" i="9" s="1"/>
  <c r="J122" i="21" a="1"/>
  <c r="J122" i="21" s="1"/>
  <c r="I154" i="21"/>
  <c r="AR212" i="9"/>
  <c r="AK500" i="9"/>
  <c r="AV500" i="9" s="1"/>
  <c r="L94" i="21"/>
  <c r="P122" i="21"/>
  <c r="L154" i="2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71" i="9"/>
  <c r="AQ342" i="9"/>
  <c r="P128" i="21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P10" i="13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98" i="9"/>
  <c r="AK98" i="9"/>
  <c r="AV98" i="9" s="1"/>
  <c r="I147" i="21"/>
  <c r="J147" i="21" a="1"/>
  <c r="J147" i="21" s="1"/>
  <c r="L147" i="2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P146" i="21"/>
  <c r="J146" i="21" a="1"/>
  <c r="J146" i="21" s="1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P158" i="21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AR235" i="9"/>
  <c r="I892" i="21"/>
  <c r="L101" i="21"/>
  <c r="AQ322" i="9"/>
  <c r="K973" i="21" a="1"/>
  <c r="K973" i="21" s="1"/>
  <c r="P973" i="21" s="1"/>
  <c r="L973" i="21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J101" i="21" a="1"/>
  <c r="J101" i="21" s="1"/>
  <c r="L146" i="21"/>
  <c r="J151" i="21" a="1"/>
  <c r="J151" i="21" s="1"/>
  <c r="L151" i="21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AR490" i="9"/>
  <c r="AK308" i="9"/>
  <c r="AV308" i="9" s="1"/>
  <c r="AQ384" i="9"/>
  <c r="AQ425" i="9"/>
  <c r="I75" i="21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P91" i="21"/>
  <c r="AK208" i="9"/>
  <c r="AV208" i="9" s="1"/>
  <c r="AR208" i="9"/>
  <c r="L131" i="21"/>
  <c r="J131" i="21" a="1"/>
  <c r="J131" i="21" s="1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J69" i="21" a="1"/>
  <c r="J69" i="21" s="1"/>
  <c r="L69" i="21"/>
  <c r="I69" i="2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L137" i="21"/>
  <c r="P69" i="21"/>
  <c r="I91" i="21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K81" i="9"/>
  <c r="AV81" i="9" s="1"/>
  <c r="L175" i="21"/>
  <c r="P75" i="21"/>
  <c r="J642" i="21" a="1"/>
  <c r="J642" i="21" s="1"/>
  <c r="I131" i="21"/>
  <c r="D11" i="9"/>
  <c r="L480" i="21"/>
  <c r="P175" i="21"/>
  <c r="C11" i="9"/>
  <c r="L642" i="21"/>
  <c r="I642" i="21"/>
  <c r="G11" i="9"/>
  <c r="I133" i="21"/>
  <c r="L133" i="21" s="1"/>
  <c r="J187" i="21" a="1"/>
  <c r="J187" i="21" s="1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L189" i="21"/>
  <c r="K1000" i="21" a="1"/>
  <c r="K1000" i="21" s="1"/>
  <c r="P1000" i="21" s="1"/>
  <c r="I123" i="21"/>
  <c r="I175" i="21"/>
  <c r="P131" i="21"/>
  <c r="L126" i="21"/>
  <c r="J91" i="21" a="1"/>
  <c r="J91" i="21" s="1"/>
  <c r="J63" i="21" a="1"/>
  <c r="J63" i="21" s="1"/>
  <c r="AR289" i="9"/>
  <c r="I65" i="21"/>
  <c r="J919" i="21" a="1"/>
  <c r="J919" i="21" s="1"/>
  <c r="I110" i="21"/>
  <c r="J66" i="21" a="1"/>
  <c r="J66" i="21" s="1"/>
  <c r="AR357" i="9"/>
  <c r="AK396" i="9"/>
  <c r="AV396" i="9" s="1"/>
  <c r="AR4" i="9"/>
  <c r="L167" i="21"/>
  <c r="J167" i="21" a="1"/>
  <c r="J167" i="21" s="1"/>
  <c r="I146" i="2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J177" i="21" a="1"/>
  <c r="J177" i="21" s="1"/>
  <c r="K11" i="9"/>
  <c r="O11" i="9"/>
  <c r="L72" i="21"/>
  <c r="I72" i="21"/>
  <c r="P72" i="21"/>
  <c r="J72" i="21" a="1"/>
  <c r="J72" i="21" s="1"/>
  <c r="AQ353" i="9"/>
  <c r="AR353" i="9"/>
  <c r="J156" i="21" a="1"/>
  <c r="J156" i="21" s="1"/>
  <c r="I561" i="21"/>
  <c r="K561" i="21" a="1"/>
  <c r="K561" i="21" s="1"/>
  <c r="P561" i="21" s="1"/>
  <c r="L561" i="21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J64" i="21" a="1"/>
  <c r="J64" i="21" s="1"/>
  <c r="I64" i="21"/>
  <c r="L64" i="21"/>
  <c r="P64" i="21"/>
  <c r="L179" i="21"/>
  <c r="I179" i="21"/>
  <c r="J179" i="21" a="1"/>
  <c r="J179" i="21" s="1"/>
  <c r="P179" i="21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I164" i="21"/>
  <c r="P164" i="21"/>
  <c r="J164" i="21" a="1"/>
  <c r="J164" i="21" s="1"/>
  <c r="J90" i="21" a="1"/>
  <c r="J90" i="21" s="1"/>
  <c r="P90" i="21"/>
  <c r="I90" i="21"/>
  <c r="L125" i="21"/>
  <c r="I125" i="21"/>
  <c r="J125" i="21" a="1"/>
  <c r="J125" i="21" s="1"/>
  <c r="P125" i="21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I86" i="21"/>
  <c r="L86" i="21"/>
  <c r="I138" i="21"/>
  <c r="L110" i="21"/>
  <c r="J126" i="21" a="1"/>
  <c r="J126" i="21" s="1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D675" i="21"/>
  <c r="H675" i="21" s="1"/>
  <c r="P157" i="21"/>
  <c r="J892" i="21" a="1"/>
  <c r="J892" i="21" s="1"/>
  <c r="P187" i="21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L123" i="21"/>
  <c r="I158" i="21"/>
  <c r="L158" i="21" s="1"/>
  <c r="K1027" i="21" a="1"/>
  <c r="K1027" i="21" s="1"/>
  <c r="P1027" i="21" s="1"/>
  <c r="P70" i="21"/>
  <c r="L70" i="21"/>
  <c r="L588" i="21"/>
  <c r="K588" i="21" a="1"/>
  <c r="K588" i="21" s="1"/>
  <c r="P588" i="21" s="1"/>
  <c r="L75" i="21"/>
  <c r="P155" i="21"/>
  <c r="J155" i="21" a="1"/>
  <c r="J155" i="21" s="1"/>
  <c r="L892" i="21"/>
  <c r="J561" i="21" a="1"/>
  <c r="J561" i="21" s="1"/>
  <c r="I187" i="21"/>
  <c r="I177" i="21"/>
  <c r="L177" i="21"/>
  <c r="P151" i="21"/>
  <c r="J157" i="21" a="1"/>
  <c r="J157" i="21" s="1"/>
  <c r="L157" i="21" s="1"/>
  <c r="P123" i="21"/>
  <c r="P114" i="21"/>
  <c r="L114" i="21"/>
  <c r="J588" i="21" a="1"/>
  <c r="J588" i="21" s="1"/>
  <c r="I76" i="21"/>
  <c r="I114" i="21"/>
  <c r="J11" i="9"/>
  <c r="L63" i="21"/>
  <c r="I63" i="21"/>
  <c r="M11" i="9"/>
  <c r="N11" i="9"/>
  <c r="I1000" i="21"/>
  <c r="P65" i="21"/>
  <c r="J65" i="21" a="1"/>
  <c r="J65" i="21" s="1"/>
  <c r="J1027" i="21" a="1"/>
  <c r="J1027" i="21" s="1"/>
  <c r="I919" i="21"/>
  <c r="I70" i="21"/>
  <c r="I120" i="21"/>
  <c r="P120" i="21"/>
  <c r="J480" i="21" a="1"/>
  <c r="J480" i="21" s="1"/>
  <c r="J534" i="21" a="1"/>
  <c r="J534" i="21" s="1"/>
  <c r="I1027" i="21"/>
  <c r="L120" i="21"/>
  <c r="I480" i="21"/>
  <c r="L11" i="9"/>
  <c r="L53" i="21"/>
  <c r="L919" i="21"/>
  <c r="L1000" i="21"/>
  <c r="I155" i="21"/>
  <c r="J973" i="21" a="1"/>
  <c r="J973" i="21" s="1"/>
  <c r="P133" i="21"/>
  <c r="I126" i="21"/>
  <c r="I101" i="21"/>
  <c r="J76" i="21" a="1"/>
  <c r="J76" i="21" s="1"/>
  <c r="P76" i="21"/>
  <c r="I137" i="21"/>
  <c r="J197" i="21" a="1"/>
  <c r="J197" i="21" s="1"/>
  <c r="P137" i="21"/>
  <c r="P66" i="21"/>
  <c r="P78" i="21"/>
  <c r="I119" i="21"/>
  <c r="L119" i="21" s="1"/>
  <c r="P119" i="21"/>
  <c r="I66" i="21"/>
  <c r="J78" i="21" a="1"/>
  <c r="J78" i="21" s="1"/>
  <c r="P182" i="21"/>
  <c r="L78" i="21"/>
  <c r="AR41" i="9"/>
  <c r="AR13" i="9"/>
  <c r="AS55" i="9"/>
  <c r="AR55" i="9"/>
  <c r="A13" i="13"/>
  <c r="AD13" i="13" s="1"/>
  <c r="AK499" i="9"/>
  <c r="AV499" i="9" s="1"/>
  <c r="AQ499" i="9"/>
  <c r="AR499" i="9"/>
  <c r="AS44" i="9"/>
  <c r="AS27" i="9"/>
  <c r="AQ210" i="9"/>
  <c r="H287" i="21" a="1"/>
  <c r="H287" i="21" s="1"/>
  <c r="K287" i="21" s="1" a="1"/>
  <c r="K287" i="21" s="1"/>
  <c r="L287" i="21" s="1"/>
  <c r="AR25" i="9"/>
  <c r="AR38" i="9"/>
  <c r="AS38" i="9"/>
  <c r="AK370" i="9"/>
  <c r="AV370" i="9" s="1"/>
  <c r="AQ370" i="9"/>
  <c r="AR370" i="9"/>
  <c r="AS8" i="9"/>
  <c r="I111" i="21"/>
  <c r="P111" i="21"/>
  <c r="J111" i="21" a="1"/>
  <c r="J111" i="21" s="1"/>
  <c r="L111" i="21"/>
  <c r="J139" i="21" a="1"/>
  <c r="J139" i="21" s="1"/>
  <c r="L139" i="21"/>
  <c r="I139" i="21"/>
  <c r="L194" i="21"/>
  <c r="P194" i="21"/>
  <c r="J194" i="21" a="1"/>
  <c r="J194" i="21" s="1"/>
  <c r="I194" i="21"/>
  <c r="L170" i="21"/>
  <c r="P170" i="21"/>
  <c r="J170" i="21" a="1"/>
  <c r="J170" i="21" s="1"/>
  <c r="I170" i="21"/>
  <c r="P156" i="21"/>
  <c r="I156" i="21"/>
  <c r="AS20" i="9"/>
  <c r="AR20" i="9"/>
  <c r="AS72" i="9"/>
  <c r="L615" i="21"/>
  <c r="K615" i="21" a="1"/>
  <c r="K615" i="21" s="1"/>
  <c r="P615" i="21" s="1"/>
  <c r="J615" i="21" a="1"/>
  <c r="J615" i="21" s="1"/>
  <c r="AR278" i="9"/>
  <c r="AQ278" i="9"/>
  <c r="AR27" i="9"/>
  <c r="AS41" i="9"/>
  <c r="AR210" i="9"/>
  <c r="AR52" i="9"/>
  <c r="AR44" i="9"/>
  <c r="AR68" i="9"/>
  <c r="P197" i="21"/>
  <c r="I197" i="21"/>
  <c r="I189" i="21"/>
  <c r="H672" i="21" a="1"/>
  <c r="H672" i="21" s="1"/>
  <c r="K672" i="21" s="1" a="1"/>
  <c r="K672" i="21" s="1"/>
  <c r="L672" i="21" s="1"/>
  <c r="J189" i="21" a="1"/>
  <c r="J189" i="21" s="1"/>
  <c r="H1087" i="21"/>
  <c r="K1087" i="21" s="1"/>
  <c r="L1087" i="21" s="1"/>
  <c r="F1087" i="21"/>
  <c r="J108" i="21" a="1"/>
  <c r="J108" i="21" s="1"/>
  <c r="P108" i="21"/>
  <c r="K534" i="21" a="1"/>
  <c r="K534" i="21" s="1"/>
  <c r="P534" i="21" s="1"/>
  <c r="L534" i="21"/>
  <c r="L865" i="21"/>
  <c r="J865" i="21" a="1"/>
  <c r="J865" i="21" s="1"/>
  <c r="I865" i="21"/>
  <c r="K865" i="21" a="1"/>
  <c r="K865" i="21" s="1"/>
  <c r="P865" i="21" s="1"/>
  <c r="L182" i="21"/>
  <c r="J182" i="21" a="1"/>
  <c r="J182" i="21" s="1"/>
  <c r="P163" i="21"/>
  <c r="J178" i="21" a="1"/>
  <c r="J178" i="21" s="1"/>
  <c r="P178" i="21"/>
  <c r="I178" i="21"/>
  <c r="I167" i="21"/>
  <c r="L138" i="21"/>
  <c r="I121" i="21"/>
  <c r="P53" i="21"/>
  <c r="P138" i="21"/>
  <c r="P110" i="21"/>
  <c r="L121" i="21"/>
  <c r="L163" i="21"/>
  <c r="I53" i="21"/>
  <c r="P121" i="21"/>
  <c r="J86" i="21" a="1"/>
  <c r="J86" i="21" s="1"/>
  <c r="J186" i="21" a="1"/>
  <c r="J186" i="21" s="1"/>
  <c r="L142" i="21"/>
  <c r="I186" i="21"/>
  <c r="L186" i="21" s="1"/>
  <c r="P139" i="21"/>
  <c r="P186" i="21"/>
  <c r="I142" i="21"/>
  <c r="J163" i="21" a="1"/>
  <c r="J163" i="21" s="1"/>
  <c r="P86" i="21"/>
  <c r="I108" i="21"/>
  <c r="P142" i="21"/>
  <c r="P105" i="21"/>
  <c r="L105" i="21"/>
  <c r="I105" i="21"/>
  <c r="J105" i="21" a="1"/>
  <c r="J105" i="21" s="1"/>
  <c r="L71" i="21"/>
  <c r="P71" i="21"/>
  <c r="I71" i="21"/>
  <c r="J71" i="21" a="1"/>
  <c r="J71" i="21" s="1"/>
  <c r="J93" i="21" a="1"/>
  <c r="J93" i="21" s="1"/>
  <c r="P93" i="21"/>
  <c r="I93" i="21"/>
  <c r="J98" i="21" a="1"/>
  <c r="J98" i="21" s="1"/>
  <c r="I98" i="21"/>
  <c r="P98" i="21"/>
  <c r="L176" i="21"/>
  <c r="J176" i="21" a="1"/>
  <c r="J176" i="21" s="1"/>
  <c r="P176" i="21"/>
  <c r="I176" i="21"/>
  <c r="I109" i="21"/>
  <c r="J109" i="21" a="1"/>
  <c r="J109" i="21" s="1"/>
  <c r="L109" i="21"/>
  <c r="P109" i="21"/>
  <c r="H161" i="21"/>
  <c r="H168" i="21"/>
  <c r="J102" i="21" a="1"/>
  <c r="J102" i="21" s="1"/>
  <c r="P102" i="21"/>
  <c r="I102" i="21"/>
  <c r="P55" i="21"/>
  <c r="J55" i="21" a="1"/>
  <c r="J55" i="21" s="1"/>
  <c r="L55" i="21"/>
  <c r="I55" i="21"/>
  <c r="J56" i="21" a="1"/>
  <c r="J56" i="21" s="1"/>
  <c r="L56" i="21"/>
  <c r="I56" i="21"/>
  <c r="P56" i="21"/>
  <c r="H87" i="21"/>
  <c r="Z10" i="13"/>
  <c r="H136" i="21"/>
  <c r="H74" i="21"/>
  <c r="P74" i="21" s="1"/>
  <c r="H81" i="21"/>
  <c r="I193" i="21"/>
  <c r="J193" i="21" a="1"/>
  <c r="J193" i="21" s="1"/>
  <c r="P193" i="21"/>
  <c r="L193" i="21"/>
  <c r="I83" i="21"/>
  <c r="L83" i="21"/>
  <c r="J83" i="21" a="1"/>
  <c r="J83" i="21" s="1"/>
  <c r="P83" i="21"/>
  <c r="H185" i="21"/>
  <c r="I185" i="21" s="1"/>
  <c r="H192" i="21"/>
  <c r="J165" i="21" a="1"/>
  <c r="J165" i="21" s="1"/>
  <c r="I165" i="21"/>
  <c r="L165" i="21"/>
  <c r="P165" i="21"/>
  <c r="AS12" i="9"/>
  <c r="AR12" i="9"/>
  <c r="W78" i="13"/>
  <c r="H100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G90" i="13"/>
  <c r="AS61" i="9"/>
  <c r="AS48" i="9"/>
  <c r="AS70" i="9"/>
  <c r="AS54" i="9"/>
  <c r="AR54" i="9"/>
  <c r="U10" i="13"/>
  <c r="C10" i="13"/>
  <c r="H107" i="13"/>
  <c r="AR64" i="9"/>
  <c r="AS64" i="9"/>
  <c r="C105" i="13"/>
  <c r="C107" i="13"/>
  <c r="AS4" i="9"/>
  <c r="W74" i="13"/>
  <c r="W82" i="13"/>
  <c r="H98" i="13"/>
  <c r="AS21" i="9"/>
  <c r="AS53" i="9"/>
  <c r="AR53" i="9"/>
  <c r="AS69" i="9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AS60" i="9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J62" i="21" a="1"/>
  <c r="J62" i="21" s="1"/>
  <c r="P62" i="21"/>
  <c r="H102" i="13"/>
  <c r="AS19" i="9"/>
  <c r="K10" i="9"/>
  <c r="G10" i="9"/>
  <c r="Y10" i="13"/>
  <c r="S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J100" i="21" a="1"/>
  <c r="J100" i="21" s="1"/>
  <c r="I100" i="21"/>
  <c r="P100" i="21"/>
  <c r="L100" i="21"/>
  <c r="L129" i="21"/>
  <c r="P129" i="21"/>
  <c r="J129" i="21" a="1"/>
  <c r="J129" i="21" s="1"/>
  <c r="I129" i="21"/>
  <c r="L128" i="21"/>
  <c r="I128" i="21"/>
  <c r="J184" i="21" a="1"/>
  <c r="J184" i="21" s="1"/>
  <c r="P184" i="21"/>
  <c r="I184" i="21"/>
  <c r="J73" i="21" a="1"/>
  <c r="J73" i="21" s="1"/>
  <c r="L73" i="21"/>
  <c r="P73" i="21"/>
  <c r="I73" i="21"/>
  <c r="AT86" i="9"/>
  <c r="V92" i="13"/>
  <c r="G104" i="13"/>
  <c r="Y80" i="13"/>
  <c r="Z89" i="13"/>
  <c r="G106" i="13"/>
  <c r="V96" i="13"/>
  <c r="V87" i="13"/>
  <c r="AA93" i="13"/>
  <c r="E100" i="13"/>
  <c r="U78" i="13"/>
  <c r="Z87" i="13"/>
  <c r="X87" i="13"/>
  <c r="H105" i="13"/>
  <c r="V93" i="13"/>
  <c r="AT67" i="9"/>
  <c r="AQ67" i="9" s="1"/>
  <c r="AT69" i="9"/>
  <c r="AQ69" i="9" s="1"/>
  <c r="AT71" i="9"/>
  <c r="X92" i="13"/>
  <c r="G101" i="13"/>
  <c r="H99" i="13"/>
  <c r="V89" i="13"/>
  <c r="Z78" i="13"/>
  <c r="H108" i="13"/>
  <c r="Z94" i="13"/>
  <c r="X94" i="13"/>
  <c r="U82" i="13"/>
  <c r="X83" i="13"/>
  <c r="AA84" i="13"/>
  <c r="AA94" i="13"/>
  <c r="Z75" i="13"/>
  <c r="X75" i="13"/>
  <c r="W93" i="13"/>
  <c r="Y81" i="13"/>
  <c r="V81" i="13"/>
  <c r="X86" i="13"/>
  <c r="Y74" i="13"/>
  <c r="Y78" i="13"/>
  <c r="C102" i="13"/>
  <c r="E98" i="13"/>
  <c r="AT83" i="9"/>
  <c r="AT81" i="9"/>
  <c r="AT77" i="9"/>
  <c r="AT75" i="9"/>
  <c r="AQ75" i="9" s="1"/>
  <c r="AT73" i="9"/>
  <c r="AQ73" i="9" s="1"/>
  <c r="AT72" i="9"/>
  <c r="D5" i="21" l="1"/>
  <c r="P22" i="13"/>
  <c r="J162" i="21" a="1"/>
  <c r="J162" i="21" s="1"/>
  <c r="I162" i="21"/>
  <c r="AR51" i="9"/>
  <c r="AS51" i="9"/>
  <c r="L162" i="21"/>
  <c r="L106" i="21"/>
  <c r="P106" i="21"/>
  <c r="I106" i="21"/>
  <c r="L102" i="21"/>
  <c r="L127" i="21"/>
  <c r="Q77" i="13"/>
  <c r="J79" i="21" a="1"/>
  <c r="J79" i="21" s="1"/>
  <c r="P79" i="21"/>
  <c r="I79" i="21"/>
  <c r="J190" i="21" a="1"/>
  <c r="J190" i="21" s="1"/>
  <c r="P190" i="21"/>
  <c r="I190" i="21"/>
  <c r="J134" i="21" a="1"/>
  <c r="J134" i="21" s="1"/>
  <c r="L134" i="21" s="1"/>
  <c r="P134" i="21"/>
  <c r="R10" i="13"/>
  <c r="AR43" i="9"/>
  <c r="AR47" i="9"/>
  <c r="AE18" i="13"/>
  <c r="K64" i="13"/>
  <c r="AS43" i="9"/>
  <c r="AS47" i="9"/>
  <c r="AS42" i="9"/>
  <c r="L184" i="21"/>
  <c r="P675" i="21"/>
  <c r="G65" i="13"/>
  <c r="G64" i="13"/>
  <c r="K62" i="13"/>
  <c r="AT34" i="9"/>
  <c r="AQ34" i="9" s="1"/>
  <c r="E68" i="13"/>
  <c r="L675" i="21"/>
  <c r="AR39" i="9"/>
  <c r="I70" i="13"/>
  <c r="AS39" i="9"/>
  <c r="AT8" i="9"/>
  <c r="AQ8" i="9" s="1"/>
  <c r="AT53" i="9"/>
  <c r="AQ53" i="9" s="1"/>
  <c r="AS33" i="9"/>
  <c r="AE19" i="13"/>
  <c r="U22" i="13"/>
  <c r="AG19" i="13"/>
  <c r="T22" i="13"/>
  <c r="P77" i="21"/>
  <c r="P104" i="21"/>
  <c r="O22" i="13"/>
  <c r="AC22" i="13"/>
  <c r="Z22" i="13"/>
  <c r="W22" i="13"/>
  <c r="AC24" i="5"/>
  <c r="AA22" i="13"/>
  <c r="AE13" i="5"/>
  <c r="K22" i="13"/>
  <c r="Q22" i="13"/>
  <c r="G22" i="13"/>
  <c r="C22" i="13"/>
  <c r="L77" i="21"/>
  <c r="V22" i="13"/>
  <c r="J77" i="21" a="1"/>
  <c r="J77" i="21" s="1"/>
  <c r="AE12" i="13"/>
  <c r="AG13" i="13"/>
  <c r="AG18" i="13"/>
  <c r="AD4" i="13"/>
  <c r="J104" i="21" a="1"/>
  <c r="J104" i="21" s="1"/>
  <c r="AE17" i="13"/>
  <c r="P135" i="21"/>
  <c r="AB22" i="13"/>
  <c r="I22" i="13"/>
  <c r="AG15" i="13"/>
  <c r="AG20" i="13"/>
  <c r="N22" i="13"/>
  <c r="AE14" i="13"/>
  <c r="AG14" i="13"/>
  <c r="AE21" i="13"/>
  <c r="F22" i="13"/>
  <c r="Y22" i="13"/>
  <c r="J22" i="13"/>
  <c r="AG16" i="13"/>
  <c r="E22" i="13"/>
  <c r="AB25" i="5"/>
  <c r="S22" i="13"/>
  <c r="AE13" i="13"/>
  <c r="AG21" i="13"/>
  <c r="AE14" i="5"/>
  <c r="H22" i="13"/>
  <c r="AE15" i="5"/>
  <c r="M22" i="13"/>
  <c r="AD18" i="5"/>
  <c r="AD3" i="13"/>
  <c r="AG15" i="5"/>
  <c r="AE11" i="5"/>
  <c r="AD16" i="5"/>
  <c r="AD5" i="5"/>
  <c r="AD17" i="5"/>
  <c r="D22" i="13"/>
  <c r="AE15" i="13"/>
  <c r="AE16" i="13"/>
  <c r="AD19" i="5"/>
  <c r="L22" i="13"/>
  <c r="AG12" i="5"/>
  <c r="AG14" i="5"/>
  <c r="AG13" i="5"/>
  <c r="P80" i="21"/>
  <c r="J132" i="21" a="1"/>
  <c r="J132" i="21" s="1"/>
  <c r="AR33" i="9"/>
  <c r="L80" i="21"/>
  <c r="P132" i="21"/>
  <c r="J80" i="21" a="1"/>
  <c r="J80" i="21" s="1"/>
  <c r="I132" i="21"/>
  <c r="L132" i="21" s="1"/>
  <c r="K160" i="2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I160" i="21"/>
  <c r="P188" i="21"/>
  <c r="J160" i="21" a="1"/>
  <c r="J160" i="21" s="1"/>
  <c r="L160" i="21"/>
  <c r="J188" i="21" a="1"/>
  <c r="J188" i="21" s="1"/>
  <c r="I188" i="21"/>
  <c r="L178" i="21"/>
  <c r="L90" i="21"/>
  <c r="L98" i="21"/>
  <c r="L135" i="21"/>
  <c r="L104" i="21"/>
  <c r="I135" i="21"/>
  <c r="L191" i="21"/>
  <c r="P107" i="21"/>
  <c r="L107" i="21"/>
  <c r="I107" i="21"/>
  <c r="I191" i="21"/>
  <c r="P191" i="21"/>
  <c r="L91" i="21"/>
  <c r="E108" i="13"/>
  <c r="AT13" i="9"/>
  <c r="AQ13" i="9" s="1"/>
  <c r="U81" i="13"/>
  <c r="K94" i="13"/>
  <c r="F88" i="13"/>
  <c r="L93" i="13"/>
  <c r="AT19" i="9"/>
  <c r="AQ19" i="9" s="1"/>
  <c r="I107" i="13"/>
  <c r="U77" i="13"/>
  <c r="AT5" i="9"/>
  <c r="AQ5" i="9" s="1"/>
  <c r="Q101" i="13"/>
  <c r="M104" i="13"/>
  <c r="G87" i="13"/>
  <c r="AT28" i="9"/>
  <c r="AQ28" i="9" s="1"/>
  <c r="AT55" i="9"/>
  <c r="AQ55" i="9" s="1"/>
  <c r="AT10" i="9"/>
  <c r="AQ10" i="9" s="1"/>
  <c r="J90" i="13"/>
  <c r="F113" i="13"/>
  <c r="AT62" i="9"/>
  <c r="AQ62" i="9" s="1"/>
  <c r="AT11" i="9"/>
  <c r="AQ11" i="9" s="1"/>
  <c r="O99" i="13"/>
  <c r="F114" i="13"/>
  <c r="AT22" i="9"/>
  <c r="AQ22" i="9" s="1"/>
  <c r="M86" i="13"/>
  <c r="Q114" i="13"/>
  <c r="Q118" i="13"/>
  <c r="F118" i="13"/>
  <c r="Q117" i="13"/>
  <c r="F117" i="13"/>
  <c r="Q113" i="13"/>
  <c r="AT54" i="9"/>
  <c r="AQ54" i="9" s="1"/>
  <c r="D1076" i="21"/>
  <c r="AT27" i="9"/>
  <c r="AQ27" i="9" s="1"/>
  <c r="P88" i="13"/>
  <c r="AT9" i="9"/>
  <c r="AQ9" i="9" s="1"/>
  <c r="AT21" i="9"/>
  <c r="AQ21" i="9" s="1"/>
  <c r="Q98" i="13"/>
  <c r="P104" i="13"/>
  <c r="C87" i="13"/>
  <c r="AT15" i="9"/>
  <c r="AQ15" i="9" s="1"/>
  <c r="AT7" i="9"/>
  <c r="AQ7" i="9" s="1"/>
  <c r="C106" i="13"/>
  <c r="AT29" i="9"/>
  <c r="AQ29" i="9" s="1"/>
  <c r="AT25" i="9"/>
  <c r="AQ25" i="9" s="1"/>
  <c r="AT57" i="9"/>
  <c r="AQ57" i="9" s="1"/>
  <c r="M106" i="13"/>
  <c r="D1070" i="21" a="1"/>
  <c r="D1070" i="21" s="1"/>
  <c r="H1070" i="21" s="1" a="1"/>
  <c r="H1070" i="21" s="1"/>
  <c r="J1070" i="21" s="1" a="1"/>
  <c r="J1070" i="21" s="1"/>
  <c r="D1069" i="21" a="1"/>
  <c r="D1069" i="21" s="1"/>
  <c r="H1069" i="21" s="1" a="1"/>
  <c r="H1069" i="21" s="1"/>
  <c r="I1069" i="21" s="1" a="1"/>
  <c r="I1069" i="21" s="1"/>
  <c r="X93" i="13"/>
  <c r="AT17" i="9"/>
  <c r="AQ17" i="9" s="1"/>
  <c r="AT6" i="9"/>
  <c r="AQ6" i="9" s="1"/>
  <c r="D1067" i="21"/>
  <c r="AT65" i="9"/>
  <c r="AQ65" i="9" s="1"/>
  <c r="D1081" i="21" a="1"/>
  <c r="D1081" i="21" s="1"/>
  <c r="H1081" i="21" s="1" a="1"/>
  <c r="H1081" i="21" s="1"/>
  <c r="K1081" i="21" s="1" a="1"/>
  <c r="K1081" i="21" s="1"/>
  <c r="Q74" i="13"/>
  <c r="D1079" i="21" a="1"/>
  <c r="D1079" i="21" s="1"/>
  <c r="H1079" i="21" s="1" a="1"/>
  <c r="H1079" i="21" s="1"/>
  <c r="I1079" i="21" s="1" a="1"/>
  <c r="I1079" i="21" s="1"/>
  <c r="AT63" i="9"/>
  <c r="AQ63" i="9" s="1"/>
  <c r="AA95" i="13"/>
  <c r="K101" i="13"/>
  <c r="O88" i="13"/>
  <c r="AT60" i="9"/>
  <c r="AQ60" i="9" s="1"/>
  <c r="AT30" i="9"/>
  <c r="AQ30" i="9" s="1"/>
  <c r="AT56" i="9"/>
  <c r="AQ56" i="9" s="1"/>
  <c r="C101" i="13"/>
  <c r="I74" i="21"/>
  <c r="C86" i="13"/>
  <c r="Q94" i="13"/>
  <c r="S82" i="13"/>
  <c r="Q99" i="13"/>
  <c r="P108" i="13"/>
  <c r="M102" i="13"/>
  <c r="F106" i="13"/>
  <c r="O93" i="13"/>
  <c r="O94" i="13"/>
  <c r="M98" i="13"/>
  <c r="P98" i="13"/>
  <c r="M105" i="13"/>
  <c r="F96" i="13"/>
  <c r="L88" i="13"/>
  <c r="H92" i="13"/>
  <c r="Q107" i="13"/>
  <c r="T86" i="13"/>
  <c r="F93" i="13"/>
  <c r="K87" i="13"/>
  <c r="Q106" i="13"/>
  <c r="I88" i="13"/>
  <c r="N95" i="13"/>
  <c r="AA77" i="13"/>
  <c r="C93" i="13"/>
  <c r="K90" i="13"/>
  <c r="F86" i="13"/>
  <c r="E87" i="13"/>
  <c r="R102" i="13"/>
  <c r="P99" i="13"/>
  <c r="I92" i="13"/>
  <c r="U8" i="13"/>
  <c r="I102" i="13"/>
  <c r="U96" i="13"/>
  <c r="E106" i="13"/>
  <c r="C99" i="13"/>
  <c r="T95" i="13"/>
  <c r="V86" i="13"/>
  <c r="C98" i="13"/>
  <c r="Z74" i="13"/>
  <c r="F90" i="13"/>
  <c r="D1077" i="21"/>
  <c r="Z83" i="13"/>
  <c r="D96" i="13"/>
  <c r="H290" i="21"/>
  <c r="L290" i="21" s="1"/>
  <c r="AT14" i="9"/>
  <c r="AQ14" i="9" s="1"/>
  <c r="U95" i="13"/>
  <c r="W90" i="13"/>
  <c r="Q92" i="13"/>
  <c r="P94" i="13"/>
  <c r="O105" i="13"/>
  <c r="F92" i="13"/>
  <c r="AA76" i="13"/>
  <c r="Q95" i="13"/>
  <c r="J130" i="21" a="1"/>
  <c r="J130" i="21" s="1"/>
  <c r="P130" i="21"/>
  <c r="K130" i="2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D86" i="13"/>
  <c r="F102" i="13"/>
  <c r="T89" i="13"/>
  <c r="L130" i="21"/>
  <c r="K95" i="13"/>
  <c r="W96" i="13"/>
  <c r="AT16" i="9"/>
  <c r="AQ16" i="9" s="1"/>
  <c r="N92" i="13"/>
  <c r="F98" i="13"/>
  <c r="W88" i="13"/>
  <c r="D90" i="13"/>
  <c r="Q105" i="13"/>
  <c r="F89" i="13"/>
  <c r="W92" i="13"/>
  <c r="Z84" i="13"/>
  <c r="AA75" i="13"/>
  <c r="U88" i="13"/>
  <c r="S86" i="13"/>
  <c r="R86" i="13"/>
  <c r="D94" i="13"/>
  <c r="I100" i="13"/>
  <c r="D93" i="13"/>
  <c r="AT24" i="9"/>
  <c r="AQ24" i="9" s="1"/>
  <c r="J74" i="21" a="1"/>
  <c r="J74" i="21" s="1"/>
  <c r="J185" i="21" a="1"/>
  <c r="J185" i="21" s="1"/>
  <c r="L185" i="21" s="1"/>
  <c r="P185" i="21"/>
  <c r="L74" i="21"/>
  <c r="C90" i="13"/>
  <c r="N88" i="13"/>
  <c r="U87" i="13"/>
  <c r="L87" i="13"/>
  <c r="R95" i="13"/>
  <c r="L96" i="13"/>
  <c r="D88" i="13"/>
  <c r="AT12" i="9"/>
  <c r="AQ12" i="9" s="1"/>
  <c r="S83" i="13"/>
  <c r="S96" i="13"/>
  <c r="D1071" i="21" a="1"/>
  <c r="D1071" i="21" s="1"/>
  <c r="H1071" i="21" s="1" a="1"/>
  <c r="H1071" i="21" s="1"/>
  <c r="I1071" i="21" s="1" a="1"/>
  <c r="I1071" i="21" s="1"/>
  <c r="S77" i="13"/>
  <c r="V84" i="13"/>
  <c r="O101" i="13"/>
  <c r="K92" i="13"/>
  <c r="K86" i="13"/>
  <c r="E94" i="13"/>
  <c r="Y96" i="13"/>
  <c r="M88" i="13"/>
  <c r="M90" i="13"/>
  <c r="Y77" i="13"/>
  <c r="Q89" i="13"/>
  <c r="K89" i="13"/>
  <c r="Z80" i="13"/>
  <c r="E95" i="13"/>
  <c r="O89" i="13"/>
  <c r="T87" i="13"/>
  <c r="G105" i="13"/>
  <c r="E105" i="13"/>
  <c r="E104" i="13"/>
  <c r="Z76" i="13"/>
  <c r="N107" i="13"/>
  <c r="G99" i="13"/>
  <c r="E99" i="13"/>
  <c r="E89" i="13"/>
  <c r="D89" i="13"/>
  <c r="H95" i="13"/>
  <c r="F95" i="13"/>
  <c r="R93" i="13"/>
  <c r="T74" i="13"/>
  <c r="J86" i="13"/>
  <c r="N96" i="13"/>
  <c r="N90" i="13"/>
  <c r="N89" i="13"/>
  <c r="X90" i="13"/>
  <c r="P107" i="13"/>
  <c r="AT18" i="9"/>
  <c r="AQ18" i="9" s="1"/>
  <c r="X84" i="13"/>
  <c r="Y82" i="13"/>
  <c r="U83" i="13"/>
  <c r="P5" i="21"/>
  <c r="H5" i="21"/>
  <c r="L5" i="21" s="1"/>
  <c r="K185" i="2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P168" i="21"/>
  <c r="J168" i="21" a="1"/>
  <c r="J168" i="21" s="1"/>
  <c r="I168" i="21"/>
  <c r="L168" i="21"/>
  <c r="J161" i="21" a="1"/>
  <c r="J161" i="21" s="1"/>
  <c r="I161" i="21"/>
  <c r="L161" i="21"/>
  <c r="P161" i="21"/>
  <c r="AA8" i="13"/>
  <c r="Q10" i="13"/>
  <c r="X10" i="13"/>
  <c r="T10" i="13"/>
  <c r="AA10" i="13"/>
  <c r="P136" i="21"/>
  <c r="I136" i="21"/>
  <c r="J136" i="21" a="1"/>
  <c r="J136" i="21" s="1"/>
  <c r="L136" i="21" s="1"/>
  <c r="Y7" i="13"/>
  <c r="P192" i="21"/>
  <c r="L192" i="21"/>
  <c r="I192" i="21"/>
  <c r="J192" i="21" a="1"/>
  <c r="J192" i="21" s="1"/>
  <c r="J81" i="21" a="1"/>
  <c r="J81" i="21" s="1"/>
  <c r="I81" i="21"/>
  <c r="P81" i="21"/>
  <c r="L81" i="21"/>
  <c r="J87" i="21" a="1"/>
  <c r="J87" i="21" s="1"/>
  <c r="L87" i="21"/>
  <c r="I87" i="21"/>
  <c r="P87" i="21"/>
  <c r="O10" i="13"/>
  <c r="V10" i="13"/>
  <c r="D1068" i="21" a="1"/>
  <c r="D1068" i="21" s="1"/>
  <c r="H1068" i="21" s="1" a="1"/>
  <c r="H1068" i="21" s="1"/>
  <c r="J1068" i="21" s="1" a="1"/>
  <c r="J1068" i="21" s="1"/>
  <c r="D1080" i="21" a="1"/>
  <c r="D1080" i="21" s="1"/>
  <c r="H1080" i="21" s="1" a="1"/>
  <c r="H1080" i="21" s="1"/>
  <c r="K1080" i="21" s="1" a="1"/>
  <c r="K1080" i="21" s="1"/>
  <c r="D1066" i="21"/>
  <c r="D1078" i="21" a="1"/>
  <c r="D1078" i="21" s="1"/>
  <c r="H1078" i="21" s="1" a="1"/>
  <c r="H1078" i="21" s="1"/>
  <c r="J1078" i="21" s="1" a="1"/>
  <c r="J1078" i="21" s="1"/>
  <c r="AT26" i="9"/>
  <c r="AQ26" i="9" s="1"/>
  <c r="W7" i="13"/>
  <c r="D87" i="13"/>
  <c r="T92" i="13"/>
  <c r="AT68" i="9"/>
  <c r="AQ68" i="9" s="1"/>
  <c r="AT78" i="9"/>
  <c r="AQ78" i="9" s="1"/>
  <c r="AT59" i="9"/>
  <c r="R96" i="13"/>
  <c r="Q100" i="13"/>
  <c r="S92" i="13"/>
  <c r="N87" i="13"/>
  <c r="Y9" i="13"/>
  <c r="X80" i="13"/>
  <c r="V76" i="13"/>
  <c r="AT31" i="9"/>
  <c r="AQ31" i="9" s="1"/>
  <c r="AT66" i="9"/>
  <c r="AT20" i="9"/>
  <c r="AQ20" i="9" s="1"/>
  <c r="O92" i="13"/>
  <c r="I96" i="13"/>
  <c r="AT23" i="9"/>
  <c r="AQ23" i="9" s="1"/>
  <c r="AT64" i="9"/>
  <c r="AQ64" i="9" s="1"/>
  <c r="AT32" i="9"/>
  <c r="AQ32" i="9" s="1"/>
  <c r="AT61" i="9"/>
  <c r="AQ61" i="9" s="1"/>
  <c r="AT70" i="9"/>
  <c r="AQ70" i="9" s="1"/>
  <c r="AT58" i="9"/>
  <c r="AQ58" i="9" s="1"/>
  <c r="I93" i="13"/>
  <c r="N98" i="13"/>
  <c r="AT76" i="9"/>
  <c r="AQ76" i="9" s="1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M15" i="9"/>
  <c r="C15" i="9"/>
  <c r="V8" i="13"/>
  <c r="W5" i="13"/>
  <c r="X5" i="13"/>
  <c r="Y6" i="13"/>
  <c r="Y4" i="5"/>
  <c r="Y24" i="5" s="1"/>
  <c r="Z62" i="13"/>
  <c r="V74" i="13"/>
  <c r="H86" i="13"/>
  <c r="W86" i="13"/>
  <c r="S93" i="13"/>
  <c r="S87" i="13"/>
  <c r="Z63" i="13"/>
  <c r="V94" i="13"/>
  <c r="Y70" i="13"/>
  <c r="C94" i="13"/>
  <c r="N94" i="13"/>
  <c r="Y94" i="13"/>
  <c r="AA65" i="13"/>
  <c r="K108" i="13"/>
  <c r="K105" i="13"/>
  <c r="R104" i="13"/>
  <c r="R101" i="13"/>
  <c r="R100" i="13"/>
  <c r="R98" i="13"/>
  <c r="I86" i="13"/>
  <c r="F108" i="13"/>
  <c r="F104" i="13"/>
  <c r="AA5" i="13"/>
  <c r="T62" i="13"/>
  <c r="AA74" i="13"/>
  <c r="P86" i="13"/>
  <c r="G98" i="13"/>
  <c r="V69" i="13"/>
  <c r="AA69" i="13"/>
  <c r="W81" i="13"/>
  <c r="AA63" i="13"/>
  <c r="V95" i="13"/>
  <c r="AA72" i="13"/>
  <c r="V90" i="13"/>
  <c r="S95" i="13"/>
  <c r="V82" i="13"/>
  <c r="G94" i="13"/>
  <c r="W94" i="13"/>
  <c r="C95" i="13"/>
  <c r="Y95" i="13"/>
  <c r="Z72" i="13"/>
  <c r="E96" i="13"/>
  <c r="X96" i="13"/>
  <c r="N108" i="13"/>
  <c r="Z66" i="13"/>
  <c r="AA64" i="13"/>
  <c r="J87" i="13"/>
  <c r="Y87" i="13"/>
  <c r="Y63" i="13"/>
  <c r="T64" i="13"/>
  <c r="V64" i="13"/>
  <c r="J88" i="13"/>
  <c r="T88" i="13"/>
  <c r="Y65" i="13"/>
  <c r="C89" i="13"/>
  <c r="Y89" i="13"/>
  <c r="U80" i="13"/>
  <c r="N104" i="13"/>
  <c r="AA68" i="13"/>
  <c r="W68" i="13"/>
  <c r="AA92" i="13"/>
  <c r="L92" i="13"/>
  <c r="Y5" i="13"/>
  <c r="AA62" i="13"/>
  <c r="H93" i="13"/>
  <c r="W69" i="13"/>
  <c r="W72" i="13"/>
  <c r="E90" i="13"/>
  <c r="Y64" i="13"/>
  <c r="V65" i="13"/>
  <c r="D107" i="13"/>
  <c r="D105" i="13"/>
  <c r="D102" i="13"/>
  <c r="D99" i="13"/>
  <c r="D98" i="13"/>
  <c r="I105" i="13"/>
  <c r="M95" i="13"/>
  <c r="M87" i="13"/>
  <c r="Y86" i="13"/>
  <c r="E86" i="13"/>
  <c r="U86" i="13"/>
  <c r="Q93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W70" i="13"/>
  <c r="Z82" i="13"/>
  <c r="U94" i="13"/>
  <c r="T71" i="13"/>
  <c r="T72" i="13"/>
  <c r="V72" i="13"/>
  <c r="J96" i="13"/>
  <c r="T96" i="13"/>
  <c r="L90" i="13"/>
  <c r="Z9" i="13"/>
  <c r="H90" i="13"/>
  <c r="AA89" i="13"/>
  <c r="AA88" i="13"/>
  <c r="W87" i="13"/>
  <c r="Z64" i="13"/>
  <c r="S76" i="13"/>
  <c r="E88" i="13"/>
  <c r="X88" i="13"/>
  <c r="Z77" i="13"/>
  <c r="P89" i="13"/>
  <c r="U89" i="13"/>
  <c r="J92" i="13"/>
  <c r="AA71" i="13"/>
  <c r="X9" i="13"/>
  <c r="V70" i="13"/>
  <c r="U66" i="13"/>
  <c r="Y71" i="13"/>
  <c r="Y72" i="13"/>
  <c r="V9" i="13"/>
  <c r="X64" i="13"/>
  <c r="K107" i="13"/>
  <c r="K102" i="13"/>
  <c r="K99" i="13"/>
  <c r="R108" i="13"/>
  <c r="R107" i="13"/>
  <c r="R106" i="13"/>
  <c r="O108" i="13"/>
  <c r="I104" i="13"/>
  <c r="O86" i="13"/>
  <c r="I101" i="13"/>
  <c r="M89" i="13"/>
  <c r="F107" i="13"/>
  <c r="F105" i="13"/>
  <c r="F101" i="13"/>
  <c r="F100" i="13"/>
  <c r="F99" i="13"/>
  <c r="I98" i="13"/>
  <c r="I89" i="13"/>
  <c r="Y62" i="13"/>
  <c r="N93" i="13"/>
  <c r="J93" i="13"/>
  <c r="U93" i="13"/>
  <c r="X6" i="13"/>
  <c r="X4" i="5"/>
  <c r="X24" i="5" s="1"/>
  <c r="U84" i="13"/>
  <c r="H96" i="13"/>
  <c r="Z96" i="13"/>
  <c r="X78" i="13"/>
  <c r="Y76" i="13"/>
  <c r="Q88" i="13"/>
  <c r="G100" i="13"/>
  <c r="V77" i="13"/>
  <c r="G89" i="13"/>
  <c r="W89" i="13"/>
  <c r="V80" i="13"/>
  <c r="H104" i="13"/>
  <c r="Z68" i="13"/>
  <c r="U92" i="13"/>
  <c r="Z92" i="13"/>
  <c r="V62" i="13"/>
  <c r="U62" i="13"/>
  <c r="T69" i="13"/>
  <c r="X63" i="13"/>
  <c r="V75" i="13"/>
  <c r="X72" i="13"/>
  <c r="S71" i="13"/>
  <c r="V83" i="13"/>
  <c r="W71" i="13"/>
  <c r="Z95" i="13"/>
  <c r="Z70" i="13"/>
  <c r="N106" i="13"/>
  <c r="U90" i="13"/>
  <c r="U72" i="13"/>
  <c r="N102" i="13"/>
  <c r="V66" i="13"/>
  <c r="Y90" i="13"/>
  <c r="V78" i="13"/>
  <c r="Q87" i="13"/>
  <c r="U75" i="13"/>
  <c r="Y8" i="13"/>
  <c r="Y68" i="13"/>
  <c r="U68" i="13"/>
  <c r="D108" i="13"/>
  <c r="D106" i="13"/>
  <c r="D104" i="13"/>
  <c r="D101" i="13"/>
  <c r="D100" i="13"/>
  <c r="I95" i="13"/>
  <c r="I94" i="13"/>
  <c r="O95" i="13"/>
  <c r="I87" i="13"/>
  <c r="O104" i="13"/>
  <c r="O106" i="13"/>
  <c r="I106" i="13"/>
  <c r="U74" i="13"/>
  <c r="Q86" i="13"/>
  <c r="W62" i="13"/>
  <c r="X74" i="13"/>
  <c r="L86" i="13"/>
  <c r="Z86" i="13"/>
  <c r="U69" i="13"/>
  <c r="X81" i="13"/>
  <c r="T93" i="13"/>
  <c r="Y69" i="13"/>
  <c r="Y93" i="13"/>
  <c r="AA87" i="13"/>
  <c r="V6" i="13"/>
  <c r="V4" i="5"/>
  <c r="V24" i="5" s="1"/>
  <c r="V63" i="13"/>
  <c r="W84" i="13"/>
  <c r="U70" i="13"/>
  <c r="X82" i="13"/>
  <c r="L94" i="13"/>
  <c r="S94" i="13"/>
  <c r="H106" i="13"/>
  <c r="G95" i="13"/>
  <c r="Y83" i="13"/>
  <c r="Y84" i="13"/>
  <c r="Q96" i="13"/>
  <c r="G108" i="13"/>
  <c r="W77" i="13"/>
  <c r="W76" i="13"/>
  <c r="U76" i="13"/>
  <c r="H88" i="13"/>
  <c r="Z88" i="13"/>
  <c r="U65" i="13"/>
  <c r="W65" i="13"/>
  <c r="X77" i="13"/>
  <c r="L89" i="13"/>
  <c r="S89" i="13"/>
  <c r="H101" i="13"/>
  <c r="AA80" i="13"/>
  <c r="V68" i="13"/>
  <c r="Y92" i="13"/>
  <c r="G92" i="13"/>
  <c r="X62" i="13"/>
  <c r="X69" i="13"/>
  <c r="Z69" i="13"/>
  <c r="AA70" i="13"/>
  <c r="AA66" i="13"/>
  <c r="Z71" i="13"/>
  <c r="T70" i="13"/>
  <c r="Y66" i="13"/>
  <c r="W66" i="13"/>
  <c r="X65" i="13"/>
  <c r="U64" i="13"/>
  <c r="W64" i="13"/>
  <c r="Z7" i="13"/>
  <c r="Z65" i="13"/>
  <c r="X68" i="13"/>
  <c r="T68" i="13"/>
  <c r="AT51" i="9" l="1"/>
  <c r="AQ51" i="9" s="1"/>
  <c r="AT50" i="9"/>
  <c r="AQ50" i="9" s="1"/>
  <c r="R116" i="13"/>
  <c r="I116" i="13"/>
  <c r="R113" i="13"/>
  <c r="I113" i="13"/>
  <c r="R112" i="13"/>
  <c r="I112" i="13"/>
  <c r="AT52" i="9"/>
  <c r="AQ52" i="9" s="1"/>
  <c r="Q71" i="13"/>
  <c r="G72" i="13"/>
  <c r="J69" i="13"/>
  <c r="Q8" i="13"/>
  <c r="Q82" i="13"/>
  <c r="R81" i="13"/>
  <c r="S78" i="13"/>
  <c r="S75" i="13"/>
  <c r="S84" i="13"/>
  <c r="S80" i="13"/>
  <c r="C65" i="13"/>
  <c r="O62" i="13"/>
  <c r="E62" i="13"/>
  <c r="T81" i="13"/>
  <c r="K71" i="13"/>
  <c r="L64" i="13"/>
  <c r="J64" i="13"/>
  <c r="J72" i="13"/>
  <c r="AT46" i="9"/>
  <c r="AQ46" i="9" s="1"/>
  <c r="AT37" i="9"/>
  <c r="AQ37" i="9" s="1"/>
  <c r="G81" i="13"/>
  <c r="AT35" i="9"/>
  <c r="AQ35" i="9" s="1"/>
  <c r="D1061" i="21" a="1"/>
  <c r="D1061" i="21" s="1"/>
  <c r="H1061" i="21" s="1" a="1"/>
  <c r="H1061" i="21" s="1"/>
  <c r="I1061" i="21" s="1" a="1"/>
  <c r="I1061" i="21" s="1"/>
  <c r="P71" i="13"/>
  <c r="F66" i="13"/>
  <c r="L63" i="13"/>
  <c r="D1059" i="21" a="1"/>
  <c r="D1059" i="21" s="1"/>
  <c r="H1059" i="21" s="1" a="1"/>
  <c r="H1059" i="21" s="1"/>
  <c r="K1059" i="21" s="1" a="1"/>
  <c r="K1059" i="21" s="1"/>
  <c r="T75" i="13"/>
  <c r="G84" i="13"/>
  <c r="J71" i="13"/>
  <c r="L65" i="13"/>
  <c r="M62" i="13"/>
  <c r="D1056" i="21"/>
  <c r="H1056" i="21" s="1"/>
  <c r="I1056" i="21" s="1"/>
  <c r="F74" i="13"/>
  <c r="G66" i="13"/>
  <c r="N72" i="13"/>
  <c r="L68" i="13"/>
  <c r="AT47" i="9"/>
  <c r="AQ47" i="9" s="1"/>
  <c r="AT49" i="9"/>
  <c r="AQ49" i="9" s="1"/>
  <c r="K70" i="13"/>
  <c r="G68" i="13"/>
  <c r="AT48" i="9"/>
  <c r="AQ48" i="9" s="1"/>
  <c r="T66" i="13"/>
  <c r="O63" i="13"/>
  <c r="P72" i="13"/>
  <c r="Q83" i="13"/>
  <c r="H64" i="13"/>
  <c r="K68" i="13"/>
  <c r="F69" i="13"/>
  <c r="O68" i="13"/>
  <c r="G63" i="13"/>
  <c r="L66" i="13"/>
  <c r="E70" i="13"/>
  <c r="K69" i="13"/>
  <c r="O78" i="13"/>
  <c r="L69" i="13"/>
  <c r="P7" i="13"/>
  <c r="L75" i="13"/>
  <c r="L72" i="13"/>
  <c r="N69" i="13"/>
  <c r="E64" i="13"/>
  <c r="H63" i="13"/>
  <c r="L70" i="13"/>
  <c r="AT45" i="9"/>
  <c r="AQ45" i="9" s="1"/>
  <c r="M65" i="13"/>
  <c r="F64" i="13"/>
  <c r="H72" i="13"/>
  <c r="H75" i="13"/>
  <c r="O64" i="13"/>
  <c r="D72" i="13"/>
  <c r="E63" i="13"/>
  <c r="M72" i="13"/>
  <c r="I68" i="13"/>
  <c r="J68" i="13"/>
  <c r="D1058" i="21" a="1"/>
  <c r="D1058" i="21" s="1"/>
  <c r="H1058" i="21" s="1" a="1"/>
  <c r="H1058" i="21" s="1"/>
  <c r="J1058" i="21" s="1" a="1"/>
  <c r="J1058" i="21" s="1"/>
  <c r="D1060" i="21" a="1"/>
  <c r="D1060" i="21" s="1"/>
  <c r="H1060" i="21" s="1" a="1"/>
  <c r="H1060" i="21" s="1"/>
  <c r="K1060" i="21" s="1" a="1"/>
  <c r="K1060" i="21" s="1"/>
  <c r="T63" i="13"/>
  <c r="D1057" i="21"/>
  <c r="H1057" i="21" s="1"/>
  <c r="I1057" i="21" s="1"/>
  <c r="AT43" i="9"/>
  <c r="AQ43" i="9" s="1"/>
  <c r="H27" i="21"/>
  <c r="P27" i="21" s="1"/>
  <c r="L71" i="13"/>
  <c r="K63" i="13"/>
  <c r="M76" i="13"/>
  <c r="E81" i="13"/>
  <c r="F62" i="13"/>
  <c r="J70" i="13"/>
  <c r="O65" i="13"/>
  <c r="E66" i="13"/>
  <c r="J66" i="13"/>
  <c r="N66" i="13"/>
  <c r="N71" i="13"/>
  <c r="O70" i="13"/>
  <c r="N62" i="13"/>
  <c r="G62" i="13"/>
  <c r="N5" i="13"/>
  <c r="I64" i="13"/>
  <c r="Q63" i="13"/>
  <c r="D63" i="13"/>
  <c r="N65" i="13"/>
  <c r="D65" i="13"/>
  <c r="G69" i="13"/>
  <c r="H70" i="13"/>
  <c r="N63" i="13"/>
  <c r="S62" i="13"/>
  <c r="H68" i="13"/>
  <c r="K66" i="13"/>
  <c r="P65" i="13"/>
  <c r="H62" i="13"/>
  <c r="M78" i="13"/>
  <c r="H71" i="13"/>
  <c r="M71" i="13"/>
  <c r="O69" i="13"/>
  <c r="D70" i="13"/>
  <c r="E65" i="13"/>
  <c r="H77" i="13"/>
  <c r="F70" i="13"/>
  <c r="I69" i="13"/>
  <c r="G71" i="13"/>
  <c r="I71" i="13"/>
  <c r="C63" i="13"/>
  <c r="P62" i="13"/>
  <c r="M70" i="13"/>
  <c r="G83" i="13"/>
  <c r="C6" i="13"/>
  <c r="D69" i="13"/>
  <c r="J65" i="13"/>
  <c r="G70" i="13"/>
  <c r="F63" i="13"/>
  <c r="M83" i="13"/>
  <c r="L76" i="13"/>
  <c r="I62" i="13"/>
  <c r="E69" i="13"/>
  <c r="R71" i="13"/>
  <c r="G75" i="13"/>
  <c r="H76" i="13"/>
  <c r="K76" i="13"/>
  <c r="L80" i="13"/>
  <c r="E71" i="13"/>
  <c r="H65" i="13"/>
  <c r="D64" i="13"/>
  <c r="O74" i="13"/>
  <c r="D68" i="13"/>
  <c r="O84" i="13"/>
  <c r="D81" i="13"/>
  <c r="O77" i="13"/>
  <c r="AT38" i="9"/>
  <c r="AQ38" i="9" s="1"/>
  <c r="D71" i="13"/>
  <c r="I72" i="13"/>
  <c r="R70" i="13"/>
  <c r="N64" i="13"/>
  <c r="P9" i="13"/>
  <c r="H69" i="13"/>
  <c r="O72" i="13"/>
  <c r="M64" i="13"/>
  <c r="K8" i="13"/>
  <c r="M63" i="13"/>
  <c r="J62" i="13"/>
  <c r="F71" i="13"/>
  <c r="I66" i="13"/>
  <c r="M68" i="13"/>
  <c r="E72" i="13"/>
  <c r="F72" i="13"/>
  <c r="P70" i="13"/>
  <c r="L77" i="13"/>
  <c r="H7" i="13"/>
  <c r="E82" i="13"/>
  <c r="H1076" i="21"/>
  <c r="L1076" i="21" s="1"/>
  <c r="P69" i="13"/>
  <c r="R80" i="13"/>
  <c r="I7" i="13"/>
  <c r="E83" i="13"/>
  <c r="J80" i="13"/>
  <c r="N70" i="13"/>
  <c r="H84" i="13"/>
  <c r="AT3" i="9"/>
  <c r="AQ3" i="9" s="1"/>
  <c r="B375" i="21"/>
  <c r="G375" i="21" s="1"/>
  <c r="E77" i="13"/>
  <c r="N68" i="13"/>
  <c r="W6" i="13"/>
  <c r="K7" i="13"/>
  <c r="B397" i="21"/>
  <c r="O82" i="13"/>
  <c r="H1067" i="21"/>
  <c r="I65" i="13"/>
  <c r="M66" i="13"/>
  <c r="H1077" i="21"/>
  <c r="K65" i="13"/>
  <c r="E5" i="13"/>
  <c r="P68" i="13"/>
  <c r="H1066" i="21"/>
  <c r="I84" i="13"/>
  <c r="J82" i="13"/>
  <c r="M9" i="13"/>
  <c r="B337" i="21"/>
  <c r="K337" i="21" s="1"/>
  <c r="F6" i="13"/>
  <c r="L62" i="13"/>
  <c r="F7" i="13"/>
  <c r="L84" i="13"/>
  <c r="O71" i="13"/>
  <c r="F76" i="13"/>
  <c r="I81" i="13"/>
  <c r="N7" i="13"/>
  <c r="H5" i="13"/>
  <c r="F65" i="13"/>
  <c r="K9" i="13"/>
  <c r="B332" i="21"/>
  <c r="K332" i="21" s="1"/>
  <c r="T65" i="13"/>
  <c r="Q62" i="13"/>
  <c r="C74" i="13"/>
  <c r="J63" i="13"/>
  <c r="M82" i="13"/>
  <c r="H8" i="13"/>
  <c r="F8" i="13"/>
  <c r="K72" i="13"/>
  <c r="F68" i="13"/>
  <c r="D66" i="13"/>
  <c r="I9" i="13"/>
  <c r="C72" i="13"/>
  <c r="H66" i="13"/>
  <c r="M77" i="13"/>
  <c r="P66" i="13"/>
  <c r="B328" i="21"/>
  <c r="B338" i="21"/>
  <c r="K338" i="21" s="1"/>
  <c r="F389" i="21"/>
  <c r="L389" i="21" s="1"/>
  <c r="F648" i="21"/>
  <c r="L648" i="21" s="1"/>
  <c r="F304" i="21"/>
  <c r="L304" i="21" s="1"/>
  <c r="F351" i="21"/>
  <c r="L351" i="21" s="1"/>
  <c r="F295" i="21"/>
  <c r="L295" i="21" s="1"/>
  <c r="F350" i="21"/>
  <c r="L350" i="21" s="1"/>
  <c r="B297" i="21"/>
  <c r="K297" i="21" s="1"/>
  <c r="F385" i="21"/>
  <c r="L385" i="21" s="1"/>
  <c r="F329" i="21"/>
  <c r="L329" i="21" s="1"/>
  <c r="F344" i="21"/>
  <c r="L344" i="21" s="1"/>
  <c r="F411" i="21"/>
  <c r="L411" i="21" s="1"/>
  <c r="F363" i="21"/>
  <c r="L363" i="21" s="1"/>
  <c r="N78" i="13"/>
  <c r="P8" i="13"/>
  <c r="AT39" i="9"/>
  <c r="AQ39" i="9" s="1"/>
  <c r="G80" i="13"/>
  <c r="F75" i="13"/>
  <c r="D84" i="13"/>
  <c r="P81" i="13"/>
  <c r="D74" i="13"/>
  <c r="C8" i="13"/>
  <c r="J1061" i="21" a="1"/>
  <c r="J1061" i="21" s="1"/>
  <c r="I1070" i="21" a="1"/>
  <c r="I1070" i="21" s="1"/>
  <c r="K1078" i="21" a="1"/>
  <c r="K1078" i="21" s="1"/>
  <c r="J1081" i="21" a="1"/>
  <c r="J1081" i="21" s="1"/>
  <c r="K1069" i="21" a="1"/>
  <c r="K1069" i="21" s="1"/>
  <c r="T77" i="13"/>
  <c r="Q6" i="13"/>
  <c r="K78" i="13"/>
  <c r="L8" i="13"/>
  <c r="L78" i="13"/>
  <c r="Q68" i="13"/>
  <c r="I1068" i="21" a="1"/>
  <c r="I1068" i="21" s="1"/>
  <c r="Q80" i="13"/>
  <c r="P63" i="13"/>
  <c r="J1079" i="21" a="1"/>
  <c r="J1079" i="21" s="1"/>
  <c r="K1070" i="21" a="1"/>
  <c r="K1070" i="21" s="1"/>
  <c r="J1069" i="21" a="1"/>
  <c r="J1069" i="21" s="1"/>
  <c r="Q78" i="13"/>
  <c r="G9" i="13"/>
  <c r="R7" i="13"/>
  <c r="R9" i="13"/>
  <c r="M5" i="13"/>
  <c r="O80" i="13"/>
  <c r="K84" i="13"/>
  <c r="O83" i="13"/>
  <c r="T78" i="13"/>
  <c r="M84" i="13"/>
  <c r="T82" i="13"/>
  <c r="Q5" i="13"/>
  <c r="T7" i="13"/>
  <c r="I1058" i="21" a="1"/>
  <c r="I1058" i="21" s="1"/>
  <c r="I1078" i="21" a="1"/>
  <c r="I1078" i="21" s="1"/>
  <c r="Q9" i="13"/>
  <c r="R6" i="13"/>
  <c r="T9" i="13"/>
  <c r="T8" i="13"/>
  <c r="J1059" i="21" a="1"/>
  <c r="J1059" i="21" s="1"/>
  <c r="K1058" i="21" a="1"/>
  <c r="K1058" i="21" s="1"/>
  <c r="K1079" i="21" a="1"/>
  <c r="K1079" i="21" s="1"/>
  <c r="H89" i="13"/>
  <c r="AT4" i="9"/>
  <c r="AQ4" i="9" s="1"/>
  <c r="F420" i="21"/>
  <c r="L420" i="21" s="1"/>
  <c r="F324" i="21"/>
  <c r="L324" i="21" s="1"/>
  <c r="F388" i="21"/>
  <c r="L388" i="21" s="1"/>
  <c r="F668" i="21"/>
  <c r="L668" i="21" s="1"/>
  <c r="F323" i="21"/>
  <c r="L323" i="21" s="1"/>
  <c r="F355" i="21"/>
  <c r="L355" i="21" s="1"/>
  <c r="F387" i="21"/>
  <c r="L387" i="21" s="1"/>
  <c r="F419" i="21"/>
  <c r="L419" i="21" s="1"/>
  <c r="F667" i="21"/>
  <c r="L667" i="21" s="1"/>
  <c r="F328" i="21"/>
  <c r="L328" i="21" s="1"/>
  <c r="F394" i="21"/>
  <c r="L394" i="21" s="1"/>
  <c r="F296" i="21"/>
  <c r="L296" i="21" s="1"/>
  <c r="F362" i="21"/>
  <c r="L362" i="21" s="1"/>
  <c r="F424" i="21"/>
  <c r="L424" i="21" s="1"/>
  <c r="F313" i="21"/>
  <c r="L313" i="21" s="1"/>
  <c r="F345" i="21"/>
  <c r="L345" i="21" s="1"/>
  <c r="F377" i="21"/>
  <c r="L377" i="21" s="1"/>
  <c r="F409" i="21"/>
  <c r="L409" i="21" s="1"/>
  <c r="F657" i="21"/>
  <c r="L657" i="21" s="1"/>
  <c r="B329" i="21"/>
  <c r="K329" i="21" s="1"/>
  <c r="B340" i="21"/>
  <c r="K340" i="21" s="1"/>
  <c r="B300" i="21"/>
  <c r="F302" i="21"/>
  <c r="L302" i="21" s="1"/>
  <c r="F332" i="21"/>
  <c r="L332" i="21" s="1"/>
  <c r="F364" i="21"/>
  <c r="L364" i="21" s="1"/>
  <c r="F414" i="21"/>
  <c r="L414" i="21" s="1"/>
  <c r="F300" i="21"/>
  <c r="L300" i="21" s="1"/>
  <c r="F366" i="21"/>
  <c r="L366" i="21" s="1"/>
  <c r="F644" i="21"/>
  <c r="L644" i="21" s="1"/>
  <c r="F311" i="21"/>
  <c r="L311" i="21" s="1"/>
  <c r="F343" i="21"/>
  <c r="L343" i="21" s="1"/>
  <c r="F375" i="21"/>
  <c r="L375" i="21" s="1"/>
  <c r="F407" i="21"/>
  <c r="L407" i="21" s="1"/>
  <c r="F655" i="21"/>
  <c r="L655" i="21" s="1"/>
  <c r="F306" i="21"/>
  <c r="L306" i="21" s="1"/>
  <c r="F368" i="21"/>
  <c r="L368" i="21" s="1"/>
  <c r="F650" i="21"/>
  <c r="L650" i="21" s="1"/>
  <c r="F320" i="21"/>
  <c r="L320" i="21" s="1"/>
  <c r="F384" i="21"/>
  <c r="L384" i="21" s="1"/>
  <c r="F664" i="21"/>
  <c r="L664" i="21" s="1"/>
  <c r="F317" i="21"/>
  <c r="L317" i="21" s="1"/>
  <c r="F349" i="21"/>
  <c r="L349" i="21" s="1"/>
  <c r="F381" i="21"/>
  <c r="L381" i="21" s="1"/>
  <c r="F413" i="21"/>
  <c r="L413" i="21" s="1"/>
  <c r="F661" i="21"/>
  <c r="L661" i="21" s="1"/>
  <c r="B394" i="21"/>
  <c r="K394" i="21" s="1"/>
  <c r="B317" i="21"/>
  <c r="I1080" i="21" a="1"/>
  <c r="I1080" i="21" s="1"/>
  <c r="K1071" i="21" a="1"/>
  <c r="K1071" i="21" s="1"/>
  <c r="R99" i="13"/>
  <c r="I1081" i="21" a="1"/>
  <c r="I1081" i="21" s="1"/>
  <c r="B323" i="21"/>
  <c r="K323" i="21" s="1"/>
  <c r="B325" i="21"/>
  <c r="G325" i="21" s="1"/>
  <c r="B298" i="21"/>
  <c r="F653" i="21"/>
  <c r="L653" i="21" s="1"/>
  <c r="F397" i="21"/>
  <c r="L397" i="21" s="1"/>
  <c r="F357" i="21"/>
  <c r="L357" i="21" s="1"/>
  <c r="F309" i="21"/>
  <c r="L309" i="21" s="1"/>
  <c r="F416" i="21"/>
  <c r="L416" i="21" s="1"/>
  <c r="F336" i="21"/>
  <c r="L336" i="21" s="1"/>
  <c r="F418" i="21"/>
  <c r="L418" i="21" s="1"/>
  <c r="F338" i="21"/>
  <c r="L338" i="21" s="1"/>
  <c r="F663" i="21"/>
  <c r="L663" i="21" s="1"/>
  <c r="F399" i="21"/>
  <c r="L399" i="21" s="1"/>
  <c r="F359" i="21"/>
  <c r="L359" i="21" s="1"/>
  <c r="F319" i="21"/>
  <c r="L319" i="21" s="1"/>
  <c r="F412" i="21"/>
  <c r="L412" i="21" s="1"/>
  <c r="F334" i="21"/>
  <c r="L334" i="21" s="1"/>
  <c r="F646" i="21"/>
  <c r="L646" i="21" s="1"/>
  <c r="F356" i="21"/>
  <c r="L356" i="21" s="1"/>
  <c r="F318" i="21"/>
  <c r="L318" i="21" s="1"/>
  <c r="B316" i="21"/>
  <c r="B345" i="21"/>
  <c r="G345" i="21" s="1"/>
  <c r="F665" i="21"/>
  <c r="L665" i="21" s="1"/>
  <c r="F401" i="21"/>
  <c r="L401" i="21" s="1"/>
  <c r="F361" i="21"/>
  <c r="L361" i="21" s="1"/>
  <c r="F321" i="21"/>
  <c r="L321" i="21" s="1"/>
  <c r="F408" i="21"/>
  <c r="L408" i="21" s="1"/>
  <c r="F330" i="21"/>
  <c r="L330" i="21" s="1"/>
  <c r="F410" i="21"/>
  <c r="L410" i="21" s="1"/>
  <c r="F314" i="21"/>
  <c r="L314" i="21" s="1"/>
  <c r="F651" i="21"/>
  <c r="L651" i="21" s="1"/>
  <c r="F395" i="21"/>
  <c r="L395" i="21" s="1"/>
  <c r="F347" i="21"/>
  <c r="L347" i="21" s="1"/>
  <c r="F307" i="21"/>
  <c r="L307" i="21" s="1"/>
  <c r="F404" i="21"/>
  <c r="L404" i="21" s="1"/>
  <c r="F308" i="21"/>
  <c r="L308" i="21" s="1"/>
  <c r="F390" i="21"/>
  <c r="L390" i="21" s="1"/>
  <c r="S9" i="13"/>
  <c r="J94" i="13"/>
  <c r="L7" i="13"/>
  <c r="J95" i="13"/>
  <c r="T94" i="13"/>
  <c r="B704" i="21"/>
  <c r="K98" i="13"/>
  <c r="I108" i="13"/>
  <c r="Q111" i="13"/>
  <c r="F111" i="13"/>
  <c r="Q116" i="13"/>
  <c r="F116" i="13"/>
  <c r="Q112" i="13"/>
  <c r="F112" i="13"/>
  <c r="H87" i="13"/>
  <c r="E92" i="13"/>
  <c r="B296" i="21"/>
  <c r="K296" i="21" s="1"/>
  <c r="B315" i="21"/>
  <c r="B379" i="21"/>
  <c r="K379" i="21" s="1"/>
  <c r="B293" i="21"/>
  <c r="B306" i="21"/>
  <c r="B695" i="21"/>
  <c r="K695" i="21" s="1"/>
  <c r="B697" i="21"/>
  <c r="G697" i="21" s="1"/>
  <c r="B294" i="21"/>
  <c r="G294" i="21" s="1"/>
  <c r="B374" i="21"/>
  <c r="F722" i="21"/>
  <c r="L722" i="21" s="1"/>
  <c r="K104" i="13"/>
  <c r="N99" i="13"/>
  <c r="K5" i="13"/>
  <c r="P105" i="13"/>
  <c r="Q119" i="13"/>
  <c r="F119" i="13"/>
  <c r="Q110" i="13"/>
  <c r="F110" i="13"/>
  <c r="G86" i="13"/>
  <c r="R8" i="13"/>
  <c r="Q120" i="13"/>
  <c r="F120" i="13"/>
  <c r="K1057" i="21"/>
  <c r="B312" i="21"/>
  <c r="G312" i="21" s="1"/>
  <c r="B376" i="21"/>
  <c r="K376" i="21" s="1"/>
  <c r="B299" i="21"/>
  <c r="K299" i="21" s="1"/>
  <c r="B309" i="21"/>
  <c r="K309" i="21" s="1"/>
  <c r="B682" i="21"/>
  <c r="B308" i="21"/>
  <c r="B380" i="21"/>
  <c r="G380" i="21" s="1"/>
  <c r="B303" i="21"/>
  <c r="K303" i="21" s="1"/>
  <c r="B313" i="21"/>
  <c r="B385" i="21"/>
  <c r="K385" i="21" s="1"/>
  <c r="B318" i="21"/>
  <c r="K318" i="21" s="1"/>
  <c r="R105" i="13"/>
  <c r="K106" i="13"/>
  <c r="N101" i="13"/>
  <c r="R83" i="13"/>
  <c r="M107" i="13"/>
  <c r="Q104" i="13"/>
  <c r="P101" i="13"/>
  <c r="Q108" i="13"/>
  <c r="B684" i="21"/>
  <c r="G684" i="21" s="1"/>
  <c r="O100" i="13"/>
  <c r="P106" i="13"/>
  <c r="P102" i="13"/>
  <c r="T4" i="5"/>
  <c r="T24" i="5" s="1"/>
  <c r="K1061" i="21" a="1"/>
  <c r="K1061" i="21" s="1"/>
  <c r="J1080" i="21" a="1"/>
  <c r="J1080" i="21" s="1"/>
  <c r="K1068" i="21" a="1"/>
  <c r="K1068" i="21" s="1"/>
  <c r="J1071" i="21" a="1"/>
  <c r="J1071" i="21" s="1"/>
  <c r="B686" i="21"/>
  <c r="G686" i="21" s="1"/>
  <c r="K100" i="13"/>
  <c r="O87" i="13"/>
  <c r="Q81" i="13"/>
  <c r="M93" i="13"/>
  <c r="B685" i="21"/>
  <c r="G685" i="21" s="1"/>
  <c r="B688" i="21"/>
  <c r="G688" i="21" s="1"/>
  <c r="B698" i="21"/>
  <c r="G698" i="21" s="1"/>
  <c r="B687" i="21"/>
  <c r="B691" i="21"/>
  <c r="J89" i="13"/>
  <c r="L95" i="13"/>
  <c r="M101" i="13"/>
  <c r="C88" i="13"/>
  <c r="D95" i="13"/>
  <c r="D92" i="13"/>
  <c r="M100" i="13"/>
  <c r="P100" i="13"/>
  <c r="X95" i="13"/>
  <c r="O107" i="13"/>
  <c r="S88" i="13"/>
  <c r="R89" i="13"/>
  <c r="G88" i="13"/>
  <c r="K88" i="13"/>
  <c r="T83" i="13"/>
  <c r="C108" i="13"/>
  <c r="M108" i="13"/>
  <c r="M96" i="13"/>
  <c r="G96" i="13"/>
  <c r="T90" i="13"/>
  <c r="M99" i="13"/>
  <c r="R87" i="13"/>
  <c r="J83" i="13"/>
  <c r="Z90" i="13"/>
  <c r="Q102" i="13"/>
  <c r="P93" i="13"/>
  <c r="R92" i="13"/>
  <c r="R90" i="13"/>
  <c r="K93" i="13"/>
  <c r="N86" i="13"/>
  <c r="J75" i="13"/>
  <c r="R94" i="13"/>
  <c r="S90" i="13"/>
  <c r="N100" i="13"/>
  <c r="L1078" i="21"/>
  <c r="K143" i="21"/>
  <c r="K144" i="21"/>
  <c r="K145" i="21" s="1"/>
  <c r="P145" i="21" s="1"/>
  <c r="L1080" i="21"/>
  <c r="B701" i="21"/>
  <c r="G701" i="21" s="1"/>
  <c r="B680" i="21"/>
  <c r="B690" i="21"/>
  <c r="K690" i="21" s="1"/>
  <c r="B703" i="21"/>
  <c r="B689" i="21"/>
  <c r="G689" i="21" s="1"/>
  <c r="B700" i="21"/>
  <c r="F1051" i="21"/>
  <c r="L1051" i="21" s="1"/>
  <c r="AA90" i="13"/>
  <c r="O102" i="13"/>
  <c r="X89" i="13"/>
  <c r="E101" i="13"/>
  <c r="AA86" i="13"/>
  <c r="O98" i="13"/>
  <c r="Z93" i="13"/>
  <c r="N105" i="13"/>
  <c r="B693" i="21"/>
  <c r="K693" i="21" s="1"/>
  <c r="B696" i="21"/>
  <c r="G696" i="21" s="1"/>
  <c r="F788" i="21"/>
  <c r="L788" i="21" s="1"/>
  <c r="B681" i="21"/>
  <c r="K681" i="21" s="1"/>
  <c r="B678" i="21"/>
  <c r="G678" i="21" s="1"/>
  <c r="B699" i="21"/>
  <c r="F738" i="21"/>
  <c r="L738" i="21" s="1"/>
  <c r="V88" i="13"/>
  <c r="C100" i="13"/>
  <c r="B702" i="21"/>
  <c r="G702" i="21" s="1"/>
  <c r="F754" i="21"/>
  <c r="L754" i="21" s="1"/>
  <c r="B679" i="21"/>
  <c r="K679" i="21" s="1"/>
  <c r="F793" i="21"/>
  <c r="L793" i="21" s="1"/>
  <c r="B692" i="21"/>
  <c r="K692" i="21" s="1"/>
  <c r="B694" i="21"/>
  <c r="K694" i="21" s="1"/>
  <c r="B683" i="21"/>
  <c r="F711" i="21"/>
  <c r="L711" i="21" s="1"/>
  <c r="B319" i="21"/>
  <c r="B351" i="21"/>
  <c r="B305" i="21"/>
  <c r="K305" i="21" s="1"/>
  <c r="B369" i="21"/>
  <c r="K369" i="21" s="1"/>
  <c r="B302" i="21"/>
  <c r="K302" i="21" s="1"/>
  <c r="AT79" i="9"/>
  <c r="AQ79" i="9" s="1"/>
  <c r="T6" i="13"/>
  <c r="F87" i="13"/>
  <c r="T84" i="13"/>
  <c r="P87" i="13"/>
  <c r="P92" i="13"/>
  <c r="N77" i="13"/>
  <c r="O90" i="13"/>
  <c r="P90" i="13"/>
  <c r="C96" i="13"/>
  <c r="O96" i="13"/>
  <c r="P96" i="13"/>
  <c r="T76" i="13"/>
  <c r="K96" i="13"/>
  <c r="C92" i="13"/>
  <c r="W80" i="13"/>
  <c r="Y88" i="13"/>
  <c r="R88" i="13"/>
  <c r="G102" i="13"/>
  <c r="E102" i="13"/>
  <c r="H94" i="13"/>
  <c r="F94" i="13"/>
  <c r="Q90" i="13"/>
  <c r="I99" i="13"/>
  <c r="Q84" i="13"/>
  <c r="H83" i="13"/>
  <c r="O76" i="13"/>
  <c r="AD10" i="13"/>
  <c r="H81" i="13"/>
  <c r="F81" i="13"/>
  <c r="W95" i="13"/>
  <c r="P95" i="13"/>
  <c r="M94" i="13"/>
  <c r="I90" i="13"/>
  <c r="G93" i="13"/>
  <c r="E93" i="13"/>
  <c r="G107" i="13"/>
  <c r="E107" i="13"/>
  <c r="S74" i="13"/>
  <c r="L74" i="13"/>
  <c r="S81" i="13"/>
  <c r="Y75" i="13"/>
  <c r="R75" i="13"/>
  <c r="W83" i="13"/>
  <c r="X76" i="13"/>
  <c r="Q76" i="13"/>
  <c r="M92" i="13"/>
  <c r="H29" i="21"/>
  <c r="P29" i="21" s="1"/>
  <c r="V5" i="13"/>
  <c r="U9" i="13"/>
  <c r="W8" i="13"/>
  <c r="U7" i="13"/>
  <c r="U4" i="5"/>
  <c r="U24" i="5" s="1"/>
  <c r="V7" i="13"/>
  <c r="X7" i="13"/>
  <c r="W4" i="5"/>
  <c r="W24" i="5" s="1"/>
  <c r="U5" i="13"/>
  <c r="AA9" i="13"/>
  <c r="X8" i="13"/>
  <c r="W9" i="13"/>
  <c r="Z5" i="13"/>
  <c r="Z8" i="13"/>
  <c r="AA7" i="13"/>
  <c r="L1071" i="21"/>
  <c r="L1070" i="21"/>
  <c r="L1079" i="21"/>
  <c r="L1069" i="21"/>
  <c r="L1081" i="21"/>
  <c r="L1068" i="21"/>
  <c r="Z6" i="13"/>
  <c r="Z4" i="5"/>
  <c r="Z24" i="5" s="1"/>
  <c r="AA6" i="13"/>
  <c r="AA4" i="5"/>
  <c r="AA24" i="5" s="1"/>
  <c r="D1101" i="21" a="1"/>
  <c r="D1101" i="21" s="1"/>
  <c r="H282" i="21" a="1"/>
  <c r="H282" i="21" s="1"/>
  <c r="K282" i="21" s="1" a="1"/>
  <c r="K282" i="21" s="1"/>
  <c r="P282" i="21" s="1"/>
  <c r="H278" i="21" a="1"/>
  <c r="H278" i="21" s="1"/>
  <c r="D1096" i="21" a="1"/>
  <c r="D1096" i="21" s="1"/>
  <c r="D1097" i="21" a="1"/>
  <c r="D1097" i="21" s="1"/>
  <c r="D1100" i="21" a="1"/>
  <c r="D1100" i="21" s="1"/>
  <c r="H276" i="21" a="1"/>
  <c r="H276" i="21" s="1"/>
  <c r="H280" i="21" a="1"/>
  <c r="H280" i="21" s="1"/>
  <c r="H281" i="21" a="1"/>
  <c r="H281" i="21" s="1"/>
  <c r="H277" i="21" a="1"/>
  <c r="H277" i="21" s="1"/>
  <c r="H275" i="21" a="1"/>
  <c r="H275" i="21" s="1"/>
  <c r="H279" i="21" a="1"/>
  <c r="H279" i="21" s="1"/>
  <c r="K279" i="21" s="1" a="1"/>
  <c r="K279" i="21" s="1"/>
  <c r="P279" i="21" s="1"/>
  <c r="P6" i="13"/>
  <c r="J1056" i="21" l="1"/>
  <c r="K6" i="13"/>
  <c r="E74" i="13"/>
  <c r="O81" i="13"/>
  <c r="G78" i="13"/>
  <c r="H80" i="13"/>
  <c r="C83" i="13"/>
  <c r="B348" i="21"/>
  <c r="G348" i="21" s="1"/>
  <c r="D5" i="13"/>
  <c r="L81" i="13"/>
  <c r="R110" i="13"/>
  <c r="I110" i="13"/>
  <c r="R111" i="13"/>
  <c r="I111" i="13"/>
  <c r="R114" i="13"/>
  <c r="I114" i="13"/>
  <c r="R119" i="13"/>
  <c r="I119" i="13"/>
  <c r="R117" i="13"/>
  <c r="I117" i="13"/>
  <c r="R120" i="13"/>
  <c r="I120" i="13"/>
  <c r="R118" i="13"/>
  <c r="I118" i="13"/>
  <c r="B393" i="21"/>
  <c r="G393" i="21" s="1"/>
  <c r="K80" i="13"/>
  <c r="B390" i="21"/>
  <c r="K390" i="21" s="1"/>
  <c r="B389" i="21"/>
  <c r="G389" i="21" s="1"/>
  <c r="B392" i="21"/>
  <c r="B396" i="21"/>
  <c r="K396" i="21" s="1"/>
  <c r="E9" i="13"/>
  <c r="B388" i="21"/>
  <c r="G388" i="21" s="1"/>
  <c r="B391" i="21"/>
  <c r="K391" i="21" s="1"/>
  <c r="B395" i="21"/>
  <c r="K395" i="21" s="1"/>
  <c r="B378" i="21"/>
  <c r="P4" i="5"/>
  <c r="P24" i="5" s="1"/>
  <c r="D76" i="13"/>
  <c r="B398" i="21"/>
  <c r="G398" i="21" s="1"/>
  <c r="B383" i="21"/>
  <c r="K383" i="21" s="1"/>
  <c r="B386" i="21"/>
  <c r="G386" i="21" s="1"/>
  <c r="B399" i="21"/>
  <c r="G399" i="21" s="1"/>
  <c r="B381" i="21"/>
  <c r="I381" i="21" s="1" a="1"/>
  <c r="I381" i="21" s="1"/>
  <c r="F77" i="13"/>
  <c r="I75" i="13"/>
  <c r="M8" i="13"/>
  <c r="D9" i="13"/>
  <c r="M75" i="13"/>
  <c r="B346" i="21"/>
  <c r="B322" i="21"/>
  <c r="G322" i="21" s="1"/>
  <c r="B326" i="21"/>
  <c r="G326" i="21" s="1"/>
  <c r="G76" i="13"/>
  <c r="B358" i="21"/>
  <c r="B366" i="21"/>
  <c r="G366" i="21" s="1"/>
  <c r="B356" i="21"/>
  <c r="G356" i="21" s="1"/>
  <c r="B331" i="21"/>
  <c r="B335" i="21"/>
  <c r="K335" i="21" s="1"/>
  <c r="B342" i="21"/>
  <c r="K342" i="21" s="1"/>
  <c r="B371" i="21"/>
  <c r="K371" i="21" s="1"/>
  <c r="B343" i="21"/>
  <c r="F82" i="13"/>
  <c r="K81" i="13"/>
  <c r="P83" i="13"/>
  <c r="C62" i="13"/>
  <c r="I76" i="13"/>
  <c r="B327" i="21"/>
  <c r="B336" i="21"/>
  <c r="B341" i="21"/>
  <c r="K341" i="21" s="1"/>
  <c r="H9" i="13"/>
  <c r="I5" i="13"/>
  <c r="M81" i="13"/>
  <c r="N8" i="13"/>
  <c r="B363" i="21"/>
  <c r="F358" i="21"/>
  <c r="L358" i="21" s="1"/>
  <c r="F392" i="21"/>
  <c r="L392" i="21" s="1"/>
  <c r="B361" i="21"/>
  <c r="F326" i="21"/>
  <c r="L326" i="21" s="1"/>
  <c r="F352" i="21"/>
  <c r="L352" i="21" s="1"/>
  <c r="F669" i="21"/>
  <c r="L669" i="21" s="1"/>
  <c r="B339" i="21"/>
  <c r="G339" i="21" s="1"/>
  <c r="B333" i="21"/>
  <c r="B314" i="21"/>
  <c r="K314" i="21" s="1"/>
  <c r="H24" i="21"/>
  <c r="P24" i="21" s="1"/>
  <c r="S4" i="5"/>
  <c r="S24" i="5" s="1"/>
  <c r="B355" i="21"/>
  <c r="K355" i="21" s="1"/>
  <c r="B310" i="21"/>
  <c r="K310" i="21" s="1"/>
  <c r="B307" i="21"/>
  <c r="B359" i="21"/>
  <c r="Q4" i="5"/>
  <c r="Q24" i="5" s="1"/>
  <c r="S6" i="13"/>
  <c r="N74" i="13"/>
  <c r="F299" i="21"/>
  <c r="L299" i="21" s="1"/>
  <c r="F658" i="21"/>
  <c r="L658" i="21" s="1"/>
  <c r="F649" i="21"/>
  <c r="L649" i="21" s="1"/>
  <c r="B311" i="21"/>
  <c r="K311" i="21" s="1"/>
  <c r="F380" i="21"/>
  <c r="L380" i="21" s="1"/>
  <c r="F415" i="21"/>
  <c r="L415" i="21" s="1"/>
  <c r="F333" i="21"/>
  <c r="L333" i="21" s="1"/>
  <c r="B373" i="21"/>
  <c r="K373" i="21" s="1"/>
  <c r="B368" i="21"/>
  <c r="K368" i="21" s="1"/>
  <c r="B321" i="21"/>
  <c r="K321" i="21" s="1"/>
  <c r="B377" i="21"/>
  <c r="G377" i="21" s="1"/>
  <c r="B344" i="21"/>
  <c r="K344" i="21" s="1"/>
  <c r="B350" i="21"/>
  <c r="K350" i="21" s="1"/>
  <c r="R4" i="5"/>
  <c r="R24" i="5" s="1"/>
  <c r="F1040" i="21"/>
  <c r="L1040" i="21" s="1"/>
  <c r="B354" i="21"/>
  <c r="B352" i="21"/>
  <c r="G352" i="21" s="1"/>
  <c r="B362" i="21"/>
  <c r="G362" i="21" s="1"/>
  <c r="E76" i="13"/>
  <c r="C84" i="13"/>
  <c r="S72" i="13"/>
  <c r="Q72" i="13"/>
  <c r="M74" i="13"/>
  <c r="F83" i="13"/>
  <c r="C80" i="13"/>
  <c r="S68" i="13"/>
  <c r="F78" i="13"/>
  <c r="K83" i="13"/>
  <c r="J81" i="13"/>
  <c r="N82" i="13"/>
  <c r="F80" i="13"/>
  <c r="F84" i="13"/>
  <c r="M80" i="13"/>
  <c r="N81" i="13"/>
  <c r="C77" i="13"/>
  <c r="S65" i="13"/>
  <c r="Q65" i="13"/>
  <c r="E80" i="13"/>
  <c r="E84" i="13"/>
  <c r="C78" i="13"/>
  <c r="K77" i="13"/>
  <c r="E75" i="13"/>
  <c r="K75" i="13"/>
  <c r="I82" i="13"/>
  <c r="N76" i="13"/>
  <c r="G74" i="13"/>
  <c r="I78" i="13"/>
  <c r="J77" i="13"/>
  <c r="K74" i="13"/>
  <c r="G77" i="13"/>
  <c r="C82" i="13"/>
  <c r="Q70" i="13"/>
  <c r="S70" i="13"/>
  <c r="N84" i="13"/>
  <c r="H82" i="13"/>
  <c r="N75" i="13"/>
  <c r="H78" i="13"/>
  <c r="K82" i="13"/>
  <c r="I77" i="13"/>
  <c r="C81" i="13"/>
  <c r="S69" i="13"/>
  <c r="Q69" i="13"/>
  <c r="J74" i="13"/>
  <c r="J76" i="13"/>
  <c r="N80" i="13"/>
  <c r="L82" i="13"/>
  <c r="Q66" i="13"/>
  <c r="I74" i="13"/>
  <c r="L83" i="13"/>
  <c r="H74" i="13"/>
  <c r="I80" i="13"/>
  <c r="G82" i="13"/>
  <c r="C75" i="13"/>
  <c r="S63" i="13"/>
  <c r="C76" i="13"/>
  <c r="Q64" i="13"/>
  <c r="S64" i="13"/>
  <c r="J84" i="13"/>
  <c r="P84" i="13"/>
  <c r="R84" i="13"/>
  <c r="P74" i="13"/>
  <c r="R74" i="13"/>
  <c r="R65" i="13"/>
  <c r="R69" i="13"/>
  <c r="G332" i="21"/>
  <c r="S7" i="13"/>
  <c r="P78" i="13"/>
  <c r="R78" i="13"/>
  <c r="P77" i="13"/>
  <c r="R77" i="13"/>
  <c r="P82" i="13"/>
  <c r="R82" i="13"/>
  <c r="R62" i="13"/>
  <c r="P76" i="13"/>
  <c r="R76" i="13"/>
  <c r="R64" i="13"/>
  <c r="S8" i="13"/>
  <c r="R72" i="13"/>
  <c r="S5" i="13"/>
  <c r="J1057" i="21"/>
  <c r="K689" i="21"/>
  <c r="R5" i="13"/>
  <c r="J8" i="13"/>
  <c r="D8" i="13"/>
  <c r="I6" i="13"/>
  <c r="I4" i="5"/>
  <c r="I24" i="5" s="1"/>
  <c r="K352" i="21"/>
  <c r="K377" i="21"/>
  <c r="F734" i="21"/>
  <c r="L734" i="21" s="1"/>
  <c r="I1059" i="21" a="1"/>
  <c r="I1059" i="21" s="1"/>
  <c r="K1056" i="21"/>
  <c r="L1056" i="21" s="1"/>
  <c r="P75" i="13"/>
  <c r="J7" i="13"/>
  <c r="P5" i="13"/>
  <c r="L9" i="13"/>
  <c r="G309" i="21"/>
  <c r="F808" i="21"/>
  <c r="L808" i="21" s="1"/>
  <c r="F776" i="21"/>
  <c r="L776" i="21" s="1"/>
  <c r="F806" i="21"/>
  <c r="L806" i="21" s="1"/>
  <c r="F743" i="21"/>
  <c r="L743" i="21" s="1"/>
  <c r="G305" i="21"/>
  <c r="F708" i="21"/>
  <c r="L708" i="21" s="1"/>
  <c r="B725" i="21"/>
  <c r="K725" i="21" s="1"/>
  <c r="F768" i="21"/>
  <c r="L768" i="21" s="1"/>
  <c r="F1030" i="21"/>
  <c r="L1030" i="21" s="1"/>
  <c r="F741" i="21"/>
  <c r="L741" i="21" s="1"/>
  <c r="F725" i="21"/>
  <c r="L725" i="21" s="1"/>
  <c r="F1043" i="21"/>
  <c r="L1043" i="21" s="1"/>
  <c r="F796" i="21"/>
  <c r="L796" i="21" s="1"/>
  <c r="F1045" i="21"/>
  <c r="L1045" i="21" s="1"/>
  <c r="K398" i="21"/>
  <c r="G695" i="21"/>
  <c r="F746" i="21"/>
  <c r="L746" i="21" s="1"/>
  <c r="F693" i="21"/>
  <c r="L693" i="21" s="1"/>
  <c r="F803" i="21"/>
  <c r="L803" i="21" s="1"/>
  <c r="F760" i="21"/>
  <c r="L760" i="21" s="1"/>
  <c r="F769" i="21"/>
  <c r="L769" i="21" s="1"/>
  <c r="F739" i="21"/>
  <c r="L739" i="21" s="1"/>
  <c r="F715" i="21"/>
  <c r="L715" i="21" s="1"/>
  <c r="O66" i="13"/>
  <c r="I8" i="13"/>
  <c r="G337" i="21"/>
  <c r="B714" i="21"/>
  <c r="K714" i="21" s="1"/>
  <c r="F1033" i="21"/>
  <c r="L1033" i="21" s="1"/>
  <c r="F1055" i="21"/>
  <c r="L1055" i="21" s="1"/>
  <c r="F756" i="21"/>
  <c r="L756" i="21" s="1"/>
  <c r="F717" i="21"/>
  <c r="L717" i="21" s="1"/>
  <c r="K339" i="21"/>
  <c r="K686" i="21"/>
  <c r="J5" i="13"/>
  <c r="K684" i="21"/>
  <c r="B731" i="21"/>
  <c r="K731" i="21" s="1"/>
  <c r="U6" i="13"/>
  <c r="N4" i="5"/>
  <c r="N24" i="5" s="1"/>
  <c r="G340" i="21"/>
  <c r="I680" i="21" a="1"/>
  <c r="I680" i="21" s="1"/>
  <c r="L5" i="13"/>
  <c r="F9" i="13"/>
  <c r="M7" i="13"/>
  <c r="J9" i="13"/>
  <c r="C7" i="13"/>
  <c r="E8" i="13"/>
  <c r="E7" i="13"/>
  <c r="G6" i="13"/>
  <c r="O7" i="13"/>
  <c r="I369" i="21" a="1"/>
  <c r="I369" i="21" s="1"/>
  <c r="K685" i="21"/>
  <c r="G342" i="21"/>
  <c r="G391" i="21"/>
  <c r="S66" i="13"/>
  <c r="E78" i="13"/>
  <c r="F723" i="21"/>
  <c r="L723" i="21" s="1"/>
  <c r="F773" i="21"/>
  <c r="L773" i="21" s="1"/>
  <c r="F721" i="21"/>
  <c r="L721" i="21" s="1"/>
  <c r="F763" i="21"/>
  <c r="L763" i="21" s="1"/>
  <c r="F749" i="21"/>
  <c r="L749" i="21" s="1"/>
  <c r="B710" i="21"/>
  <c r="K710" i="21" s="1"/>
  <c r="F771" i="21"/>
  <c r="L771" i="21" s="1"/>
  <c r="F1036" i="21"/>
  <c r="L1036" i="21" s="1"/>
  <c r="F699" i="21"/>
  <c r="L699" i="21" s="1"/>
  <c r="F735" i="21"/>
  <c r="L735" i="21" s="1"/>
  <c r="F810" i="21"/>
  <c r="L810" i="21" s="1"/>
  <c r="F704" i="21"/>
  <c r="L704" i="21" s="1"/>
  <c r="B705" i="21"/>
  <c r="K705" i="21" s="1"/>
  <c r="F733" i="21"/>
  <c r="L733" i="21" s="1"/>
  <c r="F718" i="21"/>
  <c r="L718" i="21" s="1"/>
  <c r="F719" i="21"/>
  <c r="L719" i="21" s="1"/>
  <c r="F804" i="21"/>
  <c r="L804" i="21" s="1"/>
  <c r="F737" i="21"/>
  <c r="L737" i="21" s="1"/>
  <c r="F697" i="21"/>
  <c r="L697" i="21" s="1"/>
  <c r="F752" i="21"/>
  <c r="L752" i="21" s="1"/>
  <c r="F753" i="21"/>
  <c r="L753" i="21" s="1"/>
  <c r="F757" i="21"/>
  <c r="L757" i="21" s="1"/>
  <c r="F783" i="21"/>
  <c r="L783" i="21" s="1"/>
  <c r="F798" i="21"/>
  <c r="L798" i="21" s="1"/>
  <c r="F1047" i="21"/>
  <c r="L1047" i="21" s="1"/>
  <c r="B706" i="21"/>
  <c r="G706" i="21" s="1"/>
  <c r="F1037" i="21"/>
  <c r="L1037" i="21" s="1"/>
  <c r="F729" i="21"/>
  <c r="L729" i="21" s="1"/>
  <c r="F761" i="21"/>
  <c r="L761" i="21" s="1"/>
  <c r="F684" i="21"/>
  <c r="L684" i="21" s="1"/>
  <c r="F681" i="21"/>
  <c r="L681" i="21" s="1"/>
  <c r="F707" i="21"/>
  <c r="L707" i="21" s="1"/>
  <c r="B718" i="21"/>
  <c r="D77" i="13"/>
  <c r="F679" i="21"/>
  <c r="L679" i="21" s="1"/>
  <c r="F777" i="21"/>
  <c r="L777" i="21" s="1"/>
  <c r="F1031" i="21"/>
  <c r="L1031" i="21" s="1"/>
  <c r="F695" i="21"/>
  <c r="L695" i="21" s="1"/>
  <c r="F1029" i="21"/>
  <c r="L1029" i="21" s="1"/>
  <c r="F689" i="21"/>
  <c r="L689" i="21" s="1"/>
  <c r="F678" i="21"/>
  <c r="L678" i="21" s="1"/>
  <c r="F764" i="21"/>
  <c r="L764" i="21" s="1"/>
  <c r="I293" i="21" a="1"/>
  <c r="I293" i="21" s="1"/>
  <c r="F747" i="21"/>
  <c r="L747" i="21" s="1"/>
  <c r="F755" i="21"/>
  <c r="L755" i="21" s="1"/>
  <c r="F780" i="21"/>
  <c r="L780" i="21" s="1"/>
  <c r="D82" i="13"/>
  <c r="K306" i="21"/>
  <c r="G306" i="21"/>
  <c r="K4" i="5"/>
  <c r="K24" i="5" s="1"/>
  <c r="F778" i="21"/>
  <c r="L778" i="21" s="1"/>
  <c r="F1048" i="21"/>
  <c r="L1048" i="21" s="1"/>
  <c r="F686" i="21"/>
  <c r="L686" i="21" s="1"/>
  <c r="F772" i="21"/>
  <c r="L772" i="21" s="1"/>
  <c r="F775" i="21"/>
  <c r="L775" i="21" s="1"/>
  <c r="F712" i="21"/>
  <c r="L712" i="21" s="1"/>
  <c r="F758" i="21"/>
  <c r="L758" i="21" s="1"/>
  <c r="F1042" i="21"/>
  <c r="L1042" i="21" s="1"/>
  <c r="I691" i="21" a="1"/>
  <c r="I691" i="21" s="1"/>
  <c r="B717" i="21"/>
  <c r="G717" i="21" s="1"/>
  <c r="G369" i="21"/>
  <c r="K386" i="21"/>
  <c r="F682" i="21"/>
  <c r="L682" i="21" s="1"/>
  <c r="F779" i="21"/>
  <c r="L779" i="21" s="1"/>
  <c r="F736" i="21"/>
  <c r="L736" i="21" s="1"/>
  <c r="B726" i="21"/>
  <c r="K726" i="21" s="1"/>
  <c r="F799" i="21"/>
  <c r="L799" i="21" s="1"/>
  <c r="F782" i="21"/>
  <c r="L782" i="21" s="1"/>
  <c r="F781" i="21"/>
  <c r="L781" i="21" s="1"/>
  <c r="F1052" i="21"/>
  <c r="L1052" i="21" s="1"/>
  <c r="F706" i="21"/>
  <c r="L706" i="21" s="1"/>
  <c r="F795" i="21"/>
  <c r="L795" i="21" s="1"/>
  <c r="F792" i="21"/>
  <c r="L792" i="21" s="1"/>
  <c r="F690" i="21"/>
  <c r="L690" i="21" s="1"/>
  <c r="F688" i="21"/>
  <c r="L688" i="21" s="1"/>
  <c r="B721" i="21"/>
  <c r="G721" i="21" s="1"/>
  <c r="F745" i="21"/>
  <c r="L745" i="21" s="1"/>
  <c r="F1054" i="21"/>
  <c r="L1054" i="21" s="1"/>
  <c r="F748" i="21"/>
  <c r="L748" i="21" s="1"/>
  <c r="F691" i="21"/>
  <c r="L691" i="21" s="1"/>
  <c r="F727" i="21"/>
  <c r="L727" i="21" s="1"/>
  <c r="F742" i="21"/>
  <c r="L742" i="21" s="1"/>
  <c r="F732" i="21"/>
  <c r="L732" i="21" s="1"/>
  <c r="B720" i="21"/>
  <c r="K720" i="21" s="1"/>
  <c r="F791" i="21"/>
  <c r="L791" i="21" s="1"/>
  <c r="F730" i="21"/>
  <c r="L730" i="21" s="1"/>
  <c r="B753" i="21"/>
  <c r="K753" i="21" s="1"/>
  <c r="B727" i="21"/>
  <c r="I727" i="21" s="1" a="1"/>
  <c r="I727" i="21" s="1"/>
  <c r="F709" i="21"/>
  <c r="L709" i="21" s="1"/>
  <c r="F728" i="21"/>
  <c r="L728" i="21" s="1"/>
  <c r="F726" i="21"/>
  <c r="L726" i="21" s="1"/>
  <c r="F812" i="21"/>
  <c r="L812" i="21" s="1"/>
  <c r="F784" i="21"/>
  <c r="L784" i="21" s="1"/>
  <c r="F683" i="21"/>
  <c r="L683" i="21" s="1"/>
  <c r="F703" i="21"/>
  <c r="L703" i="21" s="1"/>
  <c r="F1046" i="21"/>
  <c r="L1046" i="21" s="1"/>
  <c r="K319" i="21"/>
  <c r="G319" i="21"/>
  <c r="H319" i="21" s="1"/>
  <c r="P319" i="21" s="1"/>
  <c r="K1077" i="21"/>
  <c r="J1077" i="21"/>
  <c r="L1077" i="21"/>
  <c r="F720" i="21"/>
  <c r="L720" i="21" s="1"/>
  <c r="F716" i="21"/>
  <c r="L716" i="21" s="1"/>
  <c r="F770" i="21"/>
  <c r="L770" i="21" s="1"/>
  <c r="F797" i="21"/>
  <c r="L797" i="21" s="1"/>
  <c r="F692" i="21"/>
  <c r="L692" i="21" s="1"/>
  <c r="F766" i="21"/>
  <c r="L766" i="21" s="1"/>
  <c r="F685" i="21"/>
  <c r="L685" i="21" s="1"/>
  <c r="F680" i="21"/>
  <c r="L680" i="21" s="1"/>
  <c r="F1049" i="21"/>
  <c r="L1049" i="21" s="1"/>
  <c r="F809" i="21"/>
  <c r="L809" i="21" s="1"/>
  <c r="F801" i="21"/>
  <c r="L801" i="21" s="1"/>
  <c r="F724" i="21"/>
  <c r="L724" i="21" s="1"/>
  <c r="F790" i="21"/>
  <c r="L790" i="21" s="1"/>
  <c r="F1034" i="21"/>
  <c r="L1034" i="21" s="1"/>
  <c r="B729" i="21"/>
  <c r="G729" i="21" s="1"/>
  <c r="F805" i="21"/>
  <c r="L805" i="21" s="1"/>
  <c r="F698" i="21"/>
  <c r="L698" i="21" s="1"/>
  <c r="F765" i="21"/>
  <c r="L765" i="21" s="1"/>
  <c r="F694" i="21"/>
  <c r="L694" i="21" s="1"/>
  <c r="F696" i="21"/>
  <c r="L696" i="21" s="1"/>
  <c r="F762" i="21"/>
  <c r="L762" i="21" s="1"/>
  <c r="B719" i="21"/>
  <c r="K719" i="21" s="1"/>
  <c r="F700" i="21"/>
  <c r="L700" i="21" s="1"/>
  <c r="F705" i="21"/>
  <c r="L705" i="21" s="1"/>
  <c r="F710" i="21"/>
  <c r="L710" i="21" s="1"/>
  <c r="F701" i="21"/>
  <c r="L701" i="21" s="1"/>
  <c r="B716" i="21"/>
  <c r="F744" i="21"/>
  <c r="L744" i="21" s="1"/>
  <c r="F802" i="21"/>
  <c r="L802" i="21" s="1"/>
  <c r="F759" i="21"/>
  <c r="L759" i="21" s="1"/>
  <c r="B707" i="21"/>
  <c r="G707" i="21" s="1"/>
  <c r="F1039" i="21"/>
  <c r="L1039" i="21" s="1"/>
  <c r="F1050" i="21"/>
  <c r="L1050" i="21" s="1"/>
  <c r="F1035" i="21"/>
  <c r="L1035" i="21" s="1"/>
  <c r="F740" i="21"/>
  <c r="L740" i="21" s="1"/>
  <c r="F785" i="21"/>
  <c r="L785" i="21" s="1"/>
  <c r="F750" i="21"/>
  <c r="L750" i="21" s="1"/>
  <c r="F731" i="21"/>
  <c r="L731" i="21" s="1"/>
  <c r="F800" i="21"/>
  <c r="L800" i="21" s="1"/>
  <c r="F1053" i="21"/>
  <c r="L1053" i="21" s="1"/>
  <c r="F713" i="21"/>
  <c r="L713" i="21" s="1"/>
  <c r="F714" i="21"/>
  <c r="L714" i="21" s="1"/>
  <c r="F789" i="21"/>
  <c r="L789" i="21" s="1"/>
  <c r="F702" i="21"/>
  <c r="L702" i="21" s="1"/>
  <c r="O6" i="13"/>
  <c r="O4" i="5"/>
  <c r="O24" i="5" s="1"/>
  <c r="J1060" i="21" a="1"/>
  <c r="J1060" i="21" s="1"/>
  <c r="I1060" i="21" a="1"/>
  <c r="I1060" i="21" s="1"/>
  <c r="F1044" i="21"/>
  <c r="L1044" i="21" s="1"/>
  <c r="F767" i="21"/>
  <c r="L767" i="21" s="1"/>
  <c r="F786" i="21"/>
  <c r="L786" i="21" s="1"/>
  <c r="F807" i="21"/>
  <c r="L807" i="21" s="1"/>
  <c r="F811" i="21"/>
  <c r="L811" i="21" s="1"/>
  <c r="F751" i="21"/>
  <c r="L751" i="21" s="1"/>
  <c r="F687" i="21"/>
  <c r="L687" i="21" s="1"/>
  <c r="F1041" i="21"/>
  <c r="L1041" i="21" s="1"/>
  <c r="F1038" i="21"/>
  <c r="L1038" i="21" s="1"/>
  <c r="F1032" i="21"/>
  <c r="L1032" i="21" s="1"/>
  <c r="F774" i="21"/>
  <c r="L774" i="21" s="1"/>
  <c r="G328" i="21"/>
  <c r="K328" i="21"/>
  <c r="K359" i="21"/>
  <c r="G359" i="21"/>
  <c r="D7" i="13"/>
  <c r="I83" i="13"/>
  <c r="O9" i="13"/>
  <c r="O8" i="13"/>
  <c r="F5" i="13"/>
  <c r="D6" i="13"/>
  <c r="D4" i="5"/>
  <c r="D24" i="5" s="1"/>
  <c r="K312" i="21"/>
  <c r="G731" i="21"/>
  <c r="G310" i="21"/>
  <c r="I350" i="21" a="1"/>
  <c r="I350" i="21" s="1"/>
  <c r="K678" i="21"/>
  <c r="K388" i="21"/>
  <c r="K322" i="21"/>
  <c r="G293" i="21"/>
  <c r="G296" i="21"/>
  <c r="G390" i="21"/>
  <c r="K294" i="21"/>
  <c r="K345" i="21"/>
  <c r="K721" i="21"/>
  <c r="G314" i="21"/>
  <c r="B728" i="21"/>
  <c r="B723" i="21"/>
  <c r="I723" i="21" s="1" a="1"/>
  <c r="I723" i="21" s="1"/>
  <c r="B712" i="21"/>
  <c r="D83" i="13"/>
  <c r="K697" i="21"/>
  <c r="F4" i="5"/>
  <c r="F24" i="5" s="1"/>
  <c r="G726" i="21"/>
  <c r="I388" i="21" a="1"/>
  <c r="I388" i="21" s="1"/>
  <c r="G341" i="21"/>
  <c r="G368" i="21"/>
  <c r="B715" i="21"/>
  <c r="K715" i="21" s="1"/>
  <c r="B724" i="21"/>
  <c r="I724" i="21" s="1" a="1"/>
  <c r="I724" i="21" s="1"/>
  <c r="I698" i="21" a="1"/>
  <c r="I698" i="21" s="1"/>
  <c r="O5" i="13"/>
  <c r="N9" i="13"/>
  <c r="G385" i="21"/>
  <c r="K293" i="21"/>
  <c r="G355" i="21"/>
  <c r="K393" i="21"/>
  <c r="G329" i="21"/>
  <c r="K348" i="21"/>
  <c r="K362" i="21"/>
  <c r="B711" i="21"/>
  <c r="K711" i="21" s="1"/>
  <c r="B730" i="21"/>
  <c r="K730" i="21" s="1"/>
  <c r="B713" i="21"/>
  <c r="K713" i="21" s="1"/>
  <c r="B722" i="21"/>
  <c r="K722" i="21" s="1"/>
  <c r="B708" i="21"/>
  <c r="G708" i="21" s="1"/>
  <c r="B709" i="21"/>
  <c r="G709" i="21" s="1"/>
  <c r="J6" i="13"/>
  <c r="I392" i="21" a="1"/>
  <c r="I392" i="21" s="1"/>
  <c r="K325" i="21"/>
  <c r="K701" i="21"/>
  <c r="G8" i="13"/>
  <c r="G303" i="21"/>
  <c r="I389" i="21" a="1"/>
  <c r="I389" i="21" s="1"/>
  <c r="AT44" i="9"/>
  <c r="AQ44" i="9" s="1"/>
  <c r="H1106" i="21" a="1"/>
  <c r="H1106" i="21" s="1"/>
  <c r="L1106" i="21" s="1"/>
  <c r="H1109" i="21" a="1"/>
  <c r="H1109" i="21" s="1"/>
  <c r="L1109" i="21" s="1"/>
  <c r="H1107" i="21" a="1"/>
  <c r="H1107" i="21" s="1"/>
  <c r="L1107" i="21" s="1"/>
  <c r="H1108" i="21" a="1"/>
  <c r="H1108" i="21" s="1"/>
  <c r="L1108" i="21" s="1"/>
  <c r="F340" i="21"/>
  <c r="L340" i="21" s="1"/>
  <c r="AT42" i="9"/>
  <c r="AQ42" i="9" s="1"/>
  <c r="K707" i="21"/>
  <c r="K366" i="21"/>
  <c r="G383" i="21"/>
  <c r="G713" i="21"/>
  <c r="G338" i="21"/>
  <c r="K392" i="21"/>
  <c r="G297" i="21"/>
  <c r="K696" i="21"/>
  <c r="G350" i="21"/>
  <c r="N6" i="13"/>
  <c r="K380" i="21"/>
  <c r="G691" i="21"/>
  <c r="G681" i="21"/>
  <c r="K698" i="21"/>
  <c r="J1066" i="21"/>
  <c r="L1066" i="21"/>
  <c r="F670" i="21"/>
  <c r="L670" i="21" s="1"/>
  <c r="B743" i="21"/>
  <c r="K743" i="21" s="1"/>
  <c r="I338" i="21" a="1"/>
  <c r="I338" i="21" s="1"/>
  <c r="G318" i="21"/>
  <c r="G692" i="21"/>
  <c r="G727" i="21"/>
  <c r="B746" i="21"/>
  <c r="K746" i="21" s="1"/>
  <c r="B758" i="21"/>
  <c r="B734" i="21"/>
  <c r="K734" i="21" s="1"/>
  <c r="K691" i="21"/>
  <c r="I694" i="21" a="1"/>
  <c r="I694" i="21" s="1"/>
  <c r="I321" i="21" a="1"/>
  <c r="I321" i="21" s="1"/>
  <c r="K727" i="21"/>
  <c r="K389" i="21"/>
  <c r="K717" i="21"/>
  <c r="G392" i="21"/>
  <c r="H23" i="21"/>
  <c r="P23" i="21" s="1"/>
  <c r="J4" i="5"/>
  <c r="J24" i="5" s="1"/>
  <c r="K315" i="21"/>
  <c r="G315" i="21"/>
  <c r="G7" i="13"/>
  <c r="G358" i="21"/>
  <c r="K358" i="21"/>
  <c r="G5" i="13"/>
  <c r="C69" i="13"/>
  <c r="C5" i="13"/>
  <c r="K688" i="21"/>
  <c r="H4" i="5"/>
  <c r="H24" i="5" s="1"/>
  <c r="C9" i="13"/>
  <c r="I1077" i="21"/>
  <c r="C68" i="13"/>
  <c r="I318" i="21" a="1"/>
  <c r="I318" i="21" s="1"/>
  <c r="G694" i="21"/>
  <c r="I678" i="21" a="1"/>
  <c r="I678" i="21" s="1"/>
  <c r="G321" i="21"/>
  <c r="H321" i="21" s="1"/>
  <c r="P321" i="21" s="1"/>
  <c r="I692" i="21" a="1"/>
  <c r="I692" i="21" s="1"/>
  <c r="I383" i="21" a="1"/>
  <c r="I383" i="21" s="1"/>
  <c r="I319" i="21" a="1"/>
  <c r="I319" i="21" s="1"/>
  <c r="I340" i="21" a="1"/>
  <c r="I340" i="21" s="1"/>
  <c r="I758" i="21" a="1"/>
  <c r="I758" i="21" s="1"/>
  <c r="I695" i="21" a="1"/>
  <c r="I695" i="21" s="1"/>
  <c r="I386" i="21" a="1"/>
  <c r="I386" i="21" s="1"/>
  <c r="I312" i="21" a="1"/>
  <c r="I312" i="21" s="1"/>
  <c r="G679" i="21"/>
  <c r="I679" i="21" a="1"/>
  <c r="I679" i="21" s="1"/>
  <c r="K700" i="21"/>
  <c r="G700" i="21"/>
  <c r="I700" i="21" a="1"/>
  <c r="I700" i="21" s="1"/>
  <c r="G308" i="21"/>
  <c r="I308" i="21" a="1"/>
  <c r="I308" i="21" s="1"/>
  <c r="I682" i="21" a="1"/>
  <c r="I682" i="21" s="1"/>
  <c r="G682" i="21"/>
  <c r="G374" i="21"/>
  <c r="K374" i="21"/>
  <c r="G361" i="21"/>
  <c r="K361" i="21"/>
  <c r="M6" i="13"/>
  <c r="M4" i="5"/>
  <c r="M24" i="5" s="1"/>
  <c r="C66" i="13"/>
  <c r="Q75" i="13"/>
  <c r="O75" i="13"/>
  <c r="K308" i="21"/>
  <c r="G323" i="21"/>
  <c r="K702" i="21"/>
  <c r="G680" i="21"/>
  <c r="K680" i="21"/>
  <c r="N83" i="13"/>
  <c r="K343" i="21"/>
  <c r="G343" i="21"/>
  <c r="H343" i="21" s="1"/>
  <c r="P343" i="21" s="1"/>
  <c r="K333" i="21"/>
  <c r="G333" i="21"/>
  <c r="K397" i="21"/>
  <c r="G397" i="21"/>
  <c r="G351" i="21"/>
  <c r="H351" i="21" s="1"/>
  <c r="P351" i="21" s="1"/>
  <c r="K351" i="21"/>
  <c r="K683" i="21"/>
  <c r="G683" i="21"/>
  <c r="K313" i="21"/>
  <c r="G313" i="21"/>
  <c r="G376" i="21"/>
  <c r="I376" i="21" a="1"/>
  <c r="I376" i="21" s="1"/>
  <c r="I302" i="21" a="1"/>
  <c r="I302" i="21" s="1"/>
  <c r="I351" i="21" a="1"/>
  <c r="I351" i="21" s="1"/>
  <c r="G743" i="21"/>
  <c r="I1067" i="21"/>
  <c r="K1067" i="21"/>
  <c r="F370" i="21"/>
  <c r="L370" i="21" s="1"/>
  <c r="B756" i="21"/>
  <c r="B747" i="21"/>
  <c r="G747" i="21" s="1"/>
  <c r="I328" i="21" a="1"/>
  <c r="I328" i="21" s="1"/>
  <c r="I685" i="21" a="1"/>
  <c r="I685" i="21" s="1"/>
  <c r="I339" i="21" a="1"/>
  <c r="I339" i="21" s="1"/>
  <c r="I354" i="21" a="1"/>
  <c r="I354" i="21" s="1"/>
  <c r="I711" i="21" a="1"/>
  <c r="I711" i="21" s="1"/>
  <c r="I335" i="21" a="1"/>
  <c r="I335" i="21" s="1"/>
  <c r="I305" i="21" a="1"/>
  <c r="I305" i="21" s="1"/>
  <c r="I385" i="21" a="1"/>
  <c r="I385" i="21" s="1"/>
  <c r="B732" i="21"/>
  <c r="B733" i="21"/>
  <c r="B736" i="21"/>
  <c r="I345" i="21" a="1"/>
  <c r="I345" i="21" s="1"/>
  <c r="I296" i="21" a="1"/>
  <c r="I296" i="21" s="1"/>
  <c r="I717" i="21" a="1"/>
  <c r="I717" i="21" s="1"/>
  <c r="I307" i="21" a="1"/>
  <c r="I307" i="21" s="1"/>
  <c r="I309" i="21" a="1"/>
  <c r="I309" i="21" s="1"/>
  <c r="I322" i="21" a="1"/>
  <c r="I322" i="21" s="1"/>
  <c r="I681" i="21" a="1"/>
  <c r="I681" i="21" s="1"/>
  <c r="I303" i="21" a="1"/>
  <c r="I303" i="21" s="1"/>
  <c r="I708" i="21" a="1"/>
  <c r="I708" i="21" s="1"/>
  <c r="I337" i="21" a="1"/>
  <c r="I337" i="21" s="1"/>
  <c r="I366" i="21" a="1"/>
  <c r="I366" i="21" s="1"/>
  <c r="H366" i="21" s="1"/>
  <c r="P366" i="21" s="1"/>
  <c r="T80" i="13"/>
  <c r="P80" i="13"/>
  <c r="I707" i="21" a="1"/>
  <c r="I707" i="21" s="1"/>
  <c r="I697" i="21" a="1"/>
  <c r="I697" i="21" s="1"/>
  <c r="K682" i="21"/>
  <c r="I341" i="21" a="1"/>
  <c r="I341" i="21" s="1"/>
  <c r="I728" i="21" a="1"/>
  <c r="I728" i="21" s="1"/>
  <c r="I696" i="21" a="1"/>
  <c r="I696" i="21" s="1"/>
  <c r="I355" i="21" a="1"/>
  <c r="I355" i="21" s="1"/>
  <c r="I323" i="21" a="1"/>
  <c r="I323" i="21" s="1"/>
  <c r="I701" i="21" a="1"/>
  <c r="I701" i="21" s="1"/>
  <c r="H701" i="21" s="1"/>
  <c r="P701" i="21" s="1"/>
  <c r="I683" i="21" a="1"/>
  <c r="I683" i="21" s="1"/>
  <c r="G690" i="21"/>
  <c r="B757" i="21"/>
  <c r="B742" i="21"/>
  <c r="B738" i="21"/>
  <c r="AT36" i="9"/>
  <c r="AQ36" i="9" s="1"/>
  <c r="B744" i="21"/>
  <c r="I744" i="21" s="1" a="1"/>
  <c r="I744" i="21" s="1"/>
  <c r="B750" i="21"/>
  <c r="B752" i="21"/>
  <c r="B751" i="21"/>
  <c r="B737" i="21"/>
  <c r="B741" i="21"/>
  <c r="B745" i="21"/>
  <c r="B735" i="21"/>
  <c r="B739" i="21"/>
  <c r="B748" i="21"/>
  <c r="B749" i="21"/>
  <c r="G749" i="21" s="1"/>
  <c r="B754" i="21"/>
  <c r="B740" i="21"/>
  <c r="B755" i="21"/>
  <c r="I297" i="21" a="1"/>
  <c r="I297" i="21" s="1"/>
  <c r="I342" i="21" a="1"/>
  <c r="I342" i="21" s="1"/>
  <c r="R66" i="13"/>
  <c r="D78" i="13"/>
  <c r="G299" i="21"/>
  <c r="I306" i="21" a="1"/>
  <c r="I306" i="21" s="1"/>
  <c r="H17" i="21"/>
  <c r="P17" i="21" s="1"/>
  <c r="I399" i="21" a="1"/>
  <c r="I399" i="21" s="1"/>
  <c r="I325" i="21" a="1"/>
  <c r="I325" i="21" s="1"/>
  <c r="G311" i="21"/>
  <c r="C64" i="13"/>
  <c r="G302" i="21"/>
  <c r="K399" i="21"/>
  <c r="G335" i="21"/>
  <c r="G371" i="21"/>
  <c r="G394" i="21"/>
  <c r="I718" i="21" a="1"/>
  <c r="I718" i="21" s="1"/>
  <c r="K687" i="21"/>
  <c r="G687" i="21"/>
  <c r="G363" i="21"/>
  <c r="K363" i="21"/>
  <c r="D1084" i="21" a="1"/>
  <c r="D1084" i="21" s="1"/>
  <c r="H1084" i="21" s="1" a="1"/>
  <c r="H1084" i="21" s="1"/>
  <c r="K1084" i="21" s="1" a="1"/>
  <c r="K1084" i="21" s="1"/>
  <c r="D1098" i="21" a="1"/>
  <c r="D1098" i="21" s="1"/>
  <c r="H1098" i="21" s="1" a="1"/>
  <c r="H1098" i="21" s="1"/>
  <c r="L1098" i="21" s="1" a="1"/>
  <c r="L1098" i="21" s="1"/>
  <c r="K699" i="21"/>
  <c r="G699" i="21"/>
  <c r="D62" i="13"/>
  <c r="C71" i="13"/>
  <c r="R68" i="13"/>
  <c r="D80" i="13"/>
  <c r="B334" i="21"/>
  <c r="B357" i="21"/>
  <c r="B382" i="21"/>
  <c r="B330" i="21"/>
  <c r="B301" i="21"/>
  <c r="I301" i="21" s="1" a="1"/>
  <c r="I301" i="21" s="1"/>
  <c r="B400" i="21"/>
  <c r="I400" i="21" s="1" a="1"/>
  <c r="I400" i="21" s="1"/>
  <c r="B370" i="21"/>
  <c r="B353" i="21"/>
  <c r="B365" i="21"/>
  <c r="G365" i="21" s="1"/>
  <c r="B384" i="21"/>
  <c r="I384" i="21" s="1" a="1"/>
  <c r="I384" i="21" s="1"/>
  <c r="F346" i="21"/>
  <c r="L346" i="21" s="1"/>
  <c r="F382" i="21"/>
  <c r="L382" i="21" s="1"/>
  <c r="F301" i="21"/>
  <c r="L301" i="21" s="1"/>
  <c r="F378" i="21"/>
  <c r="L378" i="21" s="1"/>
  <c r="F660" i="21"/>
  <c r="L660" i="21" s="1"/>
  <c r="F325" i="21"/>
  <c r="L325" i="21" s="1"/>
  <c r="F654" i="21"/>
  <c r="L654" i="21" s="1"/>
  <c r="F297" i="21"/>
  <c r="L297" i="21" s="1"/>
  <c r="F303" i="21"/>
  <c r="L303" i="21" s="1"/>
  <c r="F341" i="21"/>
  <c r="L341" i="21" s="1"/>
  <c r="F335" i="21"/>
  <c r="L335" i="21" s="1"/>
  <c r="F425" i="21"/>
  <c r="L425" i="21" s="1"/>
  <c r="F406" i="21"/>
  <c r="L406" i="21" s="1"/>
  <c r="F316" i="21"/>
  <c r="L316" i="21" s="1"/>
  <c r="F365" i="21"/>
  <c r="L365" i="21" s="1"/>
  <c r="F374" i="21"/>
  <c r="L374" i="21" s="1"/>
  <c r="F337" i="21"/>
  <c r="L337" i="21" s="1"/>
  <c r="F367" i="21"/>
  <c r="L367" i="21" s="1"/>
  <c r="F373" i="21"/>
  <c r="L373" i="21" s="1"/>
  <c r="F422" i="21"/>
  <c r="L422" i="21" s="1"/>
  <c r="F369" i="21"/>
  <c r="L369" i="21" s="1"/>
  <c r="F383" i="21"/>
  <c r="L383" i="21" s="1"/>
  <c r="F405" i="21"/>
  <c r="L405" i="21" s="1"/>
  <c r="F315" i="21"/>
  <c r="L315" i="21" s="1"/>
  <c r="F393" i="21"/>
  <c r="L393" i="21" s="1"/>
  <c r="F391" i="21"/>
  <c r="L391" i="21" s="1"/>
  <c r="F421" i="21"/>
  <c r="L421" i="21" s="1"/>
  <c r="F396" i="21"/>
  <c r="L396" i="21" s="1"/>
  <c r="F353" i="21"/>
  <c r="L353" i="21" s="1"/>
  <c r="F371" i="21"/>
  <c r="L371" i="21" s="1"/>
  <c r="F293" i="21"/>
  <c r="L293" i="21" s="1"/>
  <c r="AT33" i="9"/>
  <c r="AQ33" i="9" s="1"/>
  <c r="F645" i="21"/>
  <c r="L645" i="21" s="1"/>
  <c r="F331" i="21"/>
  <c r="L331" i="21" s="1"/>
  <c r="F417" i="21"/>
  <c r="L417" i="21" s="1"/>
  <c r="F666" i="21"/>
  <c r="L666" i="21" s="1"/>
  <c r="B372" i="21"/>
  <c r="B360" i="21"/>
  <c r="B320" i="21"/>
  <c r="I320" i="21" s="1" a="1"/>
  <c r="I320" i="21" s="1"/>
  <c r="B367" i="21"/>
  <c r="B347" i="21"/>
  <c r="K347" i="21" s="1"/>
  <c r="B324" i="21"/>
  <c r="B349" i="21"/>
  <c r="I349" i="21" s="1" a="1"/>
  <c r="I349" i="21" s="1"/>
  <c r="B364" i="21"/>
  <c r="B387" i="21"/>
  <c r="F339" i="21"/>
  <c r="L339" i="21" s="1"/>
  <c r="B295" i="21"/>
  <c r="I295" i="21" s="1" a="1"/>
  <c r="I295" i="21" s="1"/>
  <c r="F322" i="21"/>
  <c r="L322" i="21" s="1"/>
  <c r="B304" i="21"/>
  <c r="K304" i="21" s="1"/>
  <c r="F379" i="21"/>
  <c r="L379" i="21" s="1"/>
  <c r="F386" i="21"/>
  <c r="L386" i="21" s="1"/>
  <c r="F403" i="21"/>
  <c r="L403" i="21" s="1"/>
  <c r="F294" i="21"/>
  <c r="L294" i="21" s="1"/>
  <c r="F398" i="21"/>
  <c r="L398" i="21" s="1"/>
  <c r="F656" i="21"/>
  <c r="L656" i="21" s="1"/>
  <c r="F305" i="21"/>
  <c r="L305" i="21" s="1"/>
  <c r="F342" i="21"/>
  <c r="L342" i="21" s="1"/>
  <c r="F298" i="21"/>
  <c r="L298" i="21" s="1"/>
  <c r="F348" i="21"/>
  <c r="L348" i="21" s="1"/>
  <c r="F354" i="21"/>
  <c r="L354" i="21" s="1"/>
  <c r="F360" i="21"/>
  <c r="L360" i="21" s="1"/>
  <c r="F372" i="21"/>
  <c r="L372" i="21" s="1"/>
  <c r="F376" i="21"/>
  <c r="L376" i="21" s="1"/>
  <c r="F662" i="21"/>
  <c r="L662" i="21" s="1"/>
  <c r="F400" i="21"/>
  <c r="L400" i="21" s="1"/>
  <c r="F423" i="21"/>
  <c r="L423" i="21" s="1"/>
  <c r="F310" i="21"/>
  <c r="L310" i="21" s="1"/>
  <c r="F426" i="21"/>
  <c r="L426" i="21" s="1"/>
  <c r="F327" i="21"/>
  <c r="L327" i="21" s="1"/>
  <c r="F427" i="21"/>
  <c r="L427" i="21" s="1"/>
  <c r="F312" i="21"/>
  <c r="L312" i="21" s="1"/>
  <c r="P64" i="13"/>
  <c r="I63" i="13"/>
  <c r="I687" i="21" a="1"/>
  <c r="I687" i="21" s="1"/>
  <c r="B764" i="21"/>
  <c r="G764" i="21" s="1"/>
  <c r="B779" i="21"/>
  <c r="G779" i="21" s="1"/>
  <c r="B760" i="21"/>
  <c r="B759" i="21"/>
  <c r="I299" i="21" a="1"/>
  <c r="I299" i="21" s="1"/>
  <c r="H299" i="21" s="1"/>
  <c r="P299" i="21" s="1"/>
  <c r="I333" i="21" a="1"/>
  <c r="I333" i="21" s="1"/>
  <c r="I690" i="21" a="1"/>
  <c r="I690" i="21" s="1"/>
  <c r="AT41" i="9"/>
  <c r="AQ41" i="9" s="1"/>
  <c r="B780" i="21"/>
  <c r="I780" i="21" s="1" a="1"/>
  <c r="I780" i="21" s="1"/>
  <c r="B766" i="21"/>
  <c r="G766" i="21" s="1"/>
  <c r="B784" i="21"/>
  <c r="B768" i="21"/>
  <c r="I352" i="21" a="1"/>
  <c r="I352" i="21" s="1"/>
  <c r="I362" i="21" a="1"/>
  <c r="I362" i="21" s="1"/>
  <c r="B783" i="21"/>
  <c r="I722" i="21" a="1"/>
  <c r="I722" i="21" s="1"/>
  <c r="I703" i="21" a="1"/>
  <c r="I703" i="21" s="1"/>
  <c r="I315" i="21" a="1"/>
  <c r="I315" i="21" s="1"/>
  <c r="I394" i="21" a="1"/>
  <c r="I394" i="21" s="1"/>
  <c r="B785" i="21"/>
  <c r="K785" i="21" s="1"/>
  <c r="B765" i="21"/>
  <c r="B769" i="21"/>
  <c r="K769" i="21" s="1"/>
  <c r="I709" i="21" a="1"/>
  <c r="I709" i="21" s="1"/>
  <c r="I358" i="21" a="1"/>
  <c r="I358" i="21" s="1"/>
  <c r="I294" i="21" a="1"/>
  <c r="I294" i="21" s="1"/>
  <c r="I686" i="21" a="1"/>
  <c r="I686" i="21" s="1"/>
  <c r="I361" i="21" a="1"/>
  <c r="I361" i="21" s="1"/>
  <c r="I313" i="21" a="1"/>
  <c r="I313" i="21" s="1"/>
  <c r="I732" i="21" a="1"/>
  <c r="I732" i="21" s="1"/>
  <c r="I343" i="21" a="1"/>
  <c r="I343" i="21" s="1"/>
  <c r="I705" i="21" a="1"/>
  <c r="I705" i="21" s="1"/>
  <c r="I380" i="21" a="1"/>
  <c r="I380" i="21" s="1"/>
  <c r="I332" i="21" a="1"/>
  <c r="I332" i="21" s="1"/>
  <c r="I688" i="21" a="1"/>
  <c r="I688" i="21" s="1"/>
  <c r="I731" i="21" a="1"/>
  <c r="I731" i="21" s="1"/>
  <c r="I374" i="21" a="1"/>
  <c r="I374" i="21" s="1"/>
  <c r="I310" i="21" a="1"/>
  <c r="I310" i="21" s="1"/>
  <c r="I702" i="21" a="1"/>
  <c r="I702" i="21" s="1"/>
  <c r="I377" i="21" a="1"/>
  <c r="I377" i="21" s="1"/>
  <c r="I749" i="21" a="1"/>
  <c r="I749" i="21" s="1"/>
  <c r="I391" i="21" a="1"/>
  <c r="I391" i="21" s="1"/>
  <c r="I359" i="21" a="1"/>
  <c r="I359" i="21" s="1"/>
  <c r="I721" i="21" a="1"/>
  <c r="I721" i="21" s="1"/>
  <c r="H721" i="21" s="1"/>
  <c r="P721" i="21" s="1"/>
  <c r="I396" i="21" a="1"/>
  <c r="I396" i="21" s="1"/>
  <c r="I316" i="21" a="1"/>
  <c r="I316" i="21" s="1"/>
  <c r="I715" i="21" a="1"/>
  <c r="I715" i="21" s="1"/>
  <c r="I390" i="21" a="1"/>
  <c r="I390" i="21" s="1"/>
  <c r="I684" i="21" a="1"/>
  <c r="I684" i="21" s="1"/>
  <c r="I314" i="21" a="1"/>
  <c r="I314" i="21" s="1"/>
  <c r="B782" i="21"/>
  <c r="G782" i="21" s="1"/>
  <c r="K331" i="21"/>
  <c r="I331" i="21" a="1"/>
  <c r="I331" i="21" s="1"/>
  <c r="G331" i="21"/>
  <c r="H331" i="21" s="1"/>
  <c r="P331" i="21" s="1"/>
  <c r="I720" i="21" a="1"/>
  <c r="I720" i="21" s="1"/>
  <c r="H6" i="13"/>
  <c r="M69" i="13"/>
  <c r="I395" i="21" a="1"/>
  <c r="I395" i="21" s="1"/>
  <c r="I393" i="21" a="1"/>
  <c r="I393" i="21" s="1"/>
  <c r="I329" i="21" a="1"/>
  <c r="I329" i="21" s="1"/>
  <c r="C70" i="13"/>
  <c r="I699" i="21" a="1"/>
  <c r="I699" i="21" s="1"/>
  <c r="L4" i="5"/>
  <c r="L24" i="5" s="1"/>
  <c r="L6" i="13"/>
  <c r="G298" i="21"/>
  <c r="I298" i="21" a="1"/>
  <c r="I298" i="21" s="1"/>
  <c r="I368" i="21" a="1"/>
  <c r="I368" i="21" s="1"/>
  <c r="I397" i="21" a="1"/>
  <c r="I397" i="21" s="1"/>
  <c r="AT40" i="9"/>
  <c r="AQ40" i="9" s="1"/>
  <c r="B771" i="21"/>
  <c r="B775" i="21"/>
  <c r="B781" i="21"/>
  <c r="B762" i="21"/>
  <c r="B772" i="21"/>
  <c r="B774" i="21"/>
  <c r="I1076" i="21"/>
  <c r="K1076" i="21"/>
  <c r="J1076" i="21"/>
  <c r="B778" i="21"/>
  <c r="B761" i="21"/>
  <c r="B773" i="21"/>
  <c r="B767" i="21"/>
  <c r="I689" i="21" a="1"/>
  <c r="I689" i="21" s="1"/>
  <c r="B777" i="21"/>
  <c r="B770" i="21"/>
  <c r="B776" i="21"/>
  <c r="G776" i="21" s="1"/>
  <c r="B763" i="21"/>
  <c r="I330" i="21" a="1"/>
  <c r="I330" i="21" s="1"/>
  <c r="I327" i="21" a="1"/>
  <c r="I327" i="21" s="1"/>
  <c r="I300" i="21" a="1"/>
  <c r="I300" i="21" s="1"/>
  <c r="I375" i="21" a="1"/>
  <c r="I375" i="21" s="1"/>
  <c r="I348" i="21" a="1"/>
  <c r="I348" i="21" s="1"/>
  <c r="J78" i="13"/>
  <c r="I716" i="21" a="1"/>
  <c r="I716" i="21" s="1"/>
  <c r="K716" i="21"/>
  <c r="K748" i="21"/>
  <c r="I748" i="21" a="1"/>
  <c r="I748" i="21" s="1"/>
  <c r="G748" i="21"/>
  <c r="K316" i="21"/>
  <c r="G316" i="21"/>
  <c r="K346" i="21"/>
  <c r="I346" i="21" a="1"/>
  <c r="I346" i="21" s="1"/>
  <c r="G346" i="21"/>
  <c r="G336" i="21"/>
  <c r="K336" i="21"/>
  <c r="G715" i="21"/>
  <c r="G716" i="21"/>
  <c r="H716" i="21" s="1"/>
  <c r="P716" i="21" s="1"/>
  <c r="I363" i="21" a="1"/>
  <c r="I363" i="21" s="1"/>
  <c r="J1067" i="21"/>
  <c r="K1066" i="21"/>
  <c r="L1067" i="21"/>
  <c r="I1066" i="21"/>
  <c r="I378" i="21" a="1"/>
  <c r="I378" i="21" s="1"/>
  <c r="G378" i="21"/>
  <c r="G317" i="21"/>
  <c r="H317" i="21" s="1"/>
  <c r="P317" i="21" s="1"/>
  <c r="I317" i="21" a="1"/>
  <c r="I317" i="21" s="1"/>
  <c r="K375" i="21"/>
  <c r="G327" i="21"/>
  <c r="G300" i="21"/>
  <c r="H300" i="21" s="1"/>
  <c r="P300" i="21" s="1"/>
  <c r="G737" i="21"/>
  <c r="I379" i="21" a="1"/>
  <c r="I379" i="21" s="1"/>
  <c r="G379" i="21"/>
  <c r="G704" i="21"/>
  <c r="I704" i="21" a="1"/>
  <c r="I704" i="21" s="1"/>
  <c r="H26" i="21"/>
  <c r="P26" i="21" s="1"/>
  <c r="K327" i="21"/>
  <c r="K300" i="21"/>
  <c r="K317" i="21"/>
  <c r="K378" i="21"/>
  <c r="R63" i="13"/>
  <c r="D75" i="13"/>
  <c r="I747" i="21" a="1"/>
  <c r="I747" i="21" s="1"/>
  <c r="K747" i="21"/>
  <c r="I725" i="21" a="1"/>
  <c r="I725" i="21" s="1"/>
  <c r="K703" i="21"/>
  <c r="G703" i="21"/>
  <c r="I336" i="21" a="1"/>
  <c r="I336" i="21" s="1"/>
  <c r="C4" i="5"/>
  <c r="C24" i="5" s="1"/>
  <c r="G409" i="21" a="1"/>
  <c r="G409" i="21" s="1"/>
  <c r="H409" i="21" s="1" a="1"/>
  <c r="H409" i="21" s="1"/>
  <c r="K409" i="21" s="1" a="1"/>
  <c r="K409" i="21" s="1"/>
  <c r="P409" i="21" s="1"/>
  <c r="G801" i="21" a="1"/>
  <c r="G801" i="21" s="1"/>
  <c r="G657" i="21" a="1"/>
  <c r="G657" i="21" s="1"/>
  <c r="H657" i="21" s="1" a="1"/>
  <c r="H657" i="21" s="1"/>
  <c r="G426" i="21" a="1"/>
  <c r="G426" i="21" s="1"/>
  <c r="G411" i="21" a="1"/>
  <c r="G411" i="21" s="1"/>
  <c r="H411" i="21" s="1" a="1"/>
  <c r="H411" i="21" s="1"/>
  <c r="K411" i="21" s="1" a="1"/>
  <c r="K411" i="21" s="1"/>
  <c r="G789" i="21" a="1"/>
  <c r="G789" i="21" s="1"/>
  <c r="G1037" i="21" a="1"/>
  <c r="G1037" i="21" s="1"/>
  <c r="H261" i="21" a="1"/>
  <c r="H261" i="21" s="1"/>
  <c r="K261" i="21" s="1" a="1"/>
  <c r="K261" i="21" s="1"/>
  <c r="P261" i="21" s="1"/>
  <c r="G1050" i="21" a="1"/>
  <c r="G1050" i="21" s="1"/>
  <c r="G1055" i="21" a="1"/>
  <c r="G1055" i="21" s="1"/>
  <c r="G799" i="21" a="1"/>
  <c r="G799" i="21" s="1"/>
  <c r="G808" i="21" a="1"/>
  <c r="G808" i="21" s="1"/>
  <c r="G405" i="21" a="1"/>
  <c r="G405" i="21" s="1"/>
  <c r="G797" i="21" a="1"/>
  <c r="G797" i="21" s="1"/>
  <c r="D1075" i="21" a="1"/>
  <c r="D1075" i="21" s="1"/>
  <c r="H1075" i="21" s="1" a="1"/>
  <c r="H1075" i="21" s="1"/>
  <c r="K1075" i="21" s="1" a="1"/>
  <c r="K1075" i="21" s="1"/>
  <c r="G667" i="21" a="1"/>
  <c r="G667" i="21" s="1"/>
  <c r="H667" i="21" s="1" a="1"/>
  <c r="H667" i="21" s="1"/>
  <c r="K667" i="21" s="1" a="1"/>
  <c r="K667" i="21" s="1"/>
  <c r="P667" i="21" s="1"/>
  <c r="K750" i="21"/>
  <c r="I734" i="21" a="1"/>
  <c r="I734" i="21" s="1"/>
  <c r="K298" i="21"/>
  <c r="I753" i="21" a="1"/>
  <c r="I753" i="21" s="1"/>
  <c r="G720" i="21"/>
  <c r="K704" i="21"/>
  <c r="G395" i="21"/>
  <c r="K709" i="21"/>
  <c r="I693" i="21" a="1"/>
  <c r="I693" i="21" s="1"/>
  <c r="G734" i="21"/>
  <c r="G753" i="21"/>
  <c r="G693" i="21"/>
  <c r="L1061" i="21"/>
  <c r="L1059" i="21"/>
  <c r="L1060" i="21"/>
  <c r="L1057" i="21"/>
  <c r="L1058" i="21"/>
  <c r="H15" i="21"/>
  <c r="P15" i="21" s="1"/>
  <c r="G4" i="5"/>
  <c r="G24" i="5" s="1"/>
  <c r="H22" i="21"/>
  <c r="P22" i="21" s="1"/>
  <c r="Q7" i="13"/>
  <c r="T5" i="13"/>
  <c r="H28" i="21"/>
  <c r="P28" i="21" s="1"/>
  <c r="H25" i="21"/>
  <c r="P25" i="21" s="1"/>
  <c r="H564" i="21"/>
  <c r="H309" i="21"/>
  <c r="P309" i="21" s="1"/>
  <c r="H686" i="21"/>
  <c r="P686" i="21" s="1"/>
  <c r="H345" i="21"/>
  <c r="P345" i="21" s="1"/>
  <c r="H375" i="21"/>
  <c r="P375" i="21" s="1"/>
  <c r="H688" i="21"/>
  <c r="P688" i="21" s="1"/>
  <c r="H394" i="21"/>
  <c r="P394" i="21" s="1"/>
  <c r="H680" i="21"/>
  <c r="P680" i="21" s="1"/>
  <c r="H313" i="21"/>
  <c r="P313" i="21" s="1"/>
  <c r="H678" i="21"/>
  <c r="P678" i="21" s="1"/>
  <c r="H696" i="21"/>
  <c r="P696" i="21" s="1"/>
  <c r="H355" i="21"/>
  <c r="P355" i="21" s="1"/>
  <c r="H20" i="21"/>
  <c r="P20" i="21" s="1"/>
  <c r="K275" i="21" a="1"/>
  <c r="K275" i="21" s="1"/>
  <c r="P275" i="21"/>
  <c r="K277" i="21" a="1"/>
  <c r="K277" i="21" s="1"/>
  <c r="P277" i="21"/>
  <c r="K280" i="21" a="1"/>
  <c r="K280" i="21" s="1"/>
  <c r="P280" i="21"/>
  <c r="I1075" i="21" a="1"/>
  <c r="I1075" i="21" s="1"/>
  <c r="H451" i="21"/>
  <c r="K281" i="21" a="1"/>
  <c r="K281" i="21" s="1"/>
  <c r="P281" i="21"/>
  <c r="K276" i="21" a="1"/>
  <c r="K276" i="21" s="1"/>
  <c r="P276" i="21" s="1"/>
  <c r="K278" i="21" a="1"/>
  <c r="K278" i="21" s="1"/>
  <c r="P278" i="21"/>
  <c r="J1084" i="21" a="1"/>
  <c r="J1084" i="21" s="1"/>
  <c r="I1084" i="21" a="1"/>
  <c r="I1084" i="21" s="1"/>
  <c r="H450" i="21"/>
  <c r="H446" i="21"/>
  <c r="H834" i="21"/>
  <c r="H449" i="21"/>
  <c r="H835" i="21"/>
  <c r="H831" i="21"/>
  <c r="H510" i="21"/>
  <c r="H618" i="21"/>
  <c r="J1075" i="21" l="1" a="1"/>
  <c r="J1075" i="21" s="1"/>
  <c r="H395" i="21"/>
  <c r="P395" i="21" s="1"/>
  <c r="H336" i="21"/>
  <c r="P336" i="21" s="1"/>
  <c r="H734" i="21"/>
  <c r="P734" i="21" s="1"/>
  <c r="K381" i="21"/>
  <c r="G725" i="21"/>
  <c r="H725" i="21" s="1"/>
  <c r="P725" i="21" s="1"/>
  <c r="G381" i="21"/>
  <c r="H381" i="21" s="1"/>
  <c r="P381" i="21" s="1"/>
  <c r="I746" i="21" a="1"/>
  <c r="I746" i="21" s="1"/>
  <c r="I311" i="21" a="1"/>
  <c r="I311" i="21" s="1"/>
  <c r="H311" i="21" s="1"/>
  <c r="P311" i="21" s="1"/>
  <c r="I371" i="21" a="1"/>
  <c r="I371" i="21" s="1"/>
  <c r="H371" i="21" s="1"/>
  <c r="P371" i="21" s="1"/>
  <c r="K706" i="21"/>
  <c r="I706" i="21" a="1"/>
  <c r="I706" i="21" s="1"/>
  <c r="I326" i="21" a="1"/>
  <c r="I326" i="21" s="1"/>
  <c r="I743" i="21" a="1"/>
  <c r="I743" i="21" s="1"/>
  <c r="I719" i="21" a="1"/>
  <c r="I719" i="21" s="1"/>
  <c r="H302" i="21"/>
  <c r="P302" i="21" s="1"/>
  <c r="I373" i="21" a="1"/>
  <c r="I373" i="21" s="1"/>
  <c r="I356" i="21" a="1"/>
  <c r="I356" i="21" s="1"/>
  <c r="H356" i="21" s="1"/>
  <c r="P356" i="21" s="1"/>
  <c r="H308" i="21"/>
  <c r="P308" i="21" s="1"/>
  <c r="I344" i="21" a="1"/>
  <c r="I344" i="21" s="1"/>
  <c r="H350" i="21"/>
  <c r="P350" i="21" s="1"/>
  <c r="G719" i="21"/>
  <c r="H719" i="21" s="1"/>
  <c r="P719" i="21" s="1"/>
  <c r="H329" i="21"/>
  <c r="P329" i="21" s="1"/>
  <c r="H359" i="21"/>
  <c r="P359" i="21" s="1"/>
  <c r="G714" i="21"/>
  <c r="H362" i="21"/>
  <c r="P362" i="21" s="1"/>
  <c r="H388" i="21"/>
  <c r="P388" i="21" s="1"/>
  <c r="H389" i="21"/>
  <c r="P389" i="21" s="1"/>
  <c r="I726" i="21" a="1"/>
  <c r="I726" i="21" s="1"/>
  <c r="K326" i="21"/>
  <c r="H318" i="21"/>
  <c r="P318" i="21" s="1"/>
  <c r="H314" i="21"/>
  <c r="P314" i="21" s="1"/>
  <c r="G373" i="21"/>
  <c r="G396" i="21"/>
  <c r="H396" i="21" s="1"/>
  <c r="P396" i="21" s="1"/>
  <c r="K356" i="21"/>
  <c r="H332" i="21"/>
  <c r="P332" i="21" s="1"/>
  <c r="H397" i="21"/>
  <c r="P397" i="21" s="1"/>
  <c r="I714" i="21" a="1"/>
  <c r="I714" i="21" s="1"/>
  <c r="I398" i="21" a="1"/>
  <c r="I398" i="21" s="1"/>
  <c r="G344" i="21"/>
  <c r="H344" i="21" s="1"/>
  <c r="P344" i="21" s="1"/>
  <c r="H328" i="21"/>
  <c r="P328" i="21" s="1"/>
  <c r="H306" i="21"/>
  <c r="P306" i="21" s="1"/>
  <c r="H399" i="21"/>
  <c r="P399" i="21" s="1"/>
  <c r="H325" i="21"/>
  <c r="P325" i="21" s="1"/>
  <c r="H700" i="21"/>
  <c r="P700" i="21" s="1"/>
  <c r="H694" i="21"/>
  <c r="P694" i="21" s="1"/>
  <c r="H393" i="21"/>
  <c r="P393" i="21" s="1"/>
  <c r="H753" i="21"/>
  <c r="P753" i="21" s="1"/>
  <c r="H18" i="21"/>
  <c r="P18" i="21" s="1"/>
  <c r="H727" i="21"/>
  <c r="P727" i="21" s="1"/>
  <c r="AD5" i="13"/>
  <c r="H341" i="21"/>
  <c r="P341" i="21" s="1"/>
  <c r="H305" i="21"/>
  <c r="P305" i="21" s="1"/>
  <c r="H707" i="21"/>
  <c r="P707" i="21" s="1"/>
  <c r="H715" i="21"/>
  <c r="P715" i="21" s="1"/>
  <c r="H1050" i="21" a="1"/>
  <c r="H1050" i="21" s="1"/>
  <c r="K1050" i="21" s="1" a="1"/>
  <c r="K1050" i="21" s="1"/>
  <c r="H689" i="21"/>
  <c r="P689" i="21" s="1"/>
  <c r="H21" i="21"/>
  <c r="P21" i="21" s="1"/>
  <c r="H327" i="21"/>
  <c r="P327" i="21" s="1"/>
  <c r="H797" i="21" a="1"/>
  <c r="H797" i="21" s="1"/>
  <c r="K797" i="21" s="1" a="1"/>
  <c r="K797" i="21" s="1"/>
  <c r="P797" i="21" s="1"/>
  <c r="H703" i="21"/>
  <c r="P703" i="21" s="1"/>
  <c r="H358" i="21"/>
  <c r="P358" i="21" s="1"/>
  <c r="H316" i="21"/>
  <c r="P316" i="21" s="1"/>
  <c r="AW48" i="9" a="1"/>
  <c r="AW48" i="9" s="1"/>
  <c r="A64" i="9" s="1"/>
  <c r="H743" i="21"/>
  <c r="P743" i="21" s="1"/>
  <c r="H717" i="21"/>
  <c r="P717" i="21" s="1"/>
  <c r="H720" i="21"/>
  <c r="P720" i="21" s="1"/>
  <c r="H380" i="21"/>
  <c r="P380" i="21" s="1"/>
  <c r="H293" i="21"/>
  <c r="P293" i="21" s="1"/>
  <c r="H340" i="21"/>
  <c r="P340" i="21" s="1"/>
  <c r="H352" i="21"/>
  <c r="P352" i="21" s="1"/>
  <c r="AW132" i="9" a="1"/>
  <c r="AW132" i="9" s="1"/>
  <c r="H19" i="21"/>
  <c r="P19" i="21" s="1"/>
  <c r="P411" i="21"/>
  <c r="H348" i="21"/>
  <c r="P348" i="21" s="1"/>
  <c r="H297" i="21"/>
  <c r="P297" i="21" s="1"/>
  <c r="H681" i="21"/>
  <c r="P681" i="21" s="1"/>
  <c r="AW129" i="9" a="1"/>
  <c r="AW129" i="9" s="1"/>
  <c r="H392" i="21"/>
  <c r="P392" i="21" s="1"/>
  <c r="H391" i="21"/>
  <c r="P391" i="21" s="1"/>
  <c r="H339" i="21"/>
  <c r="P339" i="21" s="1"/>
  <c r="H298" i="21"/>
  <c r="P298" i="21" s="1"/>
  <c r="H698" i="21"/>
  <c r="P698" i="21" s="1"/>
  <c r="H679" i="21"/>
  <c r="P679" i="21" s="1"/>
  <c r="AW183" i="9" a="1"/>
  <c r="AW183" i="9" s="1"/>
  <c r="H789" i="21" a="1"/>
  <c r="H789" i="21" s="1"/>
  <c r="H378" i="21"/>
  <c r="P378" i="21" s="1"/>
  <c r="H294" i="21"/>
  <c r="P294" i="21" s="1"/>
  <c r="H376" i="21"/>
  <c r="P376" i="21" s="1"/>
  <c r="H687" i="21"/>
  <c r="P687" i="21" s="1"/>
  <c r="H697" i="21"/>
  <c r="P697" i="21" s="1"/>
  <c r="AW384" i="9" a="1"/>
  <c r="AW384" i="9" s="1"/>
  <c r="AW255" i="9" a="1"/>
  <c r="AW255" i="9" s="1"/>
  <c r="H693" i="21"/>
  <c r="P693" i="21" s="1"/>
  <c r="H11" i="21"/>
  <c r="P11" i="21" s="1"/>
  <c r="AW164" i="9" a="1"/>
  <c r="AW164" i="9" s="1"/>
  <c r="H335" i="21"/>
  <c r="P335" i="21" s="1"/>
  <c r="AW160" i="9" a="1"/>
  <c r="AW160" i="9" s="1"/>
  <c r="AW37" i="9" a="1"/>
  <c r="AW37" i="9" s="1"/>
  <c r="A53" i="9" s="1"/>
  <c r="AW137" i="9" a="1"/>
  <c r="AW137" i="9" s="1"/>
  <c r="AW463" i="9" a="1"/>
  <c r="AW463" i="9" s="1"/>
  <c r="H374" i="21"/>
  <c r="P374" i="21" s="1"/>
  <c r="AW184" i="9" a="1"/>
  <c r="AW184" i="9" s="1"/>
  <c r="AW135" i="9" a="1"/>
  <c r="AW135" i="9" s="1"/>
  <c r="AW440" i="9" a="1"/>
  <c r="AW440" i="9" s="1"/>
  <c r="AW496" i="9" a="1"/>
  <c r="AW496" i="9" s="1"/>
  <c r="AW464" i="9" a="1"/>
  <c r="AW464" i="9" s="1"/>
  <c r="AW414" i="9" a="1"/>
  <c r="AW414" i="9" s="1"/>
  <c r="H312" i="21"/>
  <c r="P312" i="21" s="1"/>
  <c r="H702" i="21"/>
  <c r="P702" i="21" s="1"/>
  <c r="H373" i="21"/>
  <c r="P373" i="21" s="1"/>
  <c r="AW104" i="9" a="1"/>
  <c r="AW104" i="9" s="1"/>
  <c r="AW368" i="9" a="1"/>
  <c r="AW368" i="9" s="1"/>
  <c r="AW250" i="9" a="1"/>
  <c r="AW250" i="9" s="1"/>
  <c r="AW201" i="9" a="1"/>
  <c r="AW201" i="9" s="1"/>
  <c r="AW410" i="9" a="1"/>
  <c r="AW410" i="9" s="1"/>
  <c r="H704" i="21"/>
  <c r="P704" i="21" s="1"/>
  <c r="AD9" i="13"/>
  <c r="AW210" i="9" a="1"/>
  <c r="AW210" i="9" s="1"/>
  <c r="H379" i="21"/>
  <c r="P379" i="21" s="1"/>
  <c r="H346" i="21"/>
  <c r="P346" i="21" s="1"/>
  <c r="H323" i="21"/>
  <c r="P323" i="21" s="1"/>
  <c r="H361" i="21"/>
  <c r="P361" i="21" s="1"/>
  <c r="H338" i="21"/>
  <c r="P338" i="21" s="1"/>
  <c r="H748" i="21"/>
  <c r="P748" i="21" s="1"/>
  <c r="H699" i="21"/>
  <c r="P699" i="21" s="1"/>
  <c r="H363" i="21"/>
  <c r="P363" i="21" s="1"/>
  <c r="H749" i="21"/>
  <c r="P749" i="21" s="1"/>
  <c r="H690" i="21"/>
  <c r="P690" i="21" s="1"/>
  <c r="H692" i="21"/>
  <c r="P692" i="21" s="1"/>
  <c r="H709" i="21"/>
  <c r="P709" i="21" s="1"/>
  <c r="H385" i="21"/>
  <c r="P385" i="21" s="1"/>
  <c r="H368" i="21"/>
  <c r="P368" i="21" s="1"/>
  <c r="H390" i="21"/>
  <c r="P390" i="21" s="1"/>
  <c r="H296" i="21"/>
  <c r="P296" i="21" s="1"/>
  <c r="H377" i="21"/>
  <c r="P377" i="21" s="1"/>
  <c r="AW230" i="9" a="1"/>
  <c r="AW230" i="9" s="1"/>
  <c r="H315" i="21"/>
  <c r="P315" i="21" s="1"/>
  <c r="H383" i="21"/>
  <c r="P383" i="21" s="1"/>
  <c r="H303" i="21"/>
  <c r="P303" i="21" s="1"/>
  <c r="H682" i="21"/>
  <c r="P682" i="21" s="1"/>
  <c r="H706" i="21"/>
  <c r="P706" i="21" s="1"/>
  <c r="H333" i="21"/>
  <c r="P333" i="21" s="1"/>
  <c r="H326" i="21"/>
  <c r="P326" i="21" s="1"/>
  <c r="H369" i="21"/>
  <c r="P369" i="21" s="1"/>
  <c r="AW120" i="9" a="1"/>
  <c r="AW120" i="9" s="1"/>
  <c r="AW29" i="9" a="1"/>
  <c r="AW29" i="9" s="1"/>
  <c r="A45" i="9" s="1"/>
  <c r="AW119" i="9" a="1"/>
  <c r="AW119" i="9" s="1"/>
  <c r="AW45" i="9" a="1"/>
  <c r="AW45" i="9" s="1"/>
  <c r="A61" i="9" s="1"/>
  <c r="AW312" i="9" a="1"/>
  <c r="AW312" i="9" s="1"/>
  <c r="AW263" i="9" a="1"/>
  <c r="AW263" i="9" s="1"/>
  <c r="AW218" i="9" a="1"/>
  <c r="AW218" i="9" s="1"/>
  <c r="AW175" i="9" a="1"/>
  <c r="AW175" i="9" s="1"/>
  <c r="AW296" i="9" a="1"/>
  <c r="AW296" i="9" s="1"/>
  <c r="AW336" i="9" a="1"/>
  <c r="AW336" i="9" s="1"/>
  <c r="AW347" i="9" a="1"/>
  <c r="AW347" i="9" s="1"/>
  <c r="AW331" i="9" a="1"/>
  <c r="AW331" i="9" s="1"/>
  <c r="AW328" i="9" a="1"/>
  <c r="AW328" i="9" s="1"/>
  <c r="AW421" i="9" a="1"/>
  <c r="AW421" i="9" s="1"/>
  <c r="AW456" i="9" a="1"/>
  <c r="AW456" i="9" s="1"/>
  <c r="AW169" i="9" a="1"/>
  <c r="AW169" i="9" s="1"/>
  <c r="AW209" i="9" a="1"/>
  <c r="AW209" i="9" s="1"/>
  <c r="AW333" i="9" a="1"/>
  <c r="AW333" i="9" s="1"/>
  <c r="AW293" i="9" a="1"/>
  <c r="AW293" i="9" s="1"/>
  <c r="AW254" i="9" a="1"/>
  <c r="AW254" i="9" s="1"/>
  <c r="AW50" i="9" a="1"/>
  <c r="AW50" i="9" s="1"/>
  <c r="A66" i="9" s="1"/>
  <c r="AW147" i="9" a="1"/>
  <c r="AW147" i="9" s="1"/>
  <c r="AW74" i="9" a="1"/>
  <c r="AW74" i="9" s="1"/>
  <c r="A90" i="9" s="1"/>
  <c r="D90" i="9" s="1"/>
  <c r="H342" i="21"/>
  <c r="P342" i="21" s="1"/>
  <c r="H685" i="21"/>
  <c r="P685" i="21" s="1"/>
  <c r="H386" i="21"/>
  <c r="P386" i="21" s="1"/>
  <c r="AW88" i="9" a="1"/>
  <c r="AW88" i="9" s="1"/>
  <c r="AW143" i="9" a="1"/>
  <c r="AW143" i="9" s="1"/>
  <c r="AW167" i="9" a="1"/>
  <c r="AW167" i="9" s="1"/>
  <c r="AW234" i="9" a="1"/>
  <c r="AW234" i="9" s="1"/>
  <c r="AW247" i="9" a="1"/>
  <c r="AW247" i="9" s="1"/>
  <c r="AW400" i="9" a="1"/>
  <c r="AW400" i="9" s="1"/>
  <c r="AW320" i="9" a="1"/>
  <c r="AW320" i="9" s="1"/>
  <c r="AW239" i="9" a="1"/>
  <c r="AW239" i="9" s="1"/>
  <c r="AW144" i="9" a="1"/>
  <c r="AW144" i="9" s="1"/>
  <c r="AW453" i="9" a="1"/>
  <c r="AW453" i="9" s="1"/>
  <c r="AW151" i="9" a="1"/>
  <c r="AW151" i="9" s="1"/>
  <c r="AW411" i="9" a="1"/>
  <c r="AW411" i="9" s="1"/>
  <c r="AW395" i="9" a="1"/>
  <c r="AW395" i="9" s="1"/>
  <c r="AW113" i="9" a="1"/>
  <c r="AW113" i="9" s="1"/>
  <c r="AW177" i="9" a="1"/>
  <c r="AW177" i="9" s="1"/>
  <c r="AW501" i="9" a="1"/>
  <c r="AW501" i="9" s="1"/>
  <c r="AW241" i="9" a="1"/>
  <c r="AW241" i="9" s="1"/>
  <c r="AW153" i="9" a="1"/>
  <c r="AW153" i="9" s="1"/>
  <c r="AW330" i="9" a="1"/>
  <c r="AW330" i="9" s="1"/>
  <c r="AW283" i="9" a="1"/>
  <c r="AW283" i="9" s="1"/>
  <c r="AW55" i="9" a="1"/>
  <c r="AW55" i="9" s="1"/>
  <c r="A71" i="9" s="1"/>
  <c r="D71" i="9" s="1"/>
  <c r="AW259" i="9" a="1"/>
  <c r="AW259" i="9" s="1"/>
  <c r="AW401" i="9" a="1"/>
  <c r="AW401" i="9" s="1"/>
  <c r="H726" i="21"/>
  <c r="P726" i="21" s="1"/>
  <c r="H708" i="21"/>
  <c r="AW94" i="9" a="1"/>
  <c r="AW94" i="9" s="1"/>
  <c r="AW176" i="9" a="1"/>
  <c r="AW176" i="9" s="1"/>
  <c r="AW279" i="9" a="1"/>
  <c r="AW279" i="9" s="1"/>
  <c r="AW344" i="9" a="1"/>
  <c r="AW344" i="9" s="1"/>
  <c r="AW24" i="9" a="1"/>
  <c r="AW24" i="9" s="1"/>
  <c r="A40" i="9" s="1"/>
  <c r="AW226" i="9" a="1"/>
  <c r="AW226" i="9" s="1"/>
  <c r="AW16" i="9" a="1"/>
  <c r="AW16" i="9" s="1"/>
  <c r="A32" i="9" s="1"/>
  <c r="AW61" i="9" a="1"/>
  <c r="AW61" i="9" s="1"/>
  <c r="A77" i="9" s="1"/>
  <c r="AW352" i="9" a="1"/>
  <c r="AW352" i="9" s="1"/>
  <c r="AW53" i="9" a="1"/>
  <c r="AW53" i="9" s="1"/>
  <c r="A69" i="9" s="1"/>
  <c r="AW408" i="9" a="1"/>
  <c r="AW408" i="9" s="1"/>
  <c r="AW392" i="9" a="1"/>
  <c r="AW392" i="9" s="1"/>
  <c r="AW339" i="9" a="1"/>
  <c r="AW339" i="9" s="1"/>
  <c r="AW448" i="9" a="1"/>
  <c r="AW448" i="9" s="1"/>
  <c r="AW437" i="9" a="1"/>
  <c r="AW437" i="9" s="1"/>
  <c r="AW485" i="9" a="1"/>
  <c r="AW485" i="9" s="1"/>
  <c r="AW268" i="9" a="1"/>
  <c r="AW268" i="9" s="1"/>
  <c r="AW249" i="9" a="1"/>
  <c r="AW249" i="9" s="1"/>
  <c r="AW286" i="9" a="1"/>
  <c r="AW286" i="9" s="1"/>
  <c r="AW362" i="9" a="1"/>
  <c r="AW362" i="9" s="1"/>
  <c r="AW205" i="9" a="1"/>
  <c r="AW205" i="9" s="1"/>
  <c r="AW30" i="9" a="1"/>
  <c r="AW30" i="9" s="1"/>
  <c r="A46" i="9" s="1"/>
  <c r="AW67" i="9" a="1"/>
  <c r="AW67" i="9" s="1"/>
  <c r="A83" i="9" s="1"/>
  <c r="H16" i="21"/>
  <c r="P16" i="21" s="1"/>
  <c r="H799" i="21" a="1"/>
  <c r="H799" i="21" s="1"/>
  <c r="AW332" i="9" a="1"/>
  <c r="AW332" i="9" s="1"/>
  <c r="H683" i="21"/>
  <c r="P683" i="21" s="1"/>
  <c r="H310" i="21"/>
  <c r="P310" i="21" s="1"/>
  <c r="H747" i="21"/>
  <c r="P747" i="21" s="1"/>
  <c r="AW407" i="9" a="1"/>
  <c r="AW407" i="9" s="1"/>
  <c r="AW202" i="9" a="1"/>
  <c r="AW202" i="9" s="1"/>
  <c r="AW500" i="9" a="1"/>
  <c r="AW500" i="9" s="1"/>
  <c r="AW256" i="9" a="1"/>
  <c r="AW256" i="9" s="1"/>
  <c r="AW495" i="9" a="1"/>
  <c r="AW495" i="9" s="1"/>
  <c r="AW10" i="9" a="1"/>
  <c r="AW10" i="9" s="1"/>
  <c r="A26" i="9" s="1"/>
  <c r="F26" i="9" s="1"/>
  <c r="AW377" i="9" a="1"/>
  <c r="AW377" i="9" s="1"/>
  <c r="AW492" i="9" a="1"/>
  <c r="AW492" i="9" s="1"/>
  <c r="AW390" i="9" a="1"/>
  <c r="AW390" i="9" s="1"/>
  <c r="AW418" i="9" a="1"/>
  <c r="AW418" i="9" s="1"/>
  <c r="AW204" i="9" a="1"/>
  <c r="AW204" i="9" s="1"/>
  <c r="AW187" i="9" a="1"/>
  <c r="AW187" i="9" s="1"/>
  <c r="AW343" i="9" a="1"/>
  <c r="AW343" i="9" s="1"/>
  <c r="AW245" i="9" a="1"/>
  <c r="AW245" i="9" s="1"/>
  <c r="AW446" i="9" a="1"/>
  <c r="AW446" i="9" s="1"/>
  <c r="AW63" i="9" a="1"/>
  <c r="AW63" i="9" s="1"/>
  <c r="A79" i="9" s="1"/>
  <c r="D79" i="9" s="1"/>
  <c r="AW275" i="9" a="1"/>
  <c r="AW275" i="9" s="1"/>
  <c r="AW166" i="9" a="1"/>
  <c r="AW166" i="9" s="1"/>
  <c r="AW305" i="9" a="1"/>
  <c r="AW305" i="9" s="1"/>
  <c r="AW324" i="9" a="1"/>
  <c r="AW324" i="9" s="1"/>
  <c r="AW490" i="9" a="1"/>
  <c r="AW490" i="9" s="1"/>
  <c r="AW462" i="9" a="1"/>
  <c r="AW462" i="9" s="1"/>
  <c r="AW372" i="9" a="1"/>
  <c r="AW372" i="9" s="1"/>
  <c r="AW57" i="9" a="1"/>
  <c r="AW57" i="9" s="1"/>
  <c r="A73" i="9" s="1"/>
  <c r="AW405" i="9" a="1"/>
  <c r="AW405" i="9" s="1"/>
  <c r="AW233" i="9" a="1"/>
  <c r="AW233" i="9" s="1"/>
  <c r="AW413" i="9" a="1"/>
  <c r="AW413" i="9" s="1"/>
  <c r="AW322" i="9" a="1"/>
  <c r="AW322" i="9" s="1"/>
  <c r="AW121" i="9" a="1"/>
  <c r="AW121" i="9" s="1"/>
  <c r="AW461" i="9" a="1"/>
  <c r="AW461" i="9" s="1"/>
  <c r="AW260" i="9" a="1"/>
  <c r="AW260" i="9" s="1"/>
  <c r="AW228" i="9" a="1"/>
  <c r="AW228" i="9" s="1"/>
  <c r="AW493" i="9" a="1"/>
  <c r="AW493" i="9" s="1"/>
  <c r="AW355" i="9" a="1"/>
  <c r="AW355" i="9" s="1"/>
  <c r="AW323" i="9" a="1"/>
  <c r="AW323" i="9" s="1"/>
  <c r="AW220" i="9" a="1"/>
  <c r="AW220" i="9" s="1"/>
  <c r="AW488" i="9" a="1"/>
  <c r="AW488" i="9" s="1"/>
  <c r="AW40" i="9" a="1"/>
  <c r="AW40" i="9" s="1"/>
  <c r="A56" i="9" s="1"/>
  <c r="AW231" i="9" a="1"/>
  <c r="AW231" i="9" s="1"/>
  <c r="AW199" i="9" a="1"/>
  <c r="AW199" i="9" s="1"/>
  <c r="AW101" i="9" a="1"/>
  <c r="AW101" i="9" s="1"/>
  <c r="AW242" i="9" a="1"/>
  <c r="AW242" i="9" s="1"/>
  <c r="AW379" i="9" a="1"/>
  <c r="AW379" i="9" s="1"/>
  <c r="AW32" i="9" a="1"/>
  <c r="AW32" i="9" s="1"/>
  <c r="A48" i="9" s="1"/>
  <c r="AW13" i="9" a="1"/>
  <c r="AW13" i="9" s="1"/>
  <c r="A29" i="9" s="1"/>
  <c r="AW304" i="9" a="1"/>
  <c r="AW304" i="9" s="1"/>
  <c r="AW258" i="9" a="1"/>
  <c r="AW258" i="9" s="1"/>
  <c r="AW159" i="9" a="1"/>
  <c r="AW159" i="9" s="1"/>
  <c r="AW85" i="9" a="1"/>
  <c r="AW85" i="9" s="1"/>
  <c r="AW207" i="9" a="1"/>
  <c r="AW207" i="9" s="1"/>
  <c r="AW271" i="9" a="1"/>
  <c r="AW271" i="9" s="1"/>
  <c r="AW289" i="9" a="1"/>
  <c r="AW289" i="9" s="1"/>
  <c r="AW127" i="9" a="1"/>
  <c r="AW127" i="9" s="1"/>
  <c r="AW109" i="9" a="1"/>
  <c r="AW109" i="9" s="1"/>
  <c r="AW77" i="9" a="1"/>
  <c r="AW77" i="9" s="1"/>
  <c r="A93" i="9" s="1"/>
  <c r="AW80" i="9" a="1"/>
  <c r="AW80" i="9" s="1"/>
  <c r="A96" i="9" s="1"/>
  <c r="AW299" i="9" a="1"/>
  <c r="AW299" i="9" s="1"/>
  <c r="AW223" i="9" a="1"/>
  <c r="AW223" i="9" s="1"/>
  <c r="AW21" i="9" a="1"/>
  <c r="AW21" i="9" s="1"/>
  <c r="A37" i="9" s="1"/>
  <c r="AW274" i="9" a="1"/>
  <c r="AW274" i="9" s="1"/>
  <c r="AW152" i="9" a="1"/>
  <c r="AW152" i="9" s="1"/>
  <c r="AW200" i="9" a="1"/>
  <c r="AW200" i="9" s="1"/>
  <c r="AW285" i="9" a="1"/>
  <c r="AW285" i="9" s="1"/>
  <c r="AW5" i="9" a="1"/>
  <c r="AW5" i="9" s="1"/>
  <c r="A21" i="9" s="1"/>
  <c r="AW64" i="9" a="1"/>
  <c r="AW64" i="9" s="1"/>
  <c r="A80" i="9" s="1"/>
  <c r="AW93" i="9" a="1"/>
  <c r="AW93" i="9" s="1"/>
  <c r="AW8" i="9" a="1"/>
  <c r="AW8" i="9" s="1"/>
  <c r="A24" i="9" s="1"/>
  <c r="AW128" i="9" a="1"/>
  <c r="AW128" i="9" s="1"/>
  <c r="AW42" i="9" a="1"/>
  <c r="AW42" i="9" s="1"/>
  <c r="A58" i="9" s="1"/>
  <c r="AW459" i="9" a="1"/>
  <c r="AW459" i="9" s="1"/>
  <c r="AW22" i="9" a="1"/>
  <c r="AW22" i="9" s="1"/>
  <c r="A38" i="9" s="1"/>
  <c r="F38" i="9" s="1"/>
  <c r="AW41" i="9" a="1"/>
  <c r="AW41" i="9" s="1"/>
  <c r="A57" i="9" s="1"/>
  <c r="AW115" i="9" a="1"/>
  <c r="AW115" i="9" s="1"/>
  <c r="AW227" i="9" a="1"/>
  <c r="AW227" i="9" s="1"/>
  <c r="AW361" i="9" a="1"/>
  <c r="AW361" i="9" s="1"/>
  <c r="AW66" i="9" a="1"/>
  <c r="AW66" i="9" s="1"/>
  <c r="A82" i="9" s="1"/>
  <c r="H684" i="21"/>
  <c r="P684" i="21" s="1"/>
  <c r="H695" i="21"/>
  <c r="P695" i="21" s="1"/>
  <c r="H691" i="21"/>
  <c r="P691" i="21" s="1"/>
  <c r="H731" i="21"/>
  <c r="P731" i="21" s="1"/>
  <c r="H398" i="21"/>
  <c r="P398" i="21" s="1"/>
  <c r="AW424" i="9" a="1"/>
  <c r="AW424" i="9" s="1"/>
  <c r="AW96" i="9" a="1"/>
  <c r="AW96" i="9" s="1"/>
  <c r="AW215" i="9" a="1"/>
  <c r="AW215" i="9" s="1"/>
  <c r="AW69" i="9" a="1"/>
  <c r="AW69" i="9" s="1"/>
  <c r="A85" i="9" s="1"/>
  <c r="AW191" i="9" a="1"/>
  <c r="AW191" i="9" s="1"/>
  <c r="AW371" i="9" a="1"/>
  <c r="AW371" i="9" s="1"/>
  <c r="AW112" i="9" a="1"/>
  <c r="AW112" i="9" s="1"/>
  <c r="AW136" i="9" a="1"/>
  <c r="AW136" i="9" s="1"/>
  <c r="AW266" i="9" a="1"/>
  <c r="AW266" i="9" s="1"/>
  <c r="AW291" i="9" a="1"/>
  <c r="AW291" i="9" s="1"/>
  <c r="AW307" i="9" a="1"/>
  <c r="AW307" i="9" s="1"/>
  <c r="AW168" i="9" a="1"/>
  <c r="AW168" i="9" s="1"/>
  <c r="AW72" i="9" a="1"/>
  <c r="AW72" i="9" s="1"/>
  <c r="A88" i="9" s="1"/>
  <c r="AW477" i="9" a="1"/>
  <c r="AW477" i="9" s="1"/>
  <c r="AW56" i="9" a="1"/>
  <c r="AW56" i="9" s="1"/>
  <c r="A72" i="9" s="1"/>
  <c r="AW282" i="9" a="1"/>
  <c r="AW282" i="9" s="1"/>
  <c r="AW363" i="9" a="1"/>
  <c r="AW363" i="9" s="1"/>
  <c r="AW403" i="9" a="1"/>
  <c r="AW403" i="9" s="1"/>
  <c r="AW376" i="9" a="1"/>
  <c r="AW376" i="9" s="1"/>
  <c r="AW417" i="9" a="1"/>
  <c r="AW417" i="9" s="1"/>
  <c r="AW315" i="9" a="1"/>
  <c r="AW315" i="9" s="1"/>
  <c r="AW252" i="9" a="1"/>
  <c r="AW252" i="9" s="1"/>
  <c r="AW469" i="9" a="1"/>
  <c r="AW469" i="9" s="1"/>
  <c r="AW370" i="9" a="1"/>
  <c r="AW370" i="9" s="1"/>
  <c r="AW432" i="9" a="1"/>
  <c r="AW432" i="9" s="1"/>
  <c r="AW273" i="9" a="1"/>
  <c r="AW273" i="9" s="1"/>
  <c r="AW298" i="9" a="1"/>
  <c r="AW298" i="9" s="1"/>
  <c r="AW225" i="9" a="1"/>
  <c r="AW225" i="9" s="1"/>
  <c r="AW290" i="9" a="1"/>
  <c r="AW290" i="9" s="1"/>
  <c r="AW244" i="9" a="1"/>
  <c r="AW244" i="9" s="1"/>
  <c r="AW349" i="9" a="1"/>
  <c r="AW349" i="9" s="1"/>
  <c r="AW142" i="9" a="1"/>
  <c r="AW142" i="9" s="1"/>
  <c r="AW399" i="9" a="1"/>
  <c r="AW399" i="9" s="1"/>
  <c r="AW337" i="9" a="1"/>
  <c r="AW337" i="9" s="1"/>
  <c r="AW309" i="9" a="1"/>
  <c r="AW309" i="9" s="1"/>
  <c r="AW171" i="9" a="1"/>
  <c r="AW171" i="9" s="1"/>
  <c r="AW117" i="9" a="1"/>
  <c r="AW117" i="9" s="1"/>
  <c r="AW466" i="9" a="1"/>
  <c r="AW466" i="9" s="1"/>
  <c r="AW359" i="9" a="1"/>
  <c r="AW359" i="9" s="1"/>
  <c r="AW170" i="9" a="1"/>
  <c r="AW170" i="9" s="1"/>
  <c r="AW162" i="9" a="1"/>
  <c r="AW162" i="9" s="1"/>
  <c r="AW326" i="9" a="1"/>
  <c r="AW326" i="9" s="1"/>
  <c r="AW216" i="9" a="1"/>
  <c r="AW216" i="9" s="1"/>
  <c r="AW497" i="9" a="1"/>
  <c r="AW497" i="9" s="1"/>
  <c r="AW52" i="9" a="1"/>
  <c r="AW52" i="9" s="1"/>
  <c r="A68" i="9" s="1"/>
  <c r="F68" i="9" s="1"/>
  <c r="AW182" i="9" a="1"/>
  <c r="AW182" i="9" s="1"/>
  <c r="AW385" i="9" a="1"/>
  <c r="AW385" i="9" s="1"/>
  <c r="H14" i="21"/>
  <c r="P14" i="21" s="1"/>
  <c r="H337" i="21"/>
  <c r="P337" i="21" s="1"/>
  <c r="H322" i="21"/>
  <c r="P322" i="21" s="1"/>
  <c r="H9" i="21"/>
  <c r="P9" i="21" s="1"/>
  <c r="AW481" i="9" a="1"/>
  <c r="AW481" i="9" s="1"/>
  <c r="AW364" i="9" a="1"/>
  <c r="AW364" i="9" s="1"/>
  <c r="AW131" i="9" a="1"/>
  <c r="AW131" i="9" s="1"/>
  <c r="AW108" i="9" a="1"/>
  <c r="AW108" i="9" s="1"/>
  <c r="AW174" i="9" a="1"/>
  <c r="AW174" i="9" s="1"/>
  <c r="AW71" i="9" a="1"/>
  <c r="AW71" i="9" s="1"/>
  <c r="A87" i="9" s="1"/>
  <c r="I776" i="21" a="1"/>
  <c r="I776" i="21" s="1"/>
  <c r="H776" i="21" s="1"/>
  <c r="P776" i="21" s="1"/>
  <c r="K776" i="21"/>
  <c r="K307" i="21"/>
  <c r="G307" i="21"/>
  <c r="H307" i="21" s="1"/>
  <c r="P307" i="21" s="1"/>
  <c r="D1085" i="21" a="1"/>
  <c r="D1085" i="21" s="1"/>
  <c r="H1085" i="21" s="1" a="1"/>
  <c r="H1085" i="21" s="1"/>
  <c r="G354" i="21"/>
  <c r="H354" i="21" s="1"/>
  <c r="P354" i="21" s="1"/>
  <c r="K354" i="21"/>
  <c r="I713" i="21" a="1"/>
  <c r="I713" i="21" s="1"/>
  <c r="H713" i="21" s="1"/>
  <c r="P713" i="21" s="1"/>
  <c r="D1074" i="21" a="1"/>
  <c r="D1074" i="21" s="1"/>
  <c r="H1074" i="21" s="1" a="1"/>
  <c r="H1074" i="21" s="1"/>
  <c r="D1082" i="21" a="1"/>
  <c r="D1082" i="21" s="1"/>
  <c r="H1082" i="21" s="1" a="1"/>
  <c r="H1082" i="21" s="1"/>
  <c r="H274" i="21" a="1"/>
  <c r="H274" i="21" s="1"/>
  <c r="K274" i="21" s="1" a="1"/>
  <c r="K274" i="21" s="1"/>
  <c r="P274" i="21" s="1"/>
  <c r="H272" i="21" a="1"/>
  <c r="H272" i="21" s="1"/>
  <c r="K272" i="21" s="1" a="1"/>
  <c r="K272" i="21" s="1"/>
  <c r="P272" i="21" s="1"/>
  <c r="H273" i="21" a="1"/>
  <c r="H273" i="21" s="1"/>
  <c r="AW487" i="9" a="1"/>
  <c r="AW487" i="9" s="1"/>
  <c r="AW51" i="9" a="1"/>
  <c r="AW51" i="9" s="1"/>
  <c r="A67" i="9" s="1"/>
  <c r="AW445" i="9" a="1"/>
  <c r="AW445" i="9" s="1"/>
  <c r="AW480" i="9" a="1"/>
  <c r="AW480" i="9" s="1"/>
  <c r="AW472" i="9" a="1"/>
  <c r="AW472" i="9" s="1"/>
  <c r="AW360" i="9" a="1"/>
  <c r="AW360" i="9" s="1"/>
  <c r="AW265" i="9" a="1"/>
  <c r="AW265" i="9" s="1"/>
  <c r="AW212" i="9" a="1"/>
  <c r="AW212" i="9" s="1"/>
  <c r="AW236" i="9" a="1"/>
  <c r="AW236" i="9" s="1"/>
  <c r="AW429" i="9" a="1"/>
  <c r="AW429" i="9" s="1"/>
  <c r="AW387" i="9" a="1"/>
  <c r="AW387" i="9" s="1"/>
  <c r="AW145" i="9" a="1"/>
  <c r="AW145" i="9" s="1"/>
  <c r="AW338" i="9" a="1"/>
  <c r="AW338" i="9" s="1"/>
  <c r="AW193" i="9" a="1"/>
  <c r="AW193" i="9" s="1"/>
  <c r="AW402" i="9" a="1"/>
  <c r="AW402" i="9" s="1"/>
  <c r="AW306" i="9" a="1"/>
  <c r="AW306" i="9" s="1"/>
  <c r="AW185" i="9" a="1"/>
  <c r="AW185" i="9" s="1"/>
  <c r="AW257" i="9" a="1"/>
  <c r="AW257" i="9" s="1"/>
  <c r="AW419" i="9" a="1"/>
  <c r="AW419" i="9" s="1"/>
  <c r="AW229" i="9" a="1"/>
  <c r="AW229" i="9" s="1"/>
  <c r="AW457" i="9" a="1"/>
  <c r="AW457" i="9" s="1"/>
  <c r="AW451" i="9" a="1"/>
  <c r="AW451" i="9" s="1"/>
  <c r="AW381" i="9" a="1"/>
  <c r="AW381" i="9" s="1"/>
  <c r="AW4" i="9" a="1"/>
  <c r="AW4" i="9" s="1"/>
  <c r="A20" i="9" s="1"/>
  <c r="AW441" i="9" a="1"/>
  <c r="AW441" i="9" s="1"/>
  <c r="AW427" i="9" a="1"/>
  <c r="AW427" i="9" s="1"/>
  <c r="AW158" i="9" a="1"/>
  <c r="AW158" i="9" s="1"/>
  <c r="AW73" i="9" a="1"/>
  <c r="AW73" i="9" s="1"/>
  <c r="A89" i="9" s="1"/>
  <c r="AW269" i="9" a="1"/>
  <c r="AW269" i="9" s="1"/>
  <c r="AW103" i="9" a="1"/>
  <c r="AW103" i="9" s="1"/>
  <c r="AW138" i="9" a="1"/>
  <c r="AW138" i="9" s="1"/>
  <c r="AW321" i="9" a="1"/>
  <c r="AW321" i="9" s="1"/>
  <c r="AW383" i="9" a="1"/>
  <c r="AW383" i="9" s="1"/>
  <c r="AW197" i="9" a="1"/>
  <c r="AW197" i="9" s="1"/>
  <c r="AW157" i="9" a="1"/>
  <c r="AW157" i="9" s="1"/>
  <c r="AW195" i="9" a="1"/>
  <c r="AW195" i="9" s="1"/>
  <c r="AW68" i="9" a="1"/>
  <c r="AW68" i="9" s="1"/>
  <c r="A84" i="9" s="1"/>
  <c r="F84" i="9" s="1"/>
  <c r="AW11" i="9" a="1"/>
  <c r="AW11" i="9" s="1"/>
  <c r="A27" i="9" s="1"/>
  <c r="F27" i="9" s="1"/>
  <c r="AW498" i="9" a="1"/>
  <c r="AW498" i="9" s="1"/>
  <c r="AW31" i="9" a="1"/>
  <c r="AW31" i="9" s="1"/>
  <c r="A47" i="9" s="1"/>
  <c r="F47" i="9" s="1"/>
  <c r="AW342" i="9" a="1"/>
  <c r="AW342" i="9" s="1"/>
  <c r="AW89" i="9" a="1"/>
  <c r="AW89" i="9" s="1"/>
  <c r="AW476" i="9" a="1"/>
  <c r="AW476" i="9" s="1"/>
  <c r="AD8" i="13"/>
  <c r="AW86" i="9" a="1"/>
  <c r="AW86" i="9" s="1"/>
  <c r="AW139" i="9" a="1"/>
  <c r="AW139" i="9" s="1"/>
  <c r="AW375" i="9" a="1"/>
  <c r="AW375" i="9" s="1"/>
  <c r="AW329" i="9" a="1"/>
  <c r="AW329" i="9" s="1"/>
  <c r="AW354" i="9" a="1"/>
  <c r="AW354" i="9" s="1"/>
  <c r="AW70" i="9" a="1"/>
  <c r="AW70" i="9" s="1"/>
  <c r="A86" i="9" s="1"/>
  <c r="AW270" i="9" a="1"/>
  <c r="AW270" i="9" s="1"/>
  <c r="AW272" i="9" a="1"/>
  <c r="AW272" i="9" s="1"/>
  <c r="AW406" i="9" a="1"/>
  <c r="AW406" i="9" s="1"/>
  <c r="AW58" i="9" a="1"/>
  <c r="AW58" i="9" s="1"/>
  <c r="A74" i="9" s="1"/>
  <c r="F74" i="9" s="1"/>
  <c r="AW26" i="9" a="1"/>
  <c r="AW26" i="9" s="1"/>
  <c r="A42" i="9" s="1"/>
  <c r="AW114" i="9" a="1"/>
  <c r="AW114" i="9" s="1"/>
  <c r="AW486" i="9" a="1"/>
  <c r="AW486" i="9" s="1"/>
  <c r="AW345" i="9" a="1"/>
  <c r="AW345" i="9" s="1"/>
  <c r="AW398" i="9" a="1"/>
  <c r="AW398" i="9" s="1"/>
  <c r="AW221" i="9" a="1"/>
  <c r="AW221" i="9" s="1"/>
  <c r="AW380" i="9" a="1"/>
  <c r="AW380" i="9" s="1"/>
  <c r="AW468" i="9" a="1"/>
  <c r="AW468" i="9" s="1"/>
  <c r="AW240" i="9" a="1"/>
  <c r="AW240" i="9" s="1"/>
  <c r="AW243" i="9" a="1"/>
  <c r="AW243" i="9" s="1"/>
  <c r="AW465" i="9" a="1"/>
  <c r="AW465" i="9" s="1"/>
  <c r="AW163" i="9" a="1"/>
  <c r="AW163" i="9" s="1"/>
  <c r="AW246" i="9" a="1"/>
  <c r="AW246" i="9" s="1"/>
  <c r="AW33" i="9" a="1"/>
  <c r="AW33" i="9" s="1"/>
  <c r="A49" i="9" s="1"/>
  <c r="AW116" i="9" a="1"/>
  <c r="AW116" i="9" s="1"/>
  <c r="AW180" i="9" a="1"/>
  <c r="AW180" i="9" s="1"/>
  <c r="AW62" i="9" a="1"/>
  <c r="AW62" i="9" s="1"/>
  <c r="A78" i="9" s="1"/>
  <c r="AW118" i="9" a="1"/>
  <c r="AW118" i="9" s="1"/>
  <c r="AW325" i="9" a="1"/>
  <c r="AW325" i="9" s="1"/>
  <c r="AW434" i="9" a="1"/>
  <c r="AW434" i="9" s="1"/>
  <c r="AW431" i="9" a="1"/>
  <c r="AW431" i="9" s="1"/>
  <c r="AW111" i="9" a="1"/>
  <c r="AW111" i="9" s="1"/>
  <c r="AW82" i="9" a="1"/>
  <c r="AW82" i="9" s="1"/>
  <c r="A98" i="9" s="1"/>
  <c r="AW499" i="9" a="1"/>
  <c r="AW499" i="9" s="1"/>
  <c r="AW438" i="9" a="1"/>
  <c r="AW438" i="9" s="1"/>
  <c r="AW382" i="9" a="1"/>
  <c r="AW382" i="9" s="1"/>
  <c r="AW213" i="9" a="1"/>
  <c r="AW213" i="9" s="1"/>
  <c r="AW351" i="9" a="1"/>
  <c r="AW351" i="9" s="1"/>
  <c r="AW436" i="9" a="1"/>
  <c r="AW436" i="9" s="1"/>
  <c r="AW284" i="9" a="1"/>
  <c r="AW284" i="9" s="1"/>
  <c r="AW84" i="9" a="1"/>
  <c r="AW84" i="9" s="1"/>
  <c r="AW474" i="9" a="1"/>
  <c r="AW474" i="9" s="1"/>
  <c r="AW491" i="9" a="1"/>
  <c r="AW491" i="9" s="1"/>
  <c r="AW473" i="9" a="1"/>
  <c r="AW473" i="9" s="1"/>
  <c r="AW6" i="9" a="1"/>
  <c r="AW6" i="9" s="1"/>
  <c r="A22" i="9" s="1"/>
  <c r="AW99" i="9" a="1"/>
  <c r="AW99" i="9" s="1"/>
  <c r="AD7" i="13"/>
  <c r="AW479" i="9" a="1"/>
  <c r="AW479" i="9" s="1"/>
  <c r="AW373" i="9" a="1"/>
  <c r="AW373" i="9" s="1"/>
  <c r="AW161" i="9" a="1"/>
  <c r="AW161" i="9" s="1"/>
  <c r="AW23" i="9" a="1"/>
  <c r="AW23" i="9" s="1"/>
  <c r="A39" i="9" s="1"/>
  <c r="AW186" i="9" a="1"/>
  <c r="AW186" i="9" s="1"/>
  <c r="AW454" i="9" a="1"/>
  <c r="AW454" i="9" s="1"/>
  <c r="AW478" i="9" a="1"/>
  <c r="AW478" i="9" s="1"/>
  <c r="AW350" i="9" a="1"/>
  <c r="AW350" i="9" s="1"/>
  <c r="AW181" i="9" a="1"/>
  <c r="AW181" i="9" s="1"/>
  <c r="AW348" i="9" a="1"/>
  <c r="AW348" i="9" s="1"/>
  <c r="AW165" i="9" a="1"/>
  <c r="AW165" i="9" s="1"/>
  <c r="AW295" i="9" a="1"/>
  <c r="AW295" i="9" s="1"/>
  <c r="AW19" i="9" a="1"/>
  <c r="AW19" i="9" s="1"/>
  <c r="A35" i="9" s="1"/>
  <c r="AW317" i="9" a="1"/>
  <c r="AW317" i="9" s="1"/>
  <c r="AW393" i="9" a="1"/>
  <c r="AW393" i="9" s="1"/>
  <c r="AW203" i="9" a="1"/>
  <c r="AW203" i="9" s="1"/>
  <c r="AW365" i="9" a="1"/>
  <c r="AW365" i="9" s="1"/>
  <c r="H1055" i="21" a="1"/>
  <c r="H1055" i="21" s="1"/>
  <c r="H1037" i="21" a="1"/>
  <c r="H1037" i="21" s="1"/>
  <c r="K1037" i="21" s="1" a="1"/>
  <c r="K1037" i="21" s="1"/>
  <c r="P1037" i="21" s="1"/>
  <c r="AW391" i="9" a="1"/>
  <c r="AW391" i="9" s="1"/>
  <c r="AW412" i="9" a="1"/>
  <c r="AW412" i="9" s="1"/>
  <c r="AW443" i="9" a="1"/>
  <c r="AW443" i="9" s="1"/>
  <c r="AW15" i="9" a="1"/>
  <c r="AW15" i="9" s="1"/>
  <c r="A31" i="9" s="1"/>
  <c r="F31" i="9" s="1"/>
  <c r="AW154" i="9" a="1"/>
  <c r="AW154" i="9" s="1"/>
  <c r="AW146" i="9" a="1"/>
  <c r="AW146" i="9" s="1"/>
  <c r="AW416" i="9" a="1"/>
  <c r="AW416" i="9" s="1"/>
  <c r="AW297" i="9" a="1"/>
  <c r="AW297" i="9" s="1"/>
  <c r="AW358" i="9" a="1"/>
  <c r="AW358" i="9" s="1"/>
  <c r="AW425" i="9" a="1"/>
  <c r="AW425" i="9" s="1"/>
  <c r="AW173" i="9" a="1"/>
  <c r="AW173" i="9" s="1"/>
  <c r="AW340" i="9" a="1"/>
  <c r="AW340" i="9" s="1"/>
  <c r="AW367" i="9" a="1"/>
  <c r="AW367" i="9" s="1"/>
  <c r="AW189" i="9" a="1"/>
  <c r="AW189" i="9" s="1"/>
  <c r="AW267" i="9" a="1"/>
  <c r="AW267" i="9" s="1"/>
  <c r="AW251" i="9" a="1"/>
  <c r="AW251" i="9" s="1"/>
  <c r="AW97" i="9" a="1"/>
  <c r="AW97" i="9" s="1"/>
  <c r="AW36" i="9" a="1"/>
  <c r="AW36" i="9" s="1"/>
  <c r="A52" i="9" s="1"/>
  <c r="AW140" i="9" a="1"/>
  <c r="AW140" i="9" s="1"/>
  <c r="AW27" i="9" a="1"/>
  <c r="AW27" i="9" s="1"/>
  <c r="A43" i="9" s="1"/>
  <c r="AW35" i="9" a="1"/>
  <c r="AW35" i="9" s="1"/>
  <c r="A51" i="9" s="1"/>
  <c r="AW458" i="9" a="1"/>
  <c r="AW458" i="9" s="1"/>
  <c r="AW341" i="9" a="1"/>
  <c r="AW341" i="9" s="1"/>
  <c r="AW386" i="9" a="1"/>
  <c r="AW386" i="9" s="1"/>
  <c r="AW39" i="9" a="1"/>
  <c r="AW39" i="9" s="1"/>
  <c r="A55" i="9" s="1"/>
  <c r="AW34" i="9" a="1"/>
  <c r="AW34" i="9" s="1"/>
  <c r="A50" i="9" s="1"/>
  <c r="F50" i="9" s="1"/>
  <c r="AW178" i="9" a="1"/>
  <c r="AW178" i="9" s="1"/>
  <c r="AW430" i="9" a="1"/>
  <c r="AW430" i="9" s="1"/>
  <c r="AW313" i="9" a="1"/>
  <c r="AW313" i="9" s="1"/>
  <c r="AW288" i="9" a="1"/>
  <c r="AW288" i="9" s="1"/>
  <c r="AW224" i="9" a="1"/>
  <c r="AW224" i="9" s="1"/>
  <c r="AW310" i="9" a="1"/>
  <c r="AW310" i="9" s="1"/>
  <c r="AW208" i="9" a="1"/>
  <c r="AW208" i="9" s="1"/>
  <c r="AW123" i="9" a="1"/>
  <c r="AW123" i="9" s="1"/>
  <c r="AW14" i="9" a="1"/>
  <c r="AW14" i="9" s="1"/>
  <c r="A30" i="9" s="1"/>
  <c r="D30" i="9" s="1"/>
  <c r="AW47" i="9" a="1"/>
  <c r="AW47" i="9" s="1"/>
  <c r="A63" i="9" s="1"/>
  <c r="AW318" i="9" a="1"/>
  <c r="AW318" i="9" s="1"/>
  <c r="AW49" i="9" a="1"/>
  <c r="AW49" i="9" s="1"/>
  <c r="A65" i="9" s="1"/>
  <c r="H801" i="21" a="1"/>
  <c r="H801" i="21" s="1"/>
  <c r="K801" i="21" s="1" a="1"/>
  <c r="K801" i="21" s="1"/>
  <c r="P801" i="21" s="1"/>
  <c r="H808" i="21" a="1"/>
  <c r="H808" i="21" s="1"/>
  <c r="I779" i="21" a="1"/>
  <c r="I779" i="21" s="1"/>
  <c r="H779" i="21" s="1"/>
  <c r="P779" i="21" s="1"/>
  <c r="G722" i="21"/>
  <c r="H722" i="21" s="1"/>
  <c r="P722" i="21" s="1"/>
  <c r="K779" i="21"/>
  <c r="K708" i="21"/>
  <c r="P708" i="21" s="1"/>
  <c r="G347" i="21"/>
  <c r="I365" i="21" a="1"/>
  <c r="I365" i="21" s="1"/>
  <c r="H365" i="21" s="1"/>
  <c r="P365" i="21" s="1"/>
  <c r="G711" i="21"/>
  <c r="H711" i="21" s="1"/>
  <c r="P711" i="21" s="1"/>
  <c r="K365" i="21"/>
  <c r="I763" i="21" a="1"/>
  <c r="I763" i="21" s="1"/>
  <c r="G763" i="21"/>
  <c r="H1105" i="21" a="1"/>
  <c r="G1042" i="21" a="1"/>
  <c r="G1042" i="21" s="1"/>
  <c r="H1042" i="21" s="1" a="1"/>
  <c r="H1042" i="21" s="1"/>
  <c r="K1042" i="21" s="1" a="1"/>
  <c r="K1042" i="21" s="1"/>
  <c r="P1042" i="21" s="1"/>
  <c r="G404" i="21" a="1"/>
  <c r="G404" i="21" s="1"/>
  <c r="H404" i="21" s="1" a="1"/>
  <c r="H404" i="21" s="1"/>
  <c r="K404" i="21" s="1" a="1"/>
  <c r="K404" i="21" s="1"/>
  <c r="P404" i="21" s="1"/>
  <c r="G811" i="21" a="1"/>
  <c r="G811" i="21" s="1"/>
  <c r="H811" i="21" s="1" a="1"/>
  <c r="H811" i="21" s="1"/>
  <c r="G403" i="21" a="1"/>
  <c r="G403" i="21" s="1"/>
  <c r="H403" i="21" s="1" a="1"/>
  <c r="H403" i="21" s="1"/>
  <c r="G645" i="21" a="1"/>
  <c r="G645" i="21" s="1"/>
  <c r="G807" i="21" a="1"/>
  <c r="G807" i="21" s="1"/>
  <c r="H807" i="21" s="1" a="1"/>
  <c r="H807" i="21" s="1"/>
  <c r="H266" i="21" a="1"/>
  <c r="H266" i="21" s="1"/>
  <c r="K266" i="21" s="1" a="1"/>
  <c r="K266" i="21" s="1"/>
  <c r="P266" i="21" s="1"/>
  <c r="G649" i="21" a="1"/>
  <c r="G649" i="21" s="1"/>
  <c r="H649" i="21" s="1" a="1"/>
  <c r="H649" i="21" s="1"/>
  <c r="K649" i="21" s="1" a="1"/>
  <c r="K649" i="21" s="1"/>
  <c r="P649" i="21" s="1"/>
  <c r="G425" i="21" a="1"/>
  <c r="G425" i="21" s="1"/>
  <c r="G407" i="21" a="1"/>
  <c r="G407" i="21" s="1"/>
  <c r="H407" i="21" s="1" a="1"/>
  <c r="H407" i="21" s="1"/>
  <c r="G1052" i="21" a="1"/>
  <c r="G1052" i="21" s="1"/>
  <c r="H1052" i="21" s="1" a="1"/>
  <c r="H1052" i="21" s="1"/>
  <c r="K1052" i="21" s="1" a="1"/>
  <c r="K1052" i="21" s="1"/>
  <c r="P1052" i="21" s="1"/>
  <c r="G413" i="21" a="1"/>
  <c r="G413" i="21" s="1"/>
  <c r="H413" i="21" s="1" a="1"/>
  <c r="H413" i="21" s="1"/>
  <c r="K413" i="21" s="1" a="1"/>
  <c r="K413" i="21" s="1"/>
  <c r="P413" i="21" s="1"/>
  <c r="G806" i="21" a="1"/>
  <c r="G806" i="21" s="1"/>
  <c r="H806" i="21" s="1" a="1"/>
  <c r="H806" i="21" s="1"/>
  <c r="G812" i="21" a="1"/>
  <c r="G812" i="21" s="1"/>
  <c r="H812" i="21" s="1" a="1"/>
  <c r="H812" i="21" s="1"/>
  <c r="P812" i="21" s="1"/>
  <c r="D1064" i="21" a="1"/>
  <c r="D1064" i="21" s="1"/>
  <c r="H1064" i="21" s="1" a="1"/>
  <c r="H1064" i="21" s="1"/>
  <c r="G416" i="21" a="1"/>
  <c r="G416" i="21" s="1"/>
  <c r="H416" i="21" s="1" a="1"/>
  <c r="H416" i="21" s="1"/>
  <c r="K416" i="21" s="1" a="1"/>
  <c r="K416" i="21" s="1"/>
  <c r="D7" i="21" a="1"/>
  <c r="D7" i="21" s="1"/>
  <c r="G663" i="21" a="1"/>
  <c r="G663" i="21" s="1"/>
  <c r="H663" i="21" s="1" a="1"/>
  <c r="H663" i="21" s="1"/>
  <c r="G662" i="21" a="1"/>
  <c r="G662" i="21" s="1"/>
  <c r="H1101" i="21" a="1"/>
  <c r="H1101" i="21" s="1"/>
  <c r="L1101" i="21" s="1" a="1"/>
  <c r="L1101" i="21" s="1"/>
  <c r="G644" i="21" a="1"/>
  <c r="G644" i="21" s="1"/>
  <c r="H644" i="21" s="1" a="1"/>
  <c r="H644" i="21" s="1"/>
  <c r="K644" i="21" s="1" a="1"/>
  <c r="K644" i="21" s="1"/>
  <c r="P644" i="21" s="1"/>
  <c r="H263" i="21" a="1"/>
  <c r="H263" i="21" s="1"/>
  <c r="G1032" i="21" a="1"/>
  <c r="G1032" i="21" s="1"/>
  <c r="H1032" i="21" s="1" a="1"/>
  <c r="H1032" i="21" s="1"/>
  <c r="G1049" i="21" a="1"/>
  <c r="G1049" i="21" s="1"/>
  <c r="H1049" i="21" s="1" a="1"/>
  <c r="H1049" i="21" s="1"/>
  <c r="G1054" i="21" a="1"/>
  <c r="G1054" i="21" s="1"/>
  <c r="H1054" i="21" s="1" a="1"/>
  <c r="H1054" i="21" s="1"/>
  <c r="H821" i="21"/>
  <c r="G1031" i="21" a="1"/>
  <c r="G1031" i="21" s="1"/>
  <c r="H1031" i="21" s="1" a="1"/>
  <c r="H1031" i="21" s="1"/>
  <c r="K1031" i="21" s="1" a="1"/>
  <c r="K1031" i="21" s="1"/>
  <c r="P1031" i="21" s="1"/>
  <c r="G665" i="21" a="1"/>
  <c r="G665" i="21" s="1"/>
  <c r="H665" i="21" s="1" a="1"/>
  <c r="H665" i="21" s="1"/>
  <c r="H1097" i="21" a="1"/>
  <c r="H1097" i="21" s="1"/>
  <c r="L1097" i="21" s="1" a="1"/>
  <c r="L1097" i="21" s="1"/>
  <c r="G646" i="21" a="1"/>
  <c r="G646" i="21" s="1"/>
  <c r="H646" i="21" s="1" a="1"/>
  <c r="H646" i="21" s="1"/>
  <c r="K646" i="21" s="1" a="1"/>
  <c r="K646" i="21" s="1"/>
  <c r="P646" i="21" s="1"/>
  <c r="G803" i="21" a="1"/>
  <c r="G803" i="21" s="1"/>
  <c r="H803" i="21" s="1" a="1"/>
  <c r="H803" i="21" s="1"/>
  <c r="K803" i="21" s="1" a="1"/>
  <c r="K803" i="21" s="1"/>
  <c r="D1063" i="21" a="1"/>
  <c r="D1063" i="21" s="1"/>
  <c r="H1063" i="21" s="1" a="1"/>
  <c r="H1063" i="21" s="1"/>
  <c r="G1043" i="21" a="1"/>
  <c r="G1043" i="21" s="1"/>
  <c r="H1043" i="21" s="1" a="1"/>
  <c r="H1043" i="21" s="1"/>
  <c r="G1053" i="21" a="1"/>
  <c r="G1053" i="21" s="1"/>
  <c r="H1053" i="21" s="1" a="1"/>
  <c r="H1053" i="21" s="1"/>
  <c r="K1053" i="21" s="1" a="1"/>
  <c r="K1053" i="21" s="1"/>
  <c r="H1100" i="21" a="1"/>
  <c r="H1100" i="21" s="1"/>
  <c r="L1100" i="21" s="1" a="1"/>
  <c r="L1100" i="21" s="1"/>
  <c r="G804" i="21" a="1"/>
  <c r="G804" i="21" s="1"/>
  <c r="H804" i="21" s="1" a="1"/>
  <c r="H804" i="21" s="1"/>
  <c r="H271" i="21" a="1"/>
  <c r="H271" i="21" s="1"/>
  <c r="K271" i="21" s="1" a="1"/>
  <c r="K271" i="21" s="1"/>
  <c r="P271" i="21" s="1"/>
  <c r="G1041" i="21" a="1"/>
  <c r="G1041" i="21" s="1"/>
  <c r="H1041" i="21" s="1" a="1"/>
  <c r="H1041" i="21" s="1"/>
  <c r="G424" i="21" a="1"/>
  <c r="G424" i="21" s="1"/>
  <c r="H424" i="21" s="1" a="1"/>
  <c r="H424" i="21" s="1"/>
  <c r="G1046" i="21" a="1"/>
  <c r="G1046" i="21" s="1"/>
  <c r="H1046" i="21" s="1" a="1"/>
  <c r="H1046" i="21" s="1"/>
  <c r="P1046" i="21" s="1"/>
  <c r="H438" i="21"/>
  <c r="G730" i="21"/>
  <c r="I730" i="21" a="1"/>
  <c r="I730" i="21" s="1"/>
  <c r="G712" i="21"/>
  <c r="I712" i="21" a="1"/>
  <c r="I712" i="21" s="1"/>
  <c r="K712" i="21"/>
  <c r="K718" i="21"/>
  <c r="G718" i="21"/>
  <c r="H718" i="21" s="1"/>
  <c r="P718" i="21" s="1"/>
  <c r="K763" i="21"/>
  <c r="K737" i="21"/>
  <c r="I737" i="21" a="1"/>
  <c r="I737" i="21" s="1"/>
  <c r="H737" i="21" s="1"/>
  <c r="P737" i="21" s="1"/>
  <c r="G705" i="21"/>
  <c r="H705" i="21" s="1"/>
  <c r="P705" i="21" s="1"/>
  <c r="G1030" i="21" a="1"/>
  <c r="G1030" i="21" s="1"/>
  <c r="H1030" i="21" s="1" a="1"/>
  <c r="H1030" i="21" s="1"/>
  <c r="K1030" i="21" s="1" a="1"/>
  <c r="K1030" i="21" s="1"/>
  <c r="P1030" i="21" s="1"/>
  <c r="G666" i="21" a="1"/>
  <c r="G666" i="21" s="1"/>
  <c r="G669" i="21" a="1"/>
  <c r="G669" i="21" s="1"/>
  <c r="H669" i="21" s="1" a="1"/>
  <c r="H669" i="21" s="1"/>
  <c r="H437" i="21"/>
  <c r="I437" i="21" s="1"/>
  <c r="G1048" i="21" a="1"/>
  <c r="G1048" i="21" s="1"/>
  <c r="H1048" i="21" s="1" a="1"/>
  <c r="H1048" i="21" s="1"/>
  <c r="K1048" i="21" s="1" a="1"/>
  <c r="K1048" i="21" s="1"/>
  <c r="P1048" i="21" s="1"/>
  <c r="A12" i="5"/>
  <c r="AD12" i="5" s="1"/>
  <c r="AE12" i="5" s="1"/>
  <c r="G406" i="21" a="1"/>
  <c r="G406" i="21" s="1"/>
  <c r="G800" i="21" a="1"/>
  <c r="G800" i="21" s="1"/>
  <c r="H800" i="21" s="1" a="1"/>
  <c r="H800" i="21" s="1"/>
  <c r="K800" i="21" s="1" a="1"/>
  <c r="K800" i="21" s="1"/>
  <c r="P800" i="21" s="1"/>
  <c r="G427" i="21" a="1"/>
  <c r="G427" i="21" s="1"/>
  <c r="E6" i="13"/>
  <c r="AD6" i="13" s="1"/>
  <c r="E4" i="5"/>
  <c r="AW248" i="9" a="1"/>
  <c r="AW248" i="9" s="1"/>
  <c r="AW396" i="9" a="1"/>
  <c r="AW396" i="9" s="1"/>
  <c r="AW149" i="9" a="1"/>
  <c r="AW149" i="9" s="1"/>
  <c r="AW179" i="9" a="1"/>
  <c r="AW179" i="9" s="1"/>
  <c r="AW100" i="9" a="1"/>
  <c r="AW100" i="9" s="1"/>
  <c r="AW447" i="9" a="1"/>
  <c r="AW447" i="9" s="1"/>
  <c r="AW122" i="9" a="1"/>
  <c r="AW122" i="9" s="1"/>
  <c r="AW475" i="9" a="1"/>
  <c r="AW475" i="9" s="1"/>
  <c r="AW316" i="9" a="1"/>
  <c r="AW316" i="9" s="1"/>
  <c r="AW327" i="9" a="1"/>
  <c r="AW327" i="9" s="1"/>
  <c r="AW124" i="9" a="1"/>
  <c r="AW124" i="9" s="1"/>
  <c r="AW426" i="9" a="1"/>
  <c r="AW426" i="9" s="1"/>
  <c r="AW9" i="9" a="1"/>
  <c r="AW9" i="9" s="1"/>
  <c r="A25" i="9" s="1"/>
  <c r="F25" i="9" s="1"/>
  <c r="AW7" i="9" a="1"/>
  <c r="AW7" i="9" s="1"/>
  <c r="A23" i="9" s="1"/>
  <c r="F23" i="9" s="1"/>
  <c r="AW435" i="9" a="1"/>
  <c r="AW435" i="9" s="1"/>
  <c r="AW91" i="9" a="1"/>
  <c r="AW91" i="9" s="1"/>
  <c r="AW235" i="9" a="1"/>
  <c r="AW235" i="9" s="1"/>
  <c r="AW83" i="9" a="1"/>
  <c r="AW83" i="9" s="1"/>
  <c r="AW276" i="9" a="1"/>
  <c r="AW276" i="9" s="1"/>
  <c r="AW455" i="9" a="1"/>
  <c r="AW455" i="9" s="1"/>
  <c r="AW134" i="9" a="1"/>
  <c r="AW134" i="9" s="1"/>
  <c r="AW126" i="9" a="1"/>
  <c r="AW126" i="9" s="1"/>
  <c r="AW107" i="9" a="1"/>
  <c r="AW107" i="9" s="1"/>
  <c r="AW3" i="9" a="1"/>
  <c r="AW3" i="9" s="1"/>
  <c r="A19" i="9" s="1"/>
  <c r="D19" i="9" s="1"/>
  <c r="AW148" i="9" a="1"/>
  <c r="AW148" i="9" s="1"/>
  <c r="AW44" i="9" a="1"/>
  <c r="AW44" i="9" s="1"/>
  <c r="A60" i="9" s="1"/>
  <c r="D60" i="9" s="1"/>
  <c r="AW222" i="9" a="1"/>
  <c r="AW222" i="9" s="1"/>
  <c r="AW292" i="9" a="1"/>
  <c r="AW292" i="9" s="1"/>
  <c r="AW420" i="9" a="1"/>
  <c r="AW420" i="9" s="1"/>
  <c r="AW300" i="9" a="1"/>
  <c r="AW300" i="9" s="1"/>
  <c r="AW133" i="9" a="1"/>
  <c r="AW133" i="9" s="1"/>
  <c r="AW449" i="9" a="1"/>
  <c r="AW449" i="9" s="1"/>
  <c r="AW319" i="9" a="1"/>
  <c r="AW319" i="9" s="1"/>
  <c r="AW334" i="9" a="1"/>
  <c r="AW334" i="9" s="1"/>
  <c r="AW366" i="9" a="1"/>
  <c r="AW366" i="9" s="1"/>
  <c r="AW422" i="9" a="1"/>
  <c r="AW422" i="9" s="1"/>
  <c r="AW194" i="9" a="1"/>
  <c r="AW194" i="9" s="1"/>
  <c r="AW98" i="9" a="1"/>
  <c r="AW98" i="9" s="1"/>
  <c r="AW87" i="9" a="1"/>
  <c r="AW87" i="9" s="1"/>
  <c r="AW281" i="9" a="1"/>
  <c r="AW281" i="9" s="1"/>
  <c r="AW397" i="9" a="1"/>
  <c r="AW397" i="9" s="1"/>
  <c r="AW150" i="9" a="1"/>
  <c r="AW150" i="9" s="1"/>
  <c r="AW110" i="9" a="1"/>
  <c r="AW110" i="9" s="1"/>
  <c r="AW46" i="9" a="1"/>
  <c r="AW46" i="9" s="1"/>
  <c r="A62" i="9" s="1"/>
  <c r="D62" i="9" s="1"/>
  <c r="AW196" i="9" a="1"/>
  <c r="AW196" i="9" s="1"/>
  <c r="AW92" i="9" a="1"/>
  <c r="AW92" i="9" s="1"/>
  <c r="AW20" i="9" a="1"/>
  <c r="AW20" i="9" s="1"/>
  <c r="A36" i="9" s="1"/>
  <c r="AW278" i="9" a="1"/>
  <c r="AW278" i="9" s="1"/>
  <c r="AW388" i="9" a="1"/>
  <c r="AW388" i="9" s="1"/>
  <c r="AW232" i="9" a="1"/>
  <c r="AW232" i="9" s="1"/>
  <c r="AW335" i="9" a="1"/>
  <c r="AW335" i="9" s="1"/>
  <c r="AW308" i="9" a="1"/>
  <c r="AW308" i="9" s="1"/>
  <c r="AW141" i="9" a="1"/>
  <c r="AW141" i="9" s="1"/>
  <c r="AW357" i="9" a="1"/>
  <c r="AW357" i="9" s="1"/>
  <c r="AW415" i="9" a="1"/>
  <c r="AW415" i="9" s="1"/>
  <c r="AW18" i="9" a="1"/>
  <c r="AW18" i="9" s="1"/>
  <c r="A34" i="9" s="1"/>
  <c r="AW353" i="9" a="1"/>
  <c r="AW353" i="9" s="1"/>
  <c r="AW102" i="9" a="1"/>
  <c r="AW102" i="9" s="1"/>
  <c r="AW378" i="9" a="1"/>
  <c r="AW378" i="9" s="1"/>
  <c r="AW423" i="9" a="1"/>
  <c r="AW423" i="9" s="1"/>
  <c r="AW389" i="9" a="1"/>
  <c r="AW389" i="9" s="1"/>
  <c r="AW439" i="9" a="1"/>
  <c r="AW439" i="9" s="1"/>
  <c r="AW59" i="9" a="1"/>
  <c r="AW59" i="9" s="1"/>
  <c r="A75" i="9" s="1"/>
  <c r="AW188" i="9" a="1"/>
  <c r="AW188" i="9" s="1"/>
  <c r="AW105" i="9" a="1"/>
  <c r="AW105" i="9" s="1"/>
  <c r="AW25" i="9" a="1"/>
  <c r="AW25" i="9" s="1"/>
  <c r="A41" i="9" s="1"/>
  <c r="D41" i="9" s="1"/>
  <c r="AW238" i="9" a="1"/>
  <c r="AW238" i="9" s="1"/>
  <c r="AW356" i="9" a="1"/>
  <c r="AW356" i="9" s="1"/>
  <c r="AW484" i="9" a="1"/>
  <c r="AW484" i="9" s="1"/>
  <c r="AW303" i="9" a="1"/>
  <c r="AW303" i="9" s="1"/>
  <c r="AW294" i="9" a="1"/>
  <c r="AW294" i="9" s="1"/>
  <c r="AW280" i="9" a="1"/>
  <c r="AW280" i="9" s="1"/>
  <c r="AW444" i="9" a="1"/>
  <c r="AW444" i="9" s="1"/>
  <c r="AW302" i="9" a="1"/>
  <c r="AW302" i="9" s="1"/>
  <c r="AW369" i="9" a="1"/>
  <c r="AW369" i="9" s="1"/>
  <c r="AW494" i="9" a="1"/>
  <c r="AW494" i="9" s="1"/>
  <c r="AW130" i="9" a="1"/>
  <c r="AW130" i="9" s="1"/>
  <c r="AW90" i="9" a="1"/>
  <c r="AW90" i="9" s="1"/>
  <c r="AW95" i="9" a="1"/>
  <c r="AW95" i="9" s="1"/>
  <c r="AW442" i="9" a="1"/>
  <c r="AW442" i="9" s="1"/>
  <c r="AW198" i="9" a="1"/>
  <c r="AW198" i="9" s="1"/>
  <c r="AW450" i="9" a="1"/>
  <c r="AW450" i="9" s="1"/>
  <c r="AW471" i="9" a="1"/>
  <c r="AW471" i="9" s="1"/>
  <c r="AW54" i="9" a="1"/>
  <c r="AW54" i="9" s="1"/>
  <c r="A70" i="9" s="1"/>
  <c r="D70" i="9" s="1"/>
  <c r="AW172" i="9" a="1"/>
  <c r="AW172" i="9" s="1"/>
  <c r="AW12" i="9" a="1"/>
  <c r="AW12" i="9" s="1"/>
  <c r="A28" i="9" s="1"/>
  <c r="D28" i="9" s="1"/>
  <c r="AW214" i="9" a="1"/>
  <c r="AW214" i="9" s="1"/>
  <c r="AW262" i="9" a="1"/>
  <c r="AW262" i="9" s="1"/>
  <c r="AW452" i="9" a="1"/>
  <c r="AW452" i="9" s="1"/>
  <c r="AW374" i="9" a="1"/>
  <c r="AW374" i="9" s="1"/>
  <c r="AW460" i="9" a="1"/>
  <c r="AW460" i="9" s="1"/>
  <c r="AW311" i="9" a="1"/>
  <c r="AW311" i="9" s="1"/>
  <c r="AW60" i="9" a="1"/>
  <c r="AW60" i="9" s="1"/>
  <c r="A76" i="9" s="1"/>
  <c r="F76" i="9" s="1"/>
  <c r="AW470" i="9" a="1"/>
  <c r="AW470" i="9" s="1"/>
  <c r="AW237" i="9" a="1"/>
  <c r="AW237" i="9" s="1"/>
  <c r="AW314" i="9" a="1"/>
  <c r="AW314" i="9" s="1"/>
  <c r="AW394" i="9" a="1"/>
  <c r="AW394" i="9" s="1"/>
  <c r="AW190" i="9" a="1"/>
  <c r="AW190" i="9" s="1"/>
  <c r="AW78" i="9" a="1"/>
  <c r="AW78" i="9" s="1"/>
  <c r="A94" i="9" s="1"/>
  <c r="AW75" i="9" a="1"/>
  <c r="AW75" i="9" s="1"/>
  <c r="A91" i="9" s="1"/>
  <c r="F91" i="9" s="1"/>
  <c r="AW192" i="9" a="1"/>
  <c r="AW192" i="9" s="1"/>
  <c r="AW76" i="9" a="1"/>
  <c r="AW76" i="9" s="1"/>
  <c r="A92" i="9" s="1"/>
  <c r="D92" i="9" s="1"/>
  <c r="AW65" i="9" a="1"/>
  <c r="AW65" i="9" s="1"/>
  <c r="A81" i="9" s="1"/>
  <c r="D81" i="9" s="1"/>
  <c r="AW219" i="9" a="1"/>
  <c r="AW219" i="9" s="1"/>
  <c r="AW264" i="9" a="1"/>
  <c r="AW264" i="9" s="1"/>
  <c r="AW125" i="9" a="1"/>
  <c r="AW125" i="9" s="1"/>
  <c r="AW428" i="9" a="1"/>
  <c r="AW428" i="9" s="1"/>
  <c r="AW404" i="9" a="1"/>
  <c r="AW404" i="9" s="1"/>
  <c r="AW253" i="9" a="1"/>
  <c r="AW253" i="9" s="1"/>
  <c r="AW489" i="9" a="1"/>
  <c r="AW489" i="9" s="1"/>
  <c r="AW261" i="9" a="1"/>
  <c r="AW261" i="9" s="1"/>
  <c r="AW409" i="9" a="1"/>
  <c r="AW409" i="9" s="1"/>
  <c r="AW467" i="9" a="1"/>
  <c r="AW467" i="9" s="1"/>
  <c r="AW483" i="9" a="1"/>
  <c r="AW483" i="9" s="1"/>
  <c r="AW106" i="9" a="1"/>
  <c r="AW106" i="9" s="1"/>
  <c r="AW79" i="9" a="1"/>
  <c r="AW79" i="9" s="1"/>
  <c r="A95" i="9" s="1"/>
  <c r="D95" i="9" s="1"/>
  <c r="AW346" i="9" a="1"/>
  <c r="AW346" i="9" s="1"/>
  <c r="AW301" i="9" a="1"/>
  <c r="AW301" i="9" s="1"/>
  <c r="AW502" i="9" a="1"/>
  <c r="AW502" i="9" s="1"/>
  <c r="AW38" i="9" a="1"/>
  <c r="AW38" i="9" s="1"/>
  <c r="A54" i="9" s="1"/>
  <c r="F54" i="9" s="1"/>
  <c r="AW43" i="9" a="1"/>
  <c r="AW43" i="9" s="1"/>
  <c r="A59" i="9" s="1"/>
  <c r="D59" i="9" s="1"/>
  <c r="AW156" i="9" a="1"/>
  <c r="AW156" i="9" s="1"/>
  <c r="AW28" i="9" a="1"/>
  <c r="AW28" i="9" s="1"/>
  <c r="A44" i="9" s="1"/>
  <c r="D44" i="9" s="1"/>
  <c r="AW17" i="9" a="1"/>
  <c r="AW17" i="9" s="1"/>
  <c r="A33" i="9" s="1"/>
  <c r="D33" i="9" s="1"/>
  <c r="AW155" i="9" a="1"/>
  <c r="AW155" i="9" s="1"/>
  <c r="AW433" i="9" a="1"/>
  <c r="AW433" i="9" s="1"/>
  <c r="AW211" i="9" a="1"/>
  <c r="AW211" i="9" s="1"/>
  <c r="G710" i="21"/>
  <c r="I710" i="21" a="1"/>
  <c r="I710" i="21" s="1"/>
  <c r="I729" i="21" a="1"/>
  <c r="I729" i="21" s="1"/>
  <c r="H729" i="21" s="1"/>
  <c r="P729" i="21" s="1"/>
  <c r="K729" i="21"/>
  <c r="K724" i="21"/>
  <c r="G724" i="21"/>
  <c r="H724" i="21" s="1"/>
  <c r="P724" i="21" s="1"/>
  <c r="K728" i="21"/>
  <c r="G728" i="21"/>
  <c r="H728" i="21" s="1"/>
  <c r="P728" i="21" s="1"/>
  <c r="K723" i="21"/>
  <c r="G723" i="21"/>
  <c r="H723" i="21" s="1"/>
  <c r="P723" i="21" s="1"/>
  <c r="G410" i="21" a="1"/>
  <c r="G410" i="21" s="1"/>
  <c r="H410" i="21" s="1" a="1"/>
  <c r="H410" i="21" s="1"/>
  <c r="K410" i="21" s="1" a="1"/>
  <c r="K410" i="21" s="1"/>
  <c r="P410" i="21" s="1"/>
  <c r="G796" i="21" a="1"/>
  <c r="G796" i="21" s="1"/>
  <c r="H796" i="21" s="1" a="1"/>
  <c r="H796" i="21" s="1"/>
  <c r="K796" i="21" s="1" a="1"/>
  <c r="K796" i="21" s="1"/>
  <c r="P796" i="21" s="1"/>
  <c r="G1033" i="21" a="1"/>
  <c r="G1033" i="21" s="1"/>
  <c r="H1033" i="21" s="1" a="1"/>
  <c r="H1033" i="21" s="1"/>
  <c r="K1033" i="21" s="1" a="1"/>
  <c r="K1033" i="21" s="1"/>
  <c r="P1033" i="21" s="1"/>
  <c r="G802" i="21" a="1"/>
  <c r="G802" i="21" s="1"/>
  <c r="H802" i="21" s="1" a="1"/>
  <c r="H802" i="21" s="1"/>
  <c r="G798" i="21" a="1"/>
  <c r="G798" i="21" s="1"/>
  <c r="H798" i="21" s="1" a="1"/>
  <c r="H798" i="21" s="1"/>
  <c r="G788" i="21" a="1"/>
  <c r="G788" i="21" s="1"/>
  <c r="H788" i="21" s="1" a="1"/>
  <c r="H788" i="21" s="1"/>
  <c r="G420" i="21" a="1"/>
  <c r="G420" i="21" s="1"/>
  <c r="H420" i="21" s="1" a="1"/>
  <c r="H420" i="21" s="1"/>
  <c r="G418" i="21" a="1"/>
  <c r="G418" i="21" s="1"/>
  <c r="H418" i="21" s="1" a="1"/>
  <c r="H418" i="21" s="1"/>
  <c r="G1038" i="21" a="1"/>
  <c r="G1038" i="21" s="1"/>
  <c r="H1038" i="21" s="1" a="1"/>
  <c r="H1038" i="21" s="1"/>
  <c r="K1038" i="21" s="1" a="1"/>
  <c r="K1038" i="21" s="1"/>
  <c r="P1038" i="21" s="1"/>
  <c r="H267" i="21" a="1"/>
  <c r="H267" i="21" s="1"/>
  <c r="P267" i="21" s="1"/>
  <c r="H6" i="21" a="1"/>
  <c r="H1102" i="21" a="1"/>
  <c r="H1104" i="21" a="1"/>
  <c r="K267" i="21" a="1"/>
  <c r="K267" i="21" s="1"/>
  <c r="D1073" i="21" a="1"/>
  <c r="D1073" i="21" s="1"/>
  <c r="H1073" i="21" s="1" a="1"/>
  <c r="H1073" i="21" s="1"/>
  <c r="L1073" i="21" s="1"/>
  <c r="D1072" i="21" a="1"/>
  <c r="D1072" i="21" s="1"/>
  <c r="H1072" i="21" s="1" a="1"/>
  <c r="H1072" i="21" s="1"/>
  <c r="L1072" i="21" s="1"/>
  <c r="D1083" i="21" a="1"/>
  <c r="D1083" i="21" s="1"/>
  <c r="H1083" i="21" s="1" a="1"/>
  <c r="H1083" i="21" s="1"/>
  <c r="H7" i="21" a="1"/>
  <c r="H7" i="21" s="1"/>
  <c r="K780" i="21"/>
  <c r="G780" i="21"/>
  <c r="H780" i="21" s="1"/>
  <c r="P780" i="21" s="1"/>
  <c r="I764" i="21" a="1"/>
  <c r="I764" i="21" s="1"/>
  <c r="H764" i="21" s="1"/>
  <c r="P764" i="21" s="1"/>
  <c r="K764" i="21"/>
  <c r="G422" i="21" a="1"/>
  <c r="G422" i="21" s="1"/>
  <c r="H422" i="21" s="1" a="1"/>
  <c r="H422" i="21" s="1"/>
  <c r="G670" i="21" a="1"/>
  <c r="G670" i="21" s="1"/>
  <c r="H670" i="21" s="1" a="1"/>
  <c r="H670" i="21" s="1"/>
  <c r="G1044" i="21" a="1"/>
  <c r="G1044" i="21" s="1"/>
  <c r="H1044" i="21" s="1" a="1"/>
  <c r="H1044" i="21" s="1"/>
  <c r="K1044" i="21" s="1" a="1"/>
  <c r="K1044" i="21" s="1"/>
  <c r="P1044" i="21" s="1"/>
  <c r="G414" i="21" a="1"/>
  <c r="G414" i="21" s="1"/>
  <c r="H414" i="21" s="1" a="1"/>
  <c r="H414" i="21" s="1"/>
  <c r="K414" i="21" s="1" a="1"/>
  <c r="K414" i="21" s="1"/>
  <c r="P414" i="21" s="1"/>
  <c r="G1051" i="21" a="1"/>
  <c r="G1051" i="21" s="1"/>
  <c r="H1051" i="21" s="1" a="1"/>
  <c r="H1051" i="21" s="1"/>
  <c r="P1051" i="21" s="1"/>
  <c r="H258" i="21" a="1"/>
  <c r="H258" i="21" s="1"/>
  <c r="K258" i="21" s="1" a="1"/>
  <c r="K258" i="21" s="1"/>
  <c r="P258" i="21" s="1"/>
  <c r="G412" i="21" a="1"/>
  <c r="G412" i="21" s="1"/>
  <c r="H412" i="21" s="1" a="1"/>
  <c r="H412" i="21" s="1"/>
  <c r="K412" i="21" s="1" a="1"/>
  <c r="K412" i="21" s="1"/>
  <c r="P412" i="21" s="1"/>
  <c r="H264" i="21" a="1"/>
  <c r="H264" i="21" s="1"/>
  <c r="H813" i="21"/>
  <c r="J813" i="21" s="1" a="1"/>
  <c r="J813" i="21" s="1"/>
  <c r="H1105" i="21"/>
  <c r="L1105" i="21" s="1"/>
  <c r="H1096" i="21" a="1"/>
  <c r="H1096" i="21" s="1"/>
  <c r="L1096" i="21" s="1" a="1"/>
  <c r="L1096" i="21" s="1"/>
  <c r="G1034" i="21" a="1"/>
  <c r="G1034" i="21" s="1"/>
  <c r="H1034" i="21" s="1" a="1"/>
  <c r="H1034" i="21" s="1"/>
  <c r="K1034" i="21" s="1" a="1"/>
  <c r="K1034" i="21" s="1"/>
  <c r="P1034" i="21" s="1"/>
  <c r="G1040" i="21" a="1"/>
  <c r="G1040" i="21" s="1"/>
  <c r="H1040" i="21" s="1" a="1"/>
  <c r="H1040" i="21" s="1"/>
  <c r="K1040" i="21" s="1" a="1"/>
  <c r="K1040" i="21" s="1"/>
  <c r="P1040" i="21" s="1"/>
  <c r="G415" i="21" a="1"/>
  <c r="G415" i="21" s="1"/>
  <c r="H415" i="21" s="1" a="1"/>
  <c r="H415" i="21" s="1"/>
  <c r="K415" i="21" s="1" a="1"/>
  <c r="K415" i="21" s="1"/>
  <c r="H820" i="21"/>
  <c r="J820" i="21" s="1" a="1"/>
  <c r="J820" i="21" s="1"/>
  <c r="H260" i="21" a="1"/>
  <c r="H260" i="21" s="1"/>
  <c r="D1103" i="21" a="1"/>
  <c r="D1103" i="21" s="1"/>
  <c r="H265" i="21" a="1"/>
  <c r="H265" i="21" s="1"/>
  <c r="K265" i="21" s="1" a="1"/>
  <c r="K265" i="21" s="1"/>
  <c r="P265" i="21" s="1"/>
  <c r="H1104" i="21"/>
  <c r="L1104" i="21" s="1"/>
  <c r="G653" i="21" a="1"/>
  <c r="G653" i="21" s="1"/>
  <c r="H653" i="21" s="1" a="1"/>
  <c r="H653" i="21" s="1"/>
  <c r="K653" i="21" s="1" a="1"/>
  <c r="K653" i="21" s="1"/>
  <c r="P653" i="21" s="1"/>
  <c r="H924" i="21"/>
  <c r="I924" i="21" s="1"/>
  <c r="H825" i="21"/>
  <c r="P825" i="21" s="1"/>
  <c r="G651" i="21" a="1"/>
  <c r="G651" i="21" s="1"/>
  <c r="H651" i="21" s="1" a="1"/>
  <c r="H651" i="21" s="1"/>
  <c r="K651" i="21" s="1" a="1"/>
  <c r="K651" i="21" s="1"/>
  <c r="P651" i="21" s="1"/>
  <c r="G664" i="21" a="1"/>
  <c r="G664" i="21" s="1"/>
  <c r="H664" i="21" s="1" a="1"/>
  <c r="H664" i="21" s="1"/>
  <c r="P664" i="21" s="1"/>
  <c r="G792" i="21" a="1"/>
  <c r="G792" i="21" s="1"/>
  <c r="H792" i="21" s="1" a="1"/>
  <c r="H792" i="21" s="1"/>
  <c r="K792" i="21" s="1" a="1"/>
  <c r="K792" i="21" s="1"/>
  <c r="P792" i="21" s="1"/>
  <c r="H262" i="21" a="1"/>
  <c r="H262" i="21" s="1"/>
  <c r="K262" i="21" s="1" a="1"/>
  <c r="K262" i="21" s="1"/>
  <c r="P262" i="21" s="1"/>
  <c r="G401" i="21" a="1"/>
  <c r="G401" i="21" s="1"/>
  <c r="H401" i="21" s="1" a="1"/>
  <c r="H401" i="21" s="1"/>
  <c r="K401" i="21" s="1" a="1"/>
  <c r="K401" i="21" s="1"/>
  <c r="G648" i="21" a="1"/>
  <c r="G648" i="21" s="1"/>
  <c r="H648" i="21" s="1" a="1"/>
  <c r="H648" i="21" s="1"/>
  <c r="K648" i="21" s="1" a="1"/>
  <c r="K648" i="21" s="1"/>
  <c r="P648" i="21" s="1"/>
  <c r="H431" i="21"/>
  <c r="P431" i="21" s="1"/>
  <c r="H818" i="21"/>
  <c r="P818" i="21" s="1"/>
  <c r="H435" i="21"/>
  <c r="I435" i="21" s="1"/>
  <c r="G408" i="21" a="1"/>
  <c r="G408" i="21" s="1"/>
  <c r="H408" i="21" s="1" a="1"/>
  <c r="H408" i="21" s="1"/>
  <c r="K408" i="21" s="1" a="1"/>
  <c r="K408" i="21" s="1"/>
  <c r="P408" i="21" s="1"/>
  <c r="G1047" i="21" a="1"/>
  <c r="G1047" i="21" s="1"/>
  <c r="H1047" i="21" s="1" a="1"/>
  <c r="H1047" i="21" s="1"/>
  <c r="D1062" i="21" a="1"/>
  <c r="D1062" i="21" s="1"/>
  <c r="H1062" i="21" s="1" a="1"/>
  <c r="H1062" i="21" s="1"/>
  <c r="G656" i="21" a="1"/>
  <c r="G656" i="21" s="1"/>
  <c r="H656" i="21" s="1" a="1"/>
  <c r="H656" i="21" s="1"/>
  <c r="K656" i="21" s="1" a="1"/>
  <c r="K656" i="21" s="1"/>
  <c r="P656" i="21" s="1"/>
  <c r="H270" i="21" a="1"/>
  <c r="H270" i="21" s="1"/>
  <c r="K270" i="21" s="1" a="1"/>
  <c r="K270" i="21" s="1"/>
  <c r="P270" i="21" s="1"/>
  <c r="K749" i="21"/>
  <c r="G1029" i="21" a="1"/>
  <c r="G1029" i="21" s="1"/>
  <c r="H1029" i="21" s="1" a="1"/>
  <c r="H1029" i="21" s="1"/>
  <c r="H440" i="21"/>
  <c r="P440" i="21" s="1"/>
  <c r="D1065" i="21" a="1"/>
  <c r="D1065" i="21" s="1"/>
  <c r="H1065" i="21" s="1" a="1"/>
  <c r="H1065" i="21" s="1"/>
  <c r="H429" i="21"/>
  <c r="I429" i="21" s="1"/>
  <c r="G786" i="21" a="1"/>
  <c r="G786" i="21" s="1"/>
  <c r="H786" i="21" s="1" a="1"/>
  <c r="H786" i="21" s="1"/>
  <c r="H6" i="21"/>
  <c r="H269" i="21" a="1"/>
  <c r="H269" i="21" s="1"/>
  <c r="K269" i="21" s="1" a="1"/>
  <c r="K269" i="21" s="1"/>
  <c r="P269" i="21" s="1"/>
  <c r="G1045" i="21" a="1"/>
  <c r="G1045" i="21" s="1"/>
  <c r="H1045" i="21" s="1" a="1"/>
  <c r="H1045" i="21" s="1"/>
  <c r="K1045" i="21" s="1" a="1"/>
  <c r="K1045" i="21" s="1"/>
  <c r="P1045" i="21" s="1"/>
  <c r="G658" i="21" a="1"/>
  <c r="G658" i="21" s="1"/>
  <c r="H658" i="21" s="1" a="1"/>
  <c r="H658" i="21" s="1"/>
  <c r="K658" i="21" s="1" a="1"/>
  <c r="K658" i="21" s="1"/>
  <c r="P658" i="21" s="1"/>
  <c r="D1095" i="21" a="1"/>
  <c r="D1095" i="21" s="1"/>
  <c r="H1095" i="21" s="1" a="1"/>
  <c r="H1095" i="21" s="1"/>
  <c r="L1095" i="21" s="1" a="1"/>
  <c r="L1095" i="21" s="1"/>
  <c r="G654" i="21" a="1"/>
  <c r="G654" i="21" s="1"/>
  <c r="H654" i="21" s="1" a="1"/>
  <c r="H654" i="21" s="1"/>
  <c r="K654" i="21" s="1" a="1"/>
  <c r="K654" i="21" s="1"/>
  <c r="P654" i="21" s="1"/>
  <c r="G1035" i="21" a="1"/>
  <c r="G1035" i="21" s="1"/>
  <c r="H1035" i="21" s="1" a="1"/>
  <c r="H1035" i="21" s="1"/>
  <c r="K1035" i="21" s="1" a="1"/>
  <c r="K1035" i="21" s="1"/>
  <c r="P1035" i="21" s="1"/>
  <c r="G655" i="21" a="1"/>
  <c r="G655" i="21" s="1"/>
  <c r="H655" i="21" s="1" a="1"/>
  <c r="H655" i="21" s="1"/>
  <c r="K655" i="21" s="1" a="1"/>
  <c r="K655" i="21" s="1"/>
  <c r="P655" i="21" s="1"/>
  <c r="G421" i="21" a="1"/>
  <c r="G421" i="21" s="1"/>
  <c r="H421" i="21" s="1" a="1"/>
  <c r="H421" i="21" s="1"/>
  <c r="H875" i="21"/>
  <c r="G790" i="21" a="1"/>
  <c r="G790" i="21" s="1"/>
  <c r="H790" i="21" s="1" a="1"/>
  <c r="H790" i="21" s="1"/>
  <c r="G810" i="21" a="1"/>
  <c r="G810" i="21" s="1"/>
  <c r="H810" i="21" s="1" a="1"/>
  <c r="H810" i="21" s="1"/>
  <c r="P810" i="21" s="1"/>
  <c r="H976" i="21"/>
  <c r="G660" i="21" a="1"/>
  <c r="G660" i="21" s="1"/>
  <c r="H660" i="21" s="1" a="1"/>
  <c r="H660" i="21" s="1"/>
  <c r="K660" i="21" s="1" a="1"/>
  <c r="K660" i="21" s="1"/>
  <c r="P660" i="21" s="1"/>
  <c r="D1099" i="21" a="1"/>
  <c r="D1099" i="21" s="1"/>
  <c r="H1099" i="21" s="1" a="1"/>
  <c r="H1099" i="21" s="1"/>
  <c r="L1099" i="21" s="1" a="1"/>
  <c r="L1099" i="21" s="1"/>
  <c r="H268" i="21" a="1"/>
  <c r="H268" i="21" s="1"/>
  <c r="K268" i="21" s="1" a="1"/>
  <c r="K268" i="21" s="1"/>
  <c r="P268" i="21" s="1"/>
  <c r="G793" i="21" a="1"/>
  <c r="G793" i="21" s="1"/>
  <c r="H793" i="21" s="1" a="1"/>
  <c r="H793" i="21" s="1"/>
  <c r="G661" i="21" a="1"/>
  <c r="G661" i="21" s="1"/>
  <c r="H661" i="21" s="1" a="1"/>
  <c r="H661" i="21" s="1"/>
  <c r="H882" i="21"/>
  <c r="J882" i="21" s="1" a="1"/>
  <c r="J882" i="21" s="1"/>
  <c r="G746" i="21"/>
  <c r="H746" i="21" s="1"/>
  <c r="P746" i="21" s="1"/>
  <c r="G417" i="21" a="1"/>
  <c r="G417" i="21" s="1"/>
  <c r="H417" i="21" s="1" a="1"/>
  <c r="H417" i="21" s="1"/>
  <c r="G805" i="21" a="1"/>
  <c r="G805" i="21" s="1"/>
  <c r="H805" i="21" s="1" a="1"/>
  <c r="H805" i="21" s="1"/>
  <c r="G423" i="21" a="1"/>
  <c r="G423" i="21" s="1"/>
  <c r="H423" i="21" s="1" a="1"/>
  <c r="H423" i="21" s="1"/>
  <c r="K423" i="21" s="1" a="1"/>
  <c r="K423" i="21" s="1"/>
  <c r="P423" i="21" s="1"/>
  <c r="G791" i="21" a="1"/>
  <c r="G791" i="21" s="1"/>
  <c r="H791" i="21" s="1" a="1"/>
  <c r="H791" i="21" s="1"/>
  <c r="K791" i="21" s="1" a="1"/>
  <c r="K791" i="21" s="1"/>
  <c r="P791" i="21" s="1"/>
  <c r="G795" i="21" a="1"/>
  <c r="G795" i="21" s="1"/>
  <c r="H795" i="21" s="1" a="1"/>
  <c r="H795" i="21" s="1"/>
  <c r="H1102" i="21"/>
  <c r="L1102" i="21" s="1"/>
  <c r="G419" i="21" a="1"/>
  <c r="G419" i="21" s="1"/>
  <c r="H419" i="21" s="1" a="1"/>
  <c r="H419" i="21" s="1"/>
  <c r="K419" i="21" s="1" a="1"/>
  <c r="K419" i="21" s="1"/>
  <c r="P419" i="21" s="1"/>
  <c r="H428" i="21"/>
  <c r="I428" i="21" s="1"/>
  <c r="G809" i="21" a="1"/>
  <c r="G809" i="21" s="1"/>
  <c r="H809" i="21" s="1" a="1"/>
  <c r="H809" i="21" s="1"/>
  <c r="G1039" i="21" a="1"/>
  <c r="G1039" i="21" s="1"/>
  <c r="H1039" i="21" s="1" a="1"/>
  <c r="H1039" i="21" s="1"/>
  <c r="K1039" i="21" s="1" a="1"/>
  <c r="K1039" i="21" s="1"/>
  <c r="P1039" i="21" s="1"/>
  <c r="H823" i="21"/>
  <c r="P823" i="21" s="1"/>
  <c r="G650" i="21" a="1"/>
  <c r="G650" i="21" s="1"/>
  <c r="H650" i="21" s="1" a="1"/>
  <c r="H650" i="21" s="1"/>
  <c r="K650" i="21" s="1" a="1"/>
  <c r="K650" i="21" s="1"/>
  <c r="P650" i="21" s="1"/>
  <c r="G668" i="21" a="1"/>
  <c r="G668" i="21" s="1"/>
  <c r="H668" i="21" s="1" a="1"/>
  <c r="H668" i="21" s="1"/>
  <c r="D1094" i="21" a="1"/>
  <c r="D1094" i="21" s="1"/>
  <c r="H1094" i="21" s="1" a="1"/>
  <c r="H1094" i="21" s="1"/>
  <c r="L1094" i="21" s="1" a="1"/>
  <c r="L1094" i="21" s="1"/>
  <c r="G1036" i="21" a="1"/>
  <c r="G1036" i="21" s="1"/>
  <c r="H1036" i="21" s="1" a="1"/>
  <c r="H1036" i="21" s="1"/>
  <c r="H662" i="21" a="1"/>
  <c r="H662" i="21" s="1"/>
  <c r="K662" i="21" s="1" a="1"/>
  <c r="K662" i="21" s="1"/>
  <c r="P662" i="21" s="1"/>
  <c r="P806" i="21"/>
  <c r="K806" i="21" a="1"/>
  <c r="K806" i="21" s="1"/>
  <c r="H405" i="21" a="1"/>
  <c r="H405" i="21" s="1"/>
  <c r="K405" i="21" s="1" a="1"/>
  <c r="K405" i="21" s="1"/>
  <c r="P405" i="21" s="1"/>
  <c r="K758" i="21"/>
  <c r="G758" i="21"/>
  <c r="H758" i="21" s="1"/>
  <c r="P758" i="21" s="1"/>
  <c r="H537" i="21"/>
  <c r="I537" i="21" s="1"/>
  <c r="H591" i="21"/>
  <c r="I591" i="21" s="1"/>
  <c r="H456" i="21"/>
  <c r="J456" i="21" s="1" a="1"/>
  <c r="J456" i="21" s="1"/>
  <c r="H483" i="21"/>
  <c r="I483" i="21" s="1"/>
  <c r="AW482" i="9" a="1"/>
  <c r="AW482" i="9" s="1"/>
  <c r="AW206" i="9" a="1"/>
  <c r="AW206" i="9" s="1"/>
  <c r="P803" i="21"/>
  <c r="AW287" i="9" a="1"/>
  <c r="AW287" i="9" s="1"/>
  <c r="AW81" i="9" a="1"/>
  <c r="AW81" i="9" s="1"/>
  <c r="A97" i="9" s="1"/>
  <c r="AW277" i="9" a="1"/>
  <c r="AW277" i="9" s="1"/>
  <c r="AW217" i="9" a="1"/>
  <c r="AW217" i="9" s="1"/>
  <c r="H426" i="21" a="1"/>
  <c r="H426" i="21" s="1"/>
  <c r="H8" i="21"/>
  <c r="P8" i="21" s="1"/>
  <c r="G754" i="21"/>
  <c r="K754" i="21"/>
  <c r="I754" i="21" a="1"/>
  <c r="I754" i="21" s="1"/>
  <c r="G739" i="21"/>
  <c r="I739" i="21" a="1"/>
  <c r="I739" i="21" s="1"/>
  <c r="K739" i="21"/>
  <c r="K744" i="21"/>
  <c r="G744" i="21"/>
  <c r="H744" i="21" s="1"/>
  <c r="P744" i="21" s="1"/>
  <c r="I742" i="21" a="1"/>
  <c r="I742" i="21" s="1"/>
  <c r="G742" i="21"/>
  <c r="I733" i="21" a="1"/>
  <c r="I733" i="21" s="1"/>
  <c r="G733" i="21"/>
  <c r="H425" i="21" a="1"/>
  <c r="H425" i="21" s="1"/>
  <c r="I347" i="21" a="1"/>
  <c r="I347" i="21" s="1"/>
  <c r="H347" i="21" s="1"/>
  <c r="P347" i="21" s="1"/>
  <c r="I304" i="21" a="1"/>
  <c r="I304" i="21" s="1"/>
  <c r="G755" i="21"/>
  <c r="K755" i="21"/>
  <c r="I755" i="21" a="1"/>
  <c r="I755" i="21" s="1"/>
  <c r="I735" i="21" a="1"/>
  <c r="I735" i="21" s="1"/>
  <c r="G735" i="21"/>
  <c r="K735" i="21"/>
  <c r="I751" i="21" a="1"/>
  <c r="I751" i="21" s="1"/>
  <c r="K751" i="21"/>
  <c r="G751" i="21"/>
  <c r="K738" i="21"/>
  <c r="I738" i="21" a="1"/>
  <c r="I738" i="21" s="1"/>
  <c r="G738" i="21"/>
  <c r="K732" i="21"/>
  <c r="G732" i="21"/>
  <c r="H732" i="21" s="1"/>
  <c r="P732" i="21" s="1"/>
  <c r="I756" i="21" a="1"/>
  <c r="I756" i="21" s="1"/>
  <c r="G756" i="21"/>
  <c r="K756" i="21"/>
  <c r="H13" i="21"/>
  <c r="P13" i="21" s="1"/>
  <c r="K782" i="21"/>
  <c r="K742" i="21"/>
  <c r="G740" i="21"/>
  <c r="I740" i="21" a="1"/>
  <c r="I740" i="21" s="1"/>
  <c r="K740" i="21"/>
  <c r="G745" i="21"/>
  <c r="I745" i="21" a="1"/>
  <c r="I745" i="21" s="1"/>
  <c r="K745" i="21"/>
  <c r="K752" i="21"/>
  <c r="I752" i="21" a="1"/>
  <c r="I752" i="21" s="1"/>
  <c r="G752" i="21"/>
  <c r="K757" i="21"/>
  <c r="G757" i="21"/>
  <c r="I757" i="21" a="1"/>
  <c r="I757" i="21" s="1"/>
  <c r="I782" i="21" a="1"/>
  <c r="I782" i="21" s="1"/>
  <c r="H782" i="21" s="1"/>
  <c r="P782" i="21" s="1"/>
  <c r="G304" i="21"/>
  <c r="H304" i="21" s="1"/>
  <c r="P304" i="21" s="1"/>
  <c r="K733" i="21"/>
  <c r="I741" i="21" a="1"/>
  <c r="I741" i="21" s="1"/>
  <c r="G741" i="21"/>
  <c r="K741" i="21"/>
  <c r="G750" i="21"/>
  <c r="I750" i="21" a="1"/>
  <c r="I750" i="21" s="1"/>
  <c r="G736" i="21"/>
  <c r="I736" i="21" a="1"/>
  <c r="I736" i="21" s="1"/>
  <c r="K736" i="21"/>
  <c r="H956" i="21"/>
  <c r="J956" i="21" s="1" a="1"/>
  <c r="J956" i="21" s="1"/>
  <c r="H406" i="21" a="1"/>
  <c r="H406" i="21" s="1"/>
  <c r="H645" i="21" a="1"/>
  <c r="H645" i="21" s="1"/>
  <c r="K645" i="21" s="1" a="1"/>
  <c r="K645" i="21" s="1"/>
  <c r="P645" i="21" s="1"/>
  <c r="I364" i="21" a="1"/>
  <c r="I364" i="21" s="1"/>
  <c r="K364" i="21"/>
  <c r="G364" i="21"/>
  <c r="I367" i="21" a="1"/>
  <c r="I367" i="21" s="1"/>
  <c r="K367" i="21"/>
  <c r="G367" i="21"/>
  <c r="K301" i="21"/>
  <c r="G301" i="21"/>
  <c r="H301" i="21" s="1"/>
  <c r="P301" i="21" s="1"/>
  <c r="G357" i="21"/>
  <c r="I357" i="21" a="1"/>
  <c r="I357" i="21" s="1"/>
  <c r="K357" i="21"/>
  <c r="K295" i="21"/>
  <c r="G295" i="21"/>
  <c r="H295" i="21" s="1"/>
  <c r="P295" i="21" s="1"/>
  <c r="K349" i="21"/>
  <c r="G349" i="21"/>
  <c r="H349" i="21" s="1"/>
  <c r="P349" i="21" s="1"/>
  <c r="G320" i="21"/>
  <c r="H320" i="21" s="1"/>
  <c r="P320" i="21" s="1"/>
  <c r="K320" i="21"/>
  <c r="G353" i="21"/>
  <c r="I353" i="21" a="1"/>
  <c r="I353" i="21" s="1"/>
  <c r="K353" i="21"/>
  <c r="K330" i="21"/>
  <c r="G330" i="21"/>
  <c r="H330" i="21" s="1"/>
  <c r="P330" i="21" s="1"/>
  <c r="I334" i="21" a="1"/>
  <c r="I334" i="21" s="1"/>
  <c r="K334" i="21"/>
  <c r="G334" i="21"/>
  <c r="I324" i="21" a="1"/>
  <c r="I324" i="21" s="1"/>
  <c r="K324" i="21"/>
  <c r="G324" i="21"/>
  <c r="G360" i="21"/>
  <c r="I360" i="21" a="1"/>
  <c r="I360" i="21" s="1"/>
  <c r="K360" i="21"/>
  <c r="H666" i="21" a="1"/>
  <c r="H666" i="21" s="1"/>
  <c r="H427" i="21" a="1"/>
  <c r="H427" i="21" s="1"/>
  <c r="K370" i="21"/>
  <c r="G370" i="21"/>
  <c r="I370" i="21" a="1"/>
  <c r="I370" i="21" s="1"/>
  <c r="G387" i="21"/>
  <c r="I387" i="21" a="1"/>
  <c r="I387" i="21" s="1"/>
  <c r="K387" i="21"/>
  <c r="G372" i="21"/>
  <c r="I372" i="21" a="1"/>
  <c r="I372" i="21" s="1"/>
  <c r="K372" i="21"/>
  <c r="K384" i="21"/>
  <c r="G384" i="21"/>
  <c r="H384" i="21" s="1"/>
  <c r="P384" i="21" s="1"/>
  <c r="G400" i="21"/>
  <c r="H400" i="21" s="1"/>
  <c r="P400" i="21" s="1"/>
  <c r="K400" i="21"/>
  <c r="K382" i="21"/>
  <c r="G382" i="21"/>
  <c r="I382" i="21" a="1"/>
  <c r="I382" i="21" s="1"/>
  <c r="K767" i="21"/>
  <c r="G767" i="21"/>
  <c r="I767" i="21" a="1"/>
  <c r="I767" i="21" s="1"/>
  <c r="I772" i="21" a="1"/>
  <c r="I772" i="21" s="1"/>
  <c r="G772" i="21"/>
  <c r="K772" i="21"/>
  <c r="K771" i="21"/>
  <c r="I771" i="21" a="1"/>
  <c r="I771" i="21" s="1"/>
  <c r="G771" i="21"/>
  <c r="I785" i="21" a="1"/>
  <c r="I785" i="21" s="1"/>
  <c r="G785" i="21"/>
  <c r="I784" i="21" a="1"/>
  <c r="I784" i="21" s="1"/>
  <c r="G784" i="21"/>
  <c r="K784" i="21"/>
  <c r="I773" i="21" a="1"/>
  <c r="I773" i="21" s="1"/>
  <c r="K773" i="21"/>
  <c r="G773" i="21"/>
  <c r="I761" i="21" a="1"/>
  <c r="I761" i="21" s="1"/>
  <c r="G761" i="21"/>
  <c r="K761" i="21"/>
  <c r="I778" i="21" a="1"/>
  <c r="I778" i="21" s="1"/>
  <c r="K778" i="21"/>
  <c r="G778" i="21"/>
  <c r="K783" i="21"/>
  <c r="I783" i="21" a="1"/>
  <c r="I783" i="21" s="1"/>
  <c r="G783" i="21"/>
  <c r="K759" i="21"/>
  <c r="G759" i="21"/>
  <c r="I759" i="21" a="1"/>
  <c r="I759" i="21" s="1"/>
  <c r="G770" i="21"/>
  <c r="I770" i="21" a="1"/>
  <c r="I770" i="21" s="1"/>
  <c r="K770" i="21"/>
  <c r="K777" i="21"/>
  <c r="G777" i="21"/>
  <c r="I777" i="21" a="1"/>
  <c r="I777" i="21" s="1"/>
  <c r="K762" i="21"/>
  <c r="G762" i="21"/>
  <c r="I762" i="21" a="1"/>
  <c r="I762" i="21" s="1"/>
  <c r="H10" i="21"/>
  <c r="P10" i="21" s="1"/>
  <c r="G769" i="21"/>
  <c r="I769" i="21" a="1"/>
  <c r="I769" i="21" s="1"/>
  <c r="K774" i="21"/>
  <c r="I774" i="21" a="1"/>
  <c r="I774" i="21" s="1"/>
  <c r="G774" i="21"/>
  <c r="I781" i="21" a="1"/>
  <c r="I781" i="21" s="1"/>
  <c r="K781" i="21"/>
  <c r="G781" i="21"/>
  <c r="G775" i="21"/>
  <c r="I775" i="21" a="1"/>
  <c r="I775" i="21" s="1"/>
  <c r="K775" i="21"/>
  <c r="I765" i="21" a="1"/>
  <c r="I765" i="21" s="1"/>
  <c r="G765" i="21"/>
  <c r="K765" i="21"/>
  <c r="G768" i="21"/>
  <c r="I768" i="21" a="1"/>
  <c r="I768" i="21" s="1"/>
  <c r="K768" i="21"/>
  <c r="K766" i="21"/>
  <c r="I766" i="21" a="1"/>
  <c r="I766" i="21" s="1"/>
  <c r="H766" i="21" s="1"/>
  <c r="P766" i="21" s="1"/>
  <c r="K760" i="21"/>
  <c r="G760" i="21"/>
  <c r="I760" i="21" a="1"/>
  <c r="I760" i="21" s="1"/>
  <c r="D47" i="9"/>
  <c r="D26" i="9"/>
  <c r="L429" i="21"/>
  <c r="D84" i="9"/>
  <c r="K1041" i="21" a="1"/>
  <c r="K1041" i="21" s="1"/>
  <c r="P1041" i="21" s="1"/>
  <c r="P1053" i="21"/>
  <c r="K1055" i="21" a="1"/>
  <c r="K1055" i="21" s="1"/>
  <c r="P1055" i="21"/>
  <c r="K657" i="21" a="1"/>
  <c r="K657" i="21" s="1"/>
  <c r="P657" i="21" s="1"/>
  <c r="P821" i="21"/>
  <c r="P808" i="21"/>
  <c r="K808" i="21" a="1"/>
  <c r="K808" i="21" s="1"/>
  <c r="H870" i="21"/>
  <c r="I870" i="21" s="1"/>
  <c r="H895" i="21"/>
  <c r="I895" i="21" s="1"/>
  <c r="H566" i="21"/>
  <c r="I566" i="21" s="1"/>
  <c r="H512" i="21"/>
  <c r="J512" i="21" s="1" a="1"/>
  <c r="J512" i="21" s="1"/>
  <c r="H922" i="21"/>
  <c r="I922" i="21" s="1"/>
  <c r="H620" i="21"/>
  <c r="J620" i="21" s="1" a="1"/>
  <c r="J620" i="21" s="1"/>
  <c r="D31" i="9"/>
  <c r="H12" i="21"/>
  <c r="P12" i="21" s="1"/>
  <c r="P663" i="21"/>
  <c r="K663" i="21" a="1"/>
  <c r="K663" i="21" s="1"/>
  <c r="K812" i="21" a="1"/>
  <c r="K812" i="21" s="1"/>
  <c r="P416" i="21"/>
  <c r="K799" i="21" a="1"/>
  <c r="K799" i="21" s="1"/>
  <c r="P799" i="21" s="1"/>
  <c r="P789" i="21"/>
  <c r="K789" i="21" a="1"/>
  <c r="K789" i="21" s="1"/>
  <c r="H897" i="21"/>
  <c r="H1005" i="21"/>
  <c r="J1005" i="21" s="1" a="1"/>
  <c r="J1005" i="21" s="1"/>
  <c r="H983" i="21"/>
  <c r="I983" i="21" s="1"/>
  <c r="H929" i="21"/>
  <c r="J929" i="21" s="1" a="1"/>
  <c r="J929" i="21" s="1"/>
  <c r="H949" i="21"/>
  <c r="J949" i="21" s="1" a="1"/>
  <c r="J949" i="21" s="1"/>
  <c r="I821" i="21"/>
  <c r="F90" i="9"/>
  <c r="H951" i="21"/>
  <c r="H848" i="21"/>
  <c r="J848" i="21" s="1" a="1"/>
  <c r="J848" i="21" s="1"/>
  <c r="H841" i="21"/>
  <c r="J841" i="21" s="1" a="1"/>
  <c r="J841" i="21" s="1"/>
  <c r="D68" i="9"/>
  <c r="D27" i="9"/>
  <c r="D74" i="9"/>
  <c r="D23" i="9"/>
  <c r="H445" i="21"/>
  <c r="J445" i="21" s="1" a="1"/>
  <c r="J445" i="21" s="1"/>
  <c r="H830" i="21"/>
  <c r="J830" i="21" s="1" a="1"/>
  <c r="J830" i="21" s="1"/>
  <c r="D76" i="9"/>
  <c r="J429" i="21" a="1"/>
  <c r="J429" i="21" s="1"/>
  <c r="F71" i="9"/>
  <c r="F20" i="9"/>
  <c r="D20" i="9"/>
  <c r="D83" i="9"/>
  <c r="F83" i="9"/>
  <c r="F39" i="9"/>
  <c r="D39" i="9"/>
  <c r="F33" i="9"/>
  <c r="D54" i="9"/>
  <c r="F95" i="9"/>
  <c r="F81" i="9"/>
  <c r="D91" i="9"/>
  <c r="D94" i="9"/>
  <c r="F94" i="9"/>
  <c r="F79" i="9"/>
  <c r="F73" i="9"/>
  <c r="D73" i="9"/>
  <c r="D66" i="9"/>
  <c r="F66" i="9"/>
  <c r="F52" i="9"/>
  <c r="D52" i="9"/>
  <c r="D43" i="9"/>
  <c r="F43" i="9"/>
  <c r="F51" i="9"/>
  <c r="D51" i="9"/>
  <c r="F70" i="9"/>
  <c r="F75" i="9"/>
  <c r="D75" i="9"/>
  <c r="D38" i="9"/>
  <c r="F46" i="9"/>
  <c r="D46" i="9"/>
  <c r="F89" i="9"/>
  <c r="D89" i="9"/>
  <c r="D82" i="9"/>
  <c r="F82" i="9"/>
  <c r="F57" i="9"/>
  <c r="D57" i="9"/>
  <c r="F87" i="9"/>
  <c r="D87" i="9"/>
  <c r="D36" i="9"/>
  <c r="F36" i="9"/>
  <c r="F60" i="9"/>
  <c r="F19" i="9"/>
  <c r="F86" i="9"/>
  <c r="D86" i="9"/>
  <c r="D42" i="9"/>
  <c r="F42" i="9"/>
  <c r="D49" i="9"/>
  <c r="F49" i="9"/>
  <c r="D78" i="9"/>
  <c r="F78" i="9"/>
  <c r="D35" i="9"/>
  <c r="F35" i="9"/>
  <c r="F30" i="9"/>
  <c r="F65" i="9"/>
  <c r="D65" i="9"/>
  <c r="D67" i="9"/>
  <c r="F67" i="9"/>
  <c r="F22" i="9"/>
  <c r="D22" i="9"/>
  <c r="D56" i="9"/>
  <c r="F56" i="9"/>
  <c r="L1084" i="21"/>
  <c r="L1082" i="21"/>
  <c r="D72" i="9"/>
  <c r="F72" i="9"/>
  <c r="D48" i="9"/>
  <c r="F48" i="9"/>
  <c r="F69" i="9"/>
  <c r="D69" i="9"/>
  <c r="D88" i="9"/>
  <c r="F88" i="9"/>
  <c r="D29" i="9"/>
  <c r="F29" i="9"/>
  <c r="D24" i="9"/>
  <c r="F24" i="9"/>
  <c r="D80" i="9"/>
  <c r="F80" i="9"/>
  <c r="F21" i="9"/>
  <c r="D21" i="9"/>
  <c r="F85" i="9"/>
  <c r="D85" i="9"/>
  <c r="D37" i="9"/>
  <c r="F37" i="9"/>
  <c r="F96" i="9"/>
  <c r="D96" i="9"/>
  <c r="F93" i="9"/>
  <c r="D93" i="9"/>
  <c r="D64" i="9"/>
  <c r="F64" i="9"/>
  <c r="F53" i="9"/>
  <c r="D53" i="9"/>
  <c r="D45" i="9"/>
  <c r="F45" i="9"/>
  <c r="D61" i="9"/>
  <c r="F61" i="9"/>
  <c r="D40" i="9"/>
  <c r="F40" i="9"/>
  <c r="F32" i="9"/>
  <c r="D32" i="9"/>
  <c r="F77" i="9"/>
  <c r="D77" i="9"/>
  <c r="H837" i="21"/>
  <c r="J837" i="21" s="1" a="1"/>
  <c r="J837" i="21" s="1"/>
  <c r="H448" i="21"/>
  <c r="K448" i="21" s="1" a="1"/>
  <c r="K448" i="21" s="1"/>
  <c r="H833" i="21"/>
  <c r="P833" i="21" s="1"/>
  <c r="H832" i="21"/>
  <c r="P832" i="21" s="1"/>
  <c r="H447" i="21"/>
  <c r="I447" i="21" s="1"/>
  <c r="H836" i="21"/>
  <c r="P836" i="21" s="1"/>
  <c r="H452" i="21"/>
  <c r="J452" i="21" s="1" a="1"/>
  <c r="J452" i="21" s="1"/>
  <c r="L1083" i="21"/>
  <c r="L1074" i="21"/>
  <c r="L1085" i="21"/>
  <c r="L1075" i="21"/>
  <c r="K431" i="21" a="1"/>
  <c r="K431" i="21" s="1"/>
  <c r="L431" i="21" s="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J924" i="21" a="1"/>
  <c r="J924" i="21" s="1"/>
  <c r="K924" i="21" s="1" a="1"/>
  <c r="K924" i="21" s="1"/>
  <c r="J875" i="21" a="1"/>
  <c r="J875" i="21" s="1"/>
  <c r="K875" i="21" s="1" a="1"/>
  <c r="K875" i="21" s="1"/>
  <c r="I875" i="21"/>
  <c r="I618" i="21"/>
  <c r="J618" i="21" a="1"/>
  <c r="J618" i="21" s="1"/>
  <c r="J537" i="21" a="1"/>
  <c r="J537" i="21" s="1"/>
  <c r="I564" i="21"/>
  <c r="J564" i="21" a="1"/>
  <c r="J564" i="21" s="1"/>
  <c r="I510" i="21"/>
  <c r="J510" i="21" a="1"/>
  <c r="J510" i="21" s="1"/>
  <c r="J591" i="21" a="1"/>
  <c r="J591" i="21" s="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P435" i="21"/>
  <c r="J449" i="21" a="1"/>
  <c r="J449" i="21" s="1"/>
  <c r="I449" i="21"/>
  <c r="P449" i="21"/>
  <c r="L449" i="21"/>
  <c r="K449" i="21" a="1"/>
  <c r="K449" i="21" s="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P820" i="21"/>
  <c r="J825" i="21" a="1"/>
  <c r="J825" i="21" s="1"/>
  <c r="L834" i="21"/>
  <c r="K834" i="21" a="1"/>
  <c r="K834" i="21" s="1"/>
  <c r="J834" i="21" a="1"/>
  <c r="J834" i="21" s="1"/>
  <c r="I834" i="21"/>
  <c r="P834" i="21"/>
  <c r="J437" i="21" a="1"/>
  <c r="J437" i="21" s="1"/>
  <c r="P437" i="21"/>
  <c r="I446" i="21"/>
  <c r="J446" i="21" a="1"/>
  <c r="J446" i="21" s="1"/>
  <c r="P446" i="21"/>
  <c r="J450" i="21" a="1"/>
  <c r="J450" i="21" s="1"/>
  <c r="P450" i="21"/>
  <c r="I450" i="21"/>
  <c r="H904" i="21"/>
  <c r="H1012" i="21"/>
  <c r="H877" i="21"/>
  <c r="H985" i="21"/>
  <c r="H931" i="21"/>
  <c r="H958" i="21"/>
  <c r="H850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493" i="21"/>
  <c r="H520" i="21"/>
  <c r="H547" i="21"/>
  <c r="H466" i="21"/>
  <c r="H601" i="21"/>
  <c r="H574" i="21"/>
  <c r="H628" i="21"/>
  <c r="H583" i="21"/>
  <c r="H556" i="21"/>
  <c r="H610" i="21"/>
  <c r="H502" i="21"/>
  <c r="H637" i="21"/>
  <c r="H529" i="21"/>
  <c r="H475" i="21"/>
  <c r="P813" i="21"/>
  <c r="I813" i="21"/>
  <c r="I438" i="21"/>
  <c r="P438" i="21"/>
  <c r="J438" i="21" a="1"/>
  <c r="J438" i="21" s="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00" i="21"/>
  <c r="H981" i="21"/>
  <c r="H1008" i="21"/>
  <c r="H927" i="21"/>
  <c r="H954" i="21"/>
  <c r="H873" i="21"/>
  <c r="H846" i="21"/>
  <c r="H995" i="21"/>
  <c r="H1022" i="21"/>
  <c r="H860" i="21"/>
  <c r="H968" i="21"/>
  <c r="H887" i="21"/>
  <c r="H914" i="21"/>
  <c r="H941" i="21"/>
  <c r="I882" i="21"/>
  <c r="K882" i="21" a="1"/>
  <c r="K882" i="21" s="1"/>
  <c r="P882" i="21" s="1"/>
  <c r="H627" i="21"/>
  <c r="H600" i="21"/>
  <c r="H519" i="21"/>
  <c r="H573" i="21"/>
  <c r="H492" i="21"/>
  <c r="H465" i="21"/>
  <c r="H546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I818" i="21"/>
  <c r="I823" i="21"/>
  <c r="L836" i="21"/>
  <c r="J428" i="21" a="1"/>
  <c r="J428" i="21" s="1"/>
  <c r="I820" i="21" l="1"/>
  <c r="I440" i="21"/>
  <c r="J435" i="21" a="1"/>
  <c r="J435" i="21" s="1"/>
  <c r="K435" i="21" s="1" a="1"/>
  <c r="K435" i="21" s="1"/>
  <c r="L435" i="21" s="1"/>
  <c r="J483" i="21" a="1"/>
  <c r="J483" i="21" s="1"/>
  <c r="F92" i="9"/>
  <c r="J440" i="21" a="1"/>
  <c r="J440" i="21" s="1"/>
  <c r="I956" i="21"/>
  <c r="K956" i="21" s="1" a="1"/>
  <c r="K956" i="21" s="1"/>
  <c r="H714" i="21"/>
  <c r="P714" i="21" s="1"/>
  <c r="F59" i="9"/>
  <c r="F62" i="9"/>
  <c r="D25" i="9"/>
  <c r="K1046" i="21" a="1"/>
  <c r="K1046" i="21" s="1"/>
  <c r="P428" i="21"/>
  <c r="L428" i="21"/>
  <c r="J823" i="21" a="1"/>
  <c r="J823" i="21" s="1"/>
  <c r="I825" i="21"/>
  <c r="K825" i="21" s="1" a="1"/>
  <c r="K825" i="21" s="1"/>
  <c r="L825" i="21" s="1"/>
  <c r="I456" i="21"/>
  <c r="F44" i="9"/>
  <c r="K429" i="21" a="1"/>
  <c r="K429" i="21" s="1"/>
  <c r="D50" i="9"/>
  <c r="K428" i="21" a="1"/>
  <c r="K428" i="21" s="1"/>
  <c r="J818" i="21" a="1"/>
  <c r="J818" i="21" s="1"/>
  <c r="K818" i="21" s="1" a="1"/>
  <c r="K818" i="21" s="1"/>
  <c r="L818" i="21" s="1"/>
  <c r="P1050" i="21"/>
  <c r="H710" i="21"/>
  <c r="P710" i="21" s="1"/>
  <c r="F41" i="9"/>
  <c r="F28" i="9"/>
  <c r="J431" i="21" a="1"/>
  <c r="J431" i="21" s="1"/>
  <c r="I431" i="21"/>
  <c r="P429" i="21"/>
  <c r="D58" i="9"/>
  <c r="F58" i="9"/>
  <c r="P924" i="21"/>
  <c r="L924" i="21"/>
  <c r="H902" i="21"/>
  <c r="L902" i="21" s="1"/>
  <c r="H1010" i="21"/>
  <c r="I1010" i="21" s="1"/>
  <c r="H432" i="21"/>
  <c r="H843" i="21"/>
  <c r="H433" i="21"/>
  <c r="K433" i="21" s="1" a="1"/>
  <c r="K433" i="21" s="1"/>
  <c r="L433" i="21" s="1"/>
  <c r="H430" i="21"/>
  <c r="H2" i="21"/>
  <c r="P2" i="21" s="1"/>
  <c r="O2" i="21" s="1"/>
  <c r="O3" i="21" s="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H817" i="21"/>
  <c r="I1074" i="21" a="1"/>
  <c r="I1074" i="21" s="1"/>
  <c r="J1074" i="21" a="1"/>
  <c r="J1074" i="21" s="1"/>
  <c r="K1074" i="21" a="1"/>
  <c r="K1074" i="21" s="1"/>
  <c r="K1082" i="21" a="1"/>
  <c r="K1082" i="21" s="1"/>
  <c r="J1082" i="21" a="1"/>
  <c r="J1082" i="21" s="1"/>
  <c r="I1082" i="21" a="1"/>
  <c r="I1082" i="21" s="1"/>
  <c r="J1085" i="21" a="1"/>
  <c r="J1085" i="21" s="1"/>
  <c r="K1085" i="21" a="1"/>
  <c r="K1085" i="21" s="1"/>
  <c r="I1085" i="21" a="1"/>
  <c r="I1085" i="21" s="1"/>
  <c r="L882" i="21"/>
  <c r="H816" i="21"/>
  <c r="H463" i="21"/>
  <c r="K463" i="21" s="1" a="1"/>
  <c r="K463" i="21" s="1"/>
  <c r="L463" i="21" s="1"/>
  <c r="K273" i="21" a="1"/>
  <c r="K273" i="21" s="1"/>
  <c r="P273" i="21" s="1"/>
  <c r="P415" i="21"/>
  <c r="K1051" i="21" a="1"/>
  <c r="K1051" i="21" s="1"/>
  <c r="I976" i="21"/>
  <c r="J976" i="21" a="1"/>
  <c r="J976" i="21" s="1"/>
  <c r="K976" i="21" s="1" a="1"/>
  <c r="K976" i="21" s="1"/>
  <c r="P976" i="21" s="1"/>
  <c r="H936" i="21"/>
  <c r="H1017" i="21"/>
  <c r="H441" i="21"/>
  <c r="H443" i="21"/>
  <c r="H963" i="21"/>
  <c r="J922" i="21" a="1"/>
  <c r="J922" i="21" s="1"/>
  <c r="K922" i="21" s="1" a="1"/>
  <c r="K922" i="21" s="1"/>
  <c r="P922" i="21" s="1"/>
  <c r="H978" i="21"/>
  <c r="H855" i="21"/>
  <c r="H909" i="21"/>
  <c r="H990" i="21"/>
  <c r="H814" i="21"/>
  <c r="H826" i="21"/>
  <c r="H828" i="21"/>
  <c r="K664" i="21" a="1"/>
  <c r="K664" i="21" s="1"/>
  <c r="J832" i="21" a="1"/>
  <c r="J832" i="21" s="1"/>
  <c r="K1029" i="21" a="1"/>
  <c r="K1029" i="21" s="1"/>
  <c r="P1029" i="21" s="1"/>
  <c r="K790" i="21" a="1"/>
  <c r="K790" i="21" s="1"/>
  <c r="P790" i="21" s="1"/>
  <c r="D98" i="9"/>
  <c r="F98" i="9"/>
  <c r="F55" i="9"/>
  <c r="D55" i="9"/>
  <c r="D63" i="9"/>
  <c r="F63" i="9"/>
  <c r="K810" i="21" a="1"/>
  <c r="K810" i="21" s="1"/>
  <c r="E24" i="5"/>
  <c r="AD4" i="5"/>
  <c r="H712" i="21"/>
  <c r="P712" i="21" s="1"/>
  <c r="H730" i="21"/>
  <c r="P730" i="21" s="1"/>
  <c r="K424" i="21" a="1"/>
  <c r="K424" i="21" s="1"/>
  <c r="P424" i="21"/>
  <c r="K804" i="21" a="1"/>
  <c r="K804" i="21" s="1"/>
  <c r="P804" i="21"/>
  <c r="I1063" i="21" a="1"/>
  <c r="I1063" i="21" s="1"/>
  <c r="K1063" i="21" a="1"/>
  <c r="K1063" i="21" s="1"/>
  <c r="J1063" i="21" a="1"/>
  <c r="J1063" i="21" s="1"/>
  <c r="K665" i="21" a="1"/>
  <c r="K665" i="21" s="1"/>
  <c r="P665" i="21"/>
  <c r="P1049" i="21"/>
  <c r="K1049" i="21" a="1"/>
  <c r="K1049" i="21" s="1"/>
  <c r="P263" i="21"/>
  <c r="K263" i="21" a="1"/>
  <c r="K263" i="21" s="1"/>
  <c r="H824" i="21"/>
  <c r="P401" i="21"/>
  <c r="H822" i="21"/>
  <c r="P1032" i="21"/>
  <c r="K1032" i="21" a="1"/>
  <c r="K1032" i="21" s="1"/>
  <c r="H434" i="21"/>
  <c r="P407" i="21"/>
  <c r="K407" i="21" a="1"/>
  <c r="K407" i="21" s="1"/>
  <c r="H815" i="21"/>
  <c r="H763" i="21"/>
  <c r="P763" i="21" s="1"/>
  <c r="P811" i="21"/>
  <c r="K811" i="21" a="1"/>
  <c r="K811" i="21" s="1"/>
  <c r="I1005" i="21"/>
  <c r="K669" i="21" a="1"/>
  <c r="K669" i="21" s="1"/>
  <c r="P669" i="21"/>
  <c r="K1043" i="21" a="1"/>
  <c r="K1043" i="21" s="1"/>
  <c r="P1043" i="21" s="1"/>
  <c r="P1054" i="21"/>
  <c r="K1054" i="21" a="1"/>
  <c r="K1054" i="21" s="1"/>
  <c r="I1064" i="21" a="1"/>
  <c r="I1064" i="21" s="1"/>
  <c r="K1064" i="21" a="1"/>
  <c r="K1064" i="21" s="1"/>
  <c r="J1064" i="21" a="1"/>
  <c r="J1064" i="21" s="1"/>
  <c r="H439" i="21"/>
  <c r="K807" i="21" a="1"/>
  <c r="K807" i="21" s="1"/>
  <c r="P807" i="21"/>
  <c r="D34" i="9"/>
  <c r="F34" i="9"/>
  <c r="P420" i="21"/>
  <c r="K420" i="21" a="1"/>
  <c r="K420" i="21" s="1"/>
  <c r="K788" i="21" a="1"/>
  <c r="K788" i="21" s="1"/>
  <c r="P788" i="21"/>
  <c r="K798" i="21" a="1"/>
  <c r="K798" i="21" s="1"/>
  <c r="P798" i="21" s="1"/>
  <c r="P418" i="21"/>
  <c r="K418" i="21" a="1"/>
  <c r="K418" i="21" s="1"/>
  <c r="K802" i="21" a="1"/>
  <c r="K802" i="21" s="1"/>
  <c r="P802" i="21" s="1"/>
  <c r="L7" i="21"/>
  <c r="P7" i="21"/>
  <c r="H1103" i="21" a="1"/>
  <c r="H1103" i="21" s="1"/>
  <c r="L1103" i="21" s="1"/>
  <c r="K1083" i="21" a="1"/>
  <c r="K1083" i="21" s="1"/>
  <c r="I1083" i="21" a="1"/>
  <c r="I1083" i="21" s="1"/>
  <c r="J1083" i="21" a="1"/>
  <c r="J1083" i="21" s="1"/>
  <c r="J1072" i="21" a="1"/>
  <c r="J1072" i="21" s="1"/>
  <c r="I1072" i="21" a="1"/>
  <c r="I1072" i="21" s="1"/>
  <c r="K1072" i="21" a="1"/>
  <c r="K1072" i="21" s="1"/>
  <c r="I1073" i="21" a="1"/>
  <c r="I1073" i="21" s="1"/>
  <c r="J1073" i="21" a="1"/>
  <c r="J1073" i="21" s="1"/>
  <c r="K1073" i="21" a="1"/>
  <c r="K1073" i="21" s="1"/>
  <c r="K809" i="21" a="1"/>
  <c r="K809" i="21" s="1"/>
  <c r="P809" i="21"/>
  <c r="P795" i="21"/>
  <c r="K795" i="21" a="1"/>
  <c r="K795" i="21" s="1"/>
  <c r="K793" i="21" a="1"/>
  <c r="K793" i="21" s="1"/>
  <c r="P793" i="21" s="1"/>
  <c r="L6" i="21"/>
  <c r="P6" i="21"/>
  <c r="P1047" i="21"/>
  <c r="K1047" i="21" a="1"/>
  <c r="K1047" i="21" s="1"/>
  <c r="H819" i="21"/>
  <c r="K1036" i="21" a="1"/>
  <c r="K1036" i="21" s="1"/>
  <c r="P1036" i="21"/>
  <c r="K786" i="21" a="1"/>
  <c r="K786" i="21" s="1"/>
  <c r="P786" i="21" s="1"/>
  <c r="H539" i="21"/>
  <c r="K539" i="21" s="1" a="1"/>
  <c r="K539" i="21" s="1"/>
  <c r="P539" i="21" s="1"/>
  <c r="H458" i="21"/>
  <c r="K458" i="21" s="1" a="1"/>
  <c r="K458" i="21" s="1"/>
  <c r="P458" i="21" s="1"/>
  <c r="H593" i="21"/>
  <c r="H485" i="21"/>
  <c r="K485" i="21" s="1" a="1"/>
  <c r="K485" i="21" s="1"/>
  <c r="P485" i="21" s="1"/>
  <c r="K260" i="21" a="1"/>
  <c r="K260" i="21" s="1"/>
  <c r="P260" i="21" s="1"/>
  <c r="K264" i="21" a="1"/>
  <c r="K264" i="21" s="1"/>
  <c r="P264" i="21"/>
  <c r="H436" i="21"/>
  <c r="P805" i="21"/>
  <c r="K805" i="21" a="1"/>
  <c r="K805" i="21" s="1"/>
  <c r="H1003" i="21"/>
  <c r="H868" i="21"/>
  <c r="I1065" i="21" a="1"/>
  <c r="I1065" i="21" s="1"/>
  <c r="J1065" i="21" a="1"/>
  <c r="J1065" i="21" s="1"/>
  <c r="K1065" i="21" a="1"/>
  <c r="K1065" i="21" s="1"/>
  <c r="K670" i="21" a="1"/>
  <c r="K670" i="21" s="1"/>
  <c r="P670" i="21"/>
  <c r="H598" i="21"/>
  <c r="K598" i="21" s="1" a="1"/>
  <c r="K598" i="21" s="1"/>
  <c r="P598" i="21" s="1"/>
  <c r="H517" i="21"/>
  <c r="J821" i="21" a="1"/>
  <c r="J821" i="21" s="1"/>
  <c r="K821" i="21" s="1" a="1"/>
  <c r="K821" i="21" s="1"/>
  <c r="L821" i="21" s="1"/>
  <c r="K668" i="21" a="1"/>
  <c r="K668" i="21" s="1"/>
  <c r="P668" i="21"/>
  <c r="P661" i="21"/>
  <c r="K661" i="21" a="1"/>
  <c r="K661" i="21" s="1"/>
  <c r="J1062" i="21" a="1"/>
  <c r="J1062" i="21" s="1"/>
  <c r="I1062" i="21" a="1"/>
  <c r="I1062" i="21" s="1"/>
  <c r="K1062" i="21" a="1"/>
  <c r="K1062" i="21" s="1"/>
  <c r="F677" i="21" a="1"/>
  <c r="F677" i="21" s="1"/>
  <c r="F676" i="21" a="1"/>
  <c r="F676" i="21" s="1"/>
  <c r="F292" i="21" a="1"/>
  <c r="F292" i="21" s="1"/>
  <c r="F291" i="21" a="1"/>
  <c r="F291" i="21" s="1"/>
  <c r="I843" i="21"/>
  <c r="J843" i="21" a="1"/>
  <c r="J843" i="21" s="1"/>
  <c r="H757" i="21"/>
  <c r="P757" i="21" s="1"/>
  <c r="H745" i="21"/>
  <c r="P745" i="21" s="1"/>
  <c r="H751" i="21"/>
  <c r="P751" i="21" s="1"/>
  <c r="H735" i="21"/>
  <c r="P735" i="21" s="1"/>
  <c r="H754" i="21"/>
  <c r="P754" i="21" s="1"/>
  <c r="K618" i="21" a="1"/>
  <c r="K618" i="21" s="1"/>
  <c r="P618" i="21" s="1"/>
  <c r="K564" i="21" a="1"/>
  <c r="K564" i="21" s="1"/>
  <c r="P564" i="21" s="1"/>
  <c r="F97" i="9"/>
  <c r="D97" i="9"/>
  <c r="P422" i="21"/>
  <c r="K422" i="21" a="1"/>
  <c r="K422" i="21" s="1"/>
  <c r="K510" i="21" a="1"/>
  <c r="K510" i="21" s="1"/>
  <c r="P510" i="21" s="1"/>
  <c r="P426" i="21"/>
  <c r="K426" i="21" a="1"/>
  <c r="K426" i="21" s="1"/>
  <c r="K591" i="21" a="1"/>
  <c r="K591" i="21" s="1"/>
  <c r="P591" i="21" s="1"/>
  <c r="K456" i="21" a="1"/>
  <c r="K456" i="21" s="1"/>
  <c r="P456" i="21" s="1"/>
  <c r="H357" i="21"/>
  <c r="P357" i="21" s="1"/>
  <c r="H750" i="21"/>
  <c r="P750" i="21" s="1"/>
  <c r="K403" i="21" a="1"/>
  <c r="K403" i="21" s="1"/>
  <c r="P403" i="21" s="1"/>
  <c r="H756" i="21"/>
  <c r="P756" i="21" s="1"/>
  <c r="H738" i="21"/>
  <c r="P738" i="21" s="1"/>
  <c r="H733" i="21"/>
  <c r="P733" i="21" s="1"/>
  <c r="H739" i="21"/>
  <c r="P739" i="21" s="1"/>
  <c r="H387" i="21"/>
  <c r="P387" i="21" s="1"/>
  <c r="H736" i="21"/>
  <c r="P736" i="21" s="1"/>
  <c r="H741" i="21"/>
  <c r="P741" i="21" s="1"/>
  <c r="H752" i="21"/>
  <c r="P752" i="21" s="1"/>
  <c r="H740" i="21"/>
  <c r="P740" i="21" s="1"/>
  <c r="H755" i="21"/>
  <c r="P755" i="21" s="1"/>
  <c r="K425" i="21" a="1"/>
  <c r="K425" i="21" s="1"/>
  <c r="P425" i="21"/>
  <c r="H742" i="21"/>
  <c r="P742" i="21" s="1"/>
  <c r="K537" i="21" a="1"/>
  <c r="K537" i="21" s="1"/>
  <c r="P537" i="21" s="1"/>
  <c r="K483" i="21" a="1"/>
  <c r="K483" i="21" s="1"/>
  <c r="P483" i="21" s="1"/>
  <c r="L510" i="21"/>
  <c r="L564" i="21"/>
  <c r="I832" i="21"/>
  <c r="J895" i="21" a="1"/>
  <c r="J895" i="21" s="1"/>
  <c r="P406" i="21"/>
  <c r="K406" i="21" a="1"/>
  <c r="K406" i="21" s="1"/>
  <c r="H353" i="21"/>
  <c r="P353" i="21" s="1"/>
  <c r="H773" i="21"/>
  <c r="P773" i="21" s="1"/>
  <c r="K421" i="21" a="1"/>
  <c r="K421" i="21" s="1"/>
  <c r="P421" i="21"/>
  <c r="H370" i="21"/>
  <c r="P370" i="21" s="1"/>
  <c r="H364" i="21"/>
  <c r="P364" i="21" s="1"/>
  <c r="H760" i="21"/>
  <c r="P760" i="21" s="1"/>
  <c r="H768" i="21"/>
  <c r="P768" i="21" s="1"/>
  <c r="H765" i="21"/>
  <c r="P765" i="21" s="1"/>
  <c r="H781" i="21"/>
  <c r="P781" i="21" s="1"/>
  <c r="H382" i="21"/>
  <c r="P382" i="21" s="1"/>
  <c r="H372" i="21"/>
  <c r="P372" i="21" s="1"/>
  <c r="K417" i="21" a="1"/>
  <c r="K417" i="21" s="1"/>
  <c r="P417" i="21"/>
  <c r="P427" i="21"/>
  <c r="K427" i="21" a="1"/>
  <c r="K427" i="21" s="1"/>
  <c r="H360" i="21"/>
  <c r="P360" i="21" s="1"/>
  <c r="H367" i="21"/>
  <c r="P367" i="21" s="1"/>
  <c r="H774" i="21"/>
  <c r="P774" i="21" s="1"/>
  <c r="P666" i="21"/>
  <c r="K666" i="21" a="1"/>
  <c r="K666" i="21" s="1"/>
  <c r="H324" i="21"/>
  <c r="P324" i="21" s="1"/>
  <c r="H334" i="21"/>
  <c r="P334" i="21" s="1"/>
  <c r="H769" i="21"/>
  <c r="P769" i="21" s="1"/>
  <c r="H777" i="21"/>
  <c r="P777" i="21" s="1"/>
  <c r="H785" i="21"/>
  <c r="P785" i="21" s="1"/>
  <c r="H771" i="21"/>
  <c r="P771" i="21" s="1"/>
  <c r="H767" i="21"/>
  <c r="P767" i="21" s="1"/>
  <c r="H775" i="21"/>
  <c r="P775" i="21" s="1"/>
  <c r="H762" i="21"/>
  <c r="P762" i="21" s="1"/>
  <c r="H770" i="21"/>
  <c r="P770" i="21" s="1"/>
  <c r="H759" i="21"/>
  <c r="P759" i="21" s="1"/>
  <c r="H783" i="21"/>
  <c r="P783" i="21" s="1"/>
  <c r="H778" i="21"/>
  <c r="P778" i="21" s="1"/>
  <c r="H761" i="21"/>
  <c r="P761" i="21" s="1"/>
  <c r="H784" i="21"/>
  <c r="P784" i="21" s="1"/>
  <c r="H772" i="21"/>
  <c r="P772" i="21" s="1"/>
  <c r="J897" i="21" a="1"/>
  <c r="J897" i="21" s="1"/>
  <c r="I620" i="21"/>
  <c r="P837" i="21"/>
  <c r="J566" i="21" a="1"/>
  <c r="J566" i="21" s="1"/>
  <c r="K983" i="21" a="1"/>
  <c r="K983" i="21" s="1"/>
  <c r="P983" i="21" s="1"/>
  <c r="P447" i="21"/>
  <c r="K837" i="21" a="1"/>
  <c r="K837" i="21" s="1"/>
  <c r="J983" i="21" a="1"/>
  <c r="J983" i="21" s="1"/>
  <c r="J447" i="21" a="1"/>
  <c r="J447" i="21" s="1"/>
  <c r="I837" i="21"/>
  <c r="L837" i="21"/>
  <c r="I841" i="21"/>
  <c r="K841" i="21" s="1" a="1"/>
  <c r="K841" i="21" s="1"/>
  <c r="P841" i="21" s="1"/>
  <c r="I949" i="21"/>
  <c r="K949" i="21" s="1" a="1"/>
  <c r="K949" i="21" s="1"/>
  <c r="I951" i="21"/>
  <c r="K951" i="21" s="1" a="1"/>
  <c r="K951" i="21" s="1"/>
  <c r="I897" i="21"/>
  <c r="K897" i="21" s="1" a="1"/>
  <c r="K897" i="21" s="1"/>
  <c r="J870" i="21" a="1"/>
  <c r="J870" i="21" s="1"/>
  <c r="K870" i="21" s="1" a="1"/>
  <c r="K870" i="21" s="1"/>
  <c r="J951" i="21" a="1"/>
  <c r="J951" i="21" s="1"/>
  <c r="I512" i="21"/>
  <c r="I848" i="21"/>
  <c r="K848" i="21" s="1" a="1"/>
  <c r="K848" i="21" s="1"/>
  <c r="P848" i="21" s="1"/>
  <c r="L1005" i="21"/>
  <c r="K1005" i="21" a="1"/>
  <c r="K1005" i="21" s="1"/>
  <c r="P1005" i="21" s="1"/>
  <c r="I448" i="21"/>
  <c r="I929" i="21"/>
  <c r="I836" i="21"/>
  <c r="J448" i="21" a="1"/>
  <c r="J448" i="21" s="1"/>
  <c r="K836" i="21" a="1"/>
  <c r="K836" i="21" s="1"/>
  <c r="K929" i="21" a="1"/>
  <c r="K929" i="21" s="1"/>
  <c r="P929" i="21" s="1"/>
  <c r="L448" i="21"/>
  <c r="J836" i="21" a="1"/>
  <c r="J836" i="21" s="1"/>
  <c r="P448" i="21"/>
  <c r="P445" i="21"/>
  <c r="I445" i="21"/>
  <c r="I452" i="21"/>
  <c r="J833" i="21" a="1"/>
  <c r="J833" i="21" s="1"/>
  <c r="L452" i="21"/>
  <c r="L833" i="21"/>
  <c r="I830" i="21"/>
  <c r="K452" i="21" a="1"/>
  <c r="K452" i="21" s="1"/>
  <c r="K833" i="21" a="1"/>
  <c r="K833" i="21" s="1"/>
  <c r="P830" i="21"/>
  <c r="P452" i="21"/>
  <c r="I833" i="21"/>
  <c r="K517" i="21" a="1"/>
  <c r="K517" i="21" s="1"/>
  <c r="L517" i="21" s="1"/>
  <c r="K620" i="21" a="1"/>
  <c r="K620" i="21" s="1"/>
  <c r="P620" i="21" s="1"/>
  <c r="K593" i="21" a="1"/>
  <c r="K593" i="21" s="1"/>
  <c r="L593" i="21" s="1"/>
  <c r="K566" i="21" a="1"/>
  <c r="K566" i="21" s="1"/>
  <c r="P566" i="21" s="1"/>
  <c r="K512" i="21" a="1"/>
  <c r="K512" i="21" s="1"/>
  <c r="P512" i="21" s="1"/>
  <c r="K895" i="21" a="1"/>
  <c r="K895" i="21" s="1"/>
  <c r="P895" i="21" s="1"/>
  <c r="L922" i="21"/>
  <c r="L976" i="21"/>
  <c r="K813" i="21" a="1"/>
  <c r="K813" i="21" s="1"/>
  <c r="L813" i="21" s="1"/>
  <c r="K830" i="21" a="1"/>
  <c r="K830" i="21" s="1"/>
  <c r="L830" i="21" s="1"/>
  <c r="K438" i="21" a="1"/>
  <c r="K438" i="21" s="1"/>
  <c r="L438" i="21" s="1"/>
  <c r="P956" i="21"/>
  <c r="L956" i="21"/>
  <c r="L875" i="21"/>
  <c r="P875" i="21"/>
  <c r="L848" i="21"/>
  <c r="L929" i="21"/>
  <c r="L983" i="21"/>
  <c r="K820" i="21" a="1"/>
  <c r="K820" i="21" s="1"/>
  <c r="L820" i="21" s="1"/>
  <c r="K823" i="21" a="1"/>
  <c r="K823" i="21" s="1"/>
  <c r="L823" i="21" s="1"/>
  <c r="K446" i="21" a="1"/>
  <c r="K446" i="21" s="1"/>
  <c r="L446" i="21" s="1"/>
  <c r="K440" i="21" a="1"/>
  <c r="K440" i="21" s="1"/>
  <c r="L440" i="21" s="1"/>
  <c r="K437" i="21" a="1"/>
  <c r="K437" i="21" s="1"/>
  <c r="L437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P609" i="21" s="1"/>
  <c r="I609" i="21"/>
  <c r="J609" i="21" a="1"/>
  <c r="J609" i="21" s="1"/>
  <c r="L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I846" i="21"/>
  <c r="J846" i="21" a="1"/>
  <c r="J846" i="21" s="1"/>
  <c r="J873" i="21" a="1"/>
  <c r="J873" i="21" s="1"/>
  <c r="I873" i="21"/>
  <c r="J954" i="21" a="1"/>
  <c r="J954" i="21" s="1"/>
  <c r="I954" i="21"/>
  <c r="J927" i="21" a="1"/>
  <c r="J927" i="21" s="1"/>
  <c r="I927" i="21"/>
  <c r="I1008" i="21"/>
  <c r="J1008" i="21" a="1"/>
  <c r="J1008" i="21" s="1"/>
  <c r="J981" i="21" a="1"/>
  <c r="J981" i="21" s="1"/>
  <c r="I981" i="21"/>
  <c r="J900" i="21" a="1"/>
  <c r="J900" i="21" s="1"/>
  <c r="I900" i="2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I850" i="21"/>
  <c r="K850" i="21" s="1" a="1"/>
  <c r="K850" i="21" s="1"/>
  <c r="P850" i="21" s="1"/>
  <c r="J850" i="21" a="1"/>
  <c r="J850" i="21" s="1"/>
  <c r="I958" i="21"/>
  <c r="J958" i="21" a="1"/>
  <c r="J958" i="21" s="1"/>
  <c r="K958" i="21" s="1" a="1"/>
  <c r="K958" i="21" s="1"/>
  <c r="P958" i="21" s="1"/>
  <c r="J931" i="21" a="1"/>
  <c r="J931" i="21" s="1"/>
  <c r="I931" i="21"/>
  <c r="K931" i="21" a="1"/>
  <c r="K931" i="21" s="1"/>
  <c r="P931" i="21" s="1"/>
  <c r="J985" i="21" a="1"/>
  <c r="J985" i="21" s="1"/>
  <c r="I985" i="21"/>
  <c r="K985" i="21" s="1" a="1"/>
  <c r="K985" i="21" s="1"/>
  <c r="J877" i="21" a="1"/>
  <c r="J877" i="21" s="1"/>
  <c r="I877" i="21"/>
  <c r="K877" i="21" s="1" a="1"/>
  <c r="K877" i="21" s="1"/>
  <c r="I1012" i="21"/>
  <c r="K1012" i="21" a="1"/>
  <c r="K1012" i="21" s="1"/>
  <c r="P1012" i="21" s="1"/>
  <c r="J1012" i="21" a="1"/>
  <c r="J1012" i="21" s="1"/>
  <c r="L1012" i="21"/>
  <c r="I904" i="21"/>
  <c r="K904" i="21" s="1" a="1"/>
  <c r="K904" i="21" s="1"/>
  <c r="P904" i="21" s="1"/>
  <c r="J904" i="21" a="1"/>
  <c r="J904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P624" i="21" s="1"/>
  <c r="L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P597" i="21" s="1"/>
  <c r="J597" i="21" a="1"/>
  <c r="J597" i="21" s="1"/>
  <c r="L597" i="21"/>
  <c r="I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I592" i="21"/>
  <c r="J457" i="21" a="1"/>
  <c r="J457" i="21" s="1"/>
  <c r="I457" i="21"/>
  <c r="J538" i="21" a="1"/>
  <c r="J538" i="21" s="1"/>
  <c r="I538" i="21"/>
  <c r="J619" i="21" a="1"/>
  <c r="J619" i="21" s="1"/>
  <c r="I619" i="21"/>
  <c r="J484" i="21" a="1"/>
  <c r="J484" i="21" s="1"/>
  <c r="I484" i="21"/>
  <c r="J565" i="21" a="1"/>
  <c r="J565" i="21" s="1"/>
  <c r="I565" i="21"/>
  <c r="I511" i="21"/>
  <c r="J511" i="21" a="1"/>
  <c r="J511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I903" i="21"/>
  <c r="J903" i="21" a="1"/>
  <c r="J903" i="21" s="1"/>
  <c r="I849" i="21"/>
  <c r="J849" i="21" a="1"/>
  <c r="J849" i="21" s="1"/>
  <c r="J930" i="21" a="1"/>
  <c r="J930" i="21" s="1"/>
  <c r="I930" i="21"/>
  <c r="J876" i="21" a="1"/>
  <c r="J876" i="21" s="1"/>
  <c r="I876" i="21"/>
  <c r="I984" i="21"/>
  <c r="J984" i="21" a="1"/>
  <c r="J984" i="21" s="1"/>
  <c r="J1011" i="21" a="1"/>
  <c r="J1011" i="21" s="1"/>
  <c r="I1011" i="21"/>
  <c r="J957" i="21" a="1"/>
  <c r="J957" i="21" s="1"/>
  <c r="I957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J965" i="21" a="1"/>
  <c r="J965" i="21" s="1"/>
  <c r="I965" i="21"/>
  <c r="J938" i="21" a="1"/>
  <c r="J938" i="21" s="1"/>
  <c r="I938" i="21"/>
  <c r="J911" i="21" a="1"/>
  <c r="J911" i="21" s="1"/>
  <c r="I911" i="21"/>
  <c r="I1019" i="21"/>
  <c r="J1019" i="21" a="1"/>
  <c r="J1019" i="21" s="1"/>
  <c r="I992" i="21"/>
  <c r="J992" i="21" a="1"/>
  <c r="J992" i="21" s="1"/>
  <c r="I884" i="21"/>
  <c r="J884" i="21" a="1"/>
  <c r="J884" i="21" s="1"/>
  <c r="I906" i="21"/>
  <c r="J906" i="21" a="1"/>
  <c r="J906" i="21" s="1"/>
  <c r="I960" i="21"/>
  <c r="J960" i="21" a="1"/>
  <c r="J960" i="21" s="1"/>
  <c r="J1014" i="21" a="1"/>
  <c r="J1014" i="21" s="1"/>
  <c r="I1014" i="21"/>
  <c r="J933" i="21" a="1"/>
  <c r="J933" i="21" s="1"/>
  <c r="I933" i="21"/>
  <c r="I879" i="21"/>
  <c r="J879" i="21" a="1"/>
  <c r="J879" i="21" s="1"/>
  <c r="J987" i="21" a="1"/>
  <c r="J987" i="21" s="1"/>
  <c r="I987" i="21"/>
  <c r="J852" i="21" a="1"/>
  <c r="J852" i="21" s="1"/>
  <c r="I852" i="2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P901" i="21" s="1"/>
  <c r="L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P982" i="21" s="1"/>
  <c r="I982" i="21"/>
  <c r="J982" i="21" a="1"/>
  <c r="J982" i="21" s="1"/>
  <c r="L982" i="21"/>
  <c r="J1009" i="21" a="1"/>
  <c r="J1009" i="21" s="1"/>
  <c r="K1009" i="21" a="1"/>
  <c r="K1009" i="21" s="1"/>
  <c r="P1009" i="21" s="1"/>
  <c r="I1009" i="21"/>
  <c r="L1009" i="21"/>
  <c r="J1010" i="21" l="1" a="1"/>
  <c r="J1010" i="21" s="1"/>
  <c r="K1010" i="21" s="1" a="1"/>
  <c r="K1010" i="21" s="1"/>
  <c r="P1010" i="21" s="1"/>
  <c r="L1010" i="21"/>
  <c r="L2" i="21"/>
  <c r="P951" i="21"/>
  <c r="L951" i="21"/>
  <c r="P870" i="21"/>
  <c r="L870" i="21"/>
  <c r="P897" i="21"/>
  <c r="L897" i="21"/>
  <c r="P517" i="21"/>
  <c r="K843" i="21" a="1"/>
  <c r="K843" i="21" s="1"/>
  <c r="P843" i="21" s="1"/>
  <c r="J902" i="21" a="1"/>
  <c r="J902" i="21" s="1"/>
  <c r="I902" i="21"/>
  <c r="K902" i="21" s="1" a="1"/>
  <c r="K902" i="21" s="1"/>
  <c r="P902" i="21" s="1"/>
  <c r="I432" i="21"/>
  <c r="J432" i="21" a="1"/>
  <c r="J432" i="21" s="1"/>
  <c r="P432" i="21"/>
  <c r="I433" i="21"/>
  <c r="P433" i="21"/>
  <c r="J433" i="21" a="1"/>
  <c r="J433" i="21" s="1"/>
  <c r="H986" i="21"/>
  <c r="K986" i="21" s="1" a="1"/>
  <c r="K986" i="21" s="1"/>
  <c r="P986" i="21" s="1"/>
  <c r="H878" i="21"/>
  <c r="H851" i="21"/>
  <c r="K851" i="21" s="1" a="1"/>
  <c r="K851" i="21" s="1"/>
  <c r="P851" i="21" s="1"/>
  <c r="H905" i="21"/>
  <c r="H932" i="21"/>
  <c r="K932" i="21" s="1" a="1"/>
  <c r="K932" i="21" s="1"/>
  <c r="L932" i="21" s="1"/>
  <c r="H959" i="21"/>
  <c r="H1013" i="21"/>
  <c r="K1013" i="21" s="1" a="1"/>
  <c r="K1013" i="21" s="1"/>
  <c r="P1013" i="21" s="1"/>
  <c r="P593" i="21"/>
  <c r="J817" i="21" a="1"/>
  <c r="J817" i="21" s="1"/>
  <c r="I817" i="21"/>
  <c r="P817" i="21"/>
  <c r="I430" i="21"/>
  <c r="J430" i="21" a="1"/>
  <c r="J430" i="21" s="1"/>
  <c r="P430" i="21"/>
  <c r="K430" i="21" a="1"/>
  <c r="K430" i="21" s="1"/>
  <c r="L430" i="21"/>
  <c r="P949" i="21"/>
  <c r="L949" i="21"/>
  <c r="L895" i="21"/>
  <c r="H625" i="21"/>
  <c r="H571" i="21"/>
  <c r="H544" i="21"/>
  <c r="H490" i="21"/>
  <c r="L490" i="21" s="1"/>
  <c r="H975" i="21"/>
  <c r="H867" i="21"/>
  <c r="H921" i="21"/>
  <c r="H894" i="21"/>
  <c r="H1002" i="21"/>
  <c r="H840" i="21"/>
  <c r="H948" i="21"/>
  <c r="H518" i="21"/>
  <c r="H572" i="21"/>
  <c r="H464" i="21"/>
  <c r="H626" i="21"/>
  <c r="H545" i="21"/>
  <c r="H599" i="21"/>
  <c r="H491" i="21"/>
  <c r="J816" i="21" a="1"/>
  <c r="J816" i="21" s="1"/>
  <c r="K816" i="21" s="1" a="1"/>
  <c r="K816" i="21" s="1"/>
  <c r="L816" i="21" s="1"/>
  <c r="P816" i="21"/>
  <c r="I816" i="21"/>
  <c r="H461" i="21"/>
  <c r="K461" i="21" s="1" a="1"/>
  <c r="K461" i="21" s="1"/>
  <c r="P461" i="21" s="1"/>
  <c r="H569" i="21"/>
  <c r="H488" i="21"/>
  <c r="K488" i="21" s="1" a="1"/>
  <c r="K488" i="21" s="1"/>
  <c r="P488" i="21" s="1"/>
  <c r="H515" i="21"/>
  <c r="H623" i="21"/>
  <c r="K623" i="21" s="1" a="1"/>
  <c r="K623" i="21" s="1"/>
  <c r="L623" i="21" s="1"/>
  <c r="H542" i="21"/>
  <c r="H596" i="21"/>
  <c r="K596" i="21" s="1" a="1"/>
  <c r="K596" i="21" s="1"/>
  <c r="P596" i="21" s="1"/>
  <c r="H829" i="21"/>
  <c r="H827" i="21"/>
  <c r="H525" i="21"/>
  <c r="H552" i="21"/>
  <c r="L552" i="21" s="1"/>
  <c r="H471" i="21"/>
  <c r="H579" i="21"/>
  <c r="K579" i="21" s="1" a="1"/>
  <c r="K579" i="21" s="1"/>
  <c r="P579" i="21" s="1"/>
  <c r="H604" i="21"/>
  <c r="H631" i="21"/>
  <c r="H633" i="21"/>
  <c r="H606" i="21"/>
  <c r="L606" i="21" s="1"/>
  <c r="H498" i="21"/>
  <c r="H496" i="21"/>
  <c r="H550" i="21"/>
  <c r="H523" i="21"/>
  <c r="H469" i="21"/>
  <c r="H577" i="21"/>
  <c r="H444" i="21"/>
  <c r="H442" i="21"/>
  <c r="H977" i="21"/>
  <c r="H869" i="21"/>
  <c r="H950" i="21"/>
  <c r="H923" i="21"/>
  <c r="H842" i="21"/>
  <c r="H1004" i="21"/>
  <c r="H896" i="21"/>
  <c r="H989" i="21"/>
  <c r="H908" i="21"/>
  <c r="H1016" i="21"/>
  <c r="H935" i="21"/>
  <c r="H881" i="21"/>
  <c r="H964" i="21"/>
  <c r="H937" i="21"/>
  <c r="L937" i="21" s="1"/>
  <c r="H883" i="21"/>
  <c r="H854" i="21"/>
  <c r="H991" i="21"/>
  <c r="H962" i="21"/>
  <c r="H1018" i="21"/>
  <c r="H910" i="21"/>
  <c r="H856" i="21"/>
  <c r="H621" i="21"/>
  <c r="K621" i="21" s="1" a="1"/>
  <c r="K621" i="21" s="1"/>
  <c r="P621" i="21" s="1"/>
  <c r="H459" i="21"/>
  <c r="H594" i="21"/>
  <c r="K594" i="21" s="1" a="1"/>
  <c r="K594" i="21" s="1"/>
  <c r="P594" i="21" s="1"/>
  <c r="H540" i="21"/>
  <c r="H486" i="21"/>
  <c r="H567" i="21"/>
  <c r="H513" i="21"/>
  <c r="K513" i="21" s="1" a="1"/>
  <c r="K513" i="21" s="1"/>
  <c r="L513" i="21" s="1"/>
  <c r="L841" i="21"/>
  <c r="P814" i="21"/>
  <c r="J814" i="21" a="1"/>
  <c r="J814" i="21" s="1"/>
  <c r="I814" i="21"/>
  <c r="I978" i="21"/>
  <c r="K978" i="21" s="1" a="1"/>
  <c r="K978" i="21" s="1"/>
  <c r="J978" i="21" a="1"/>
  <c r="J978" i="21" s="1"/>
  <c r="J963" i="21" a="1"/>
  <c r="J963" i="21" s="1"/>
  <c r="I963" i="21"/>
  <c r="K963" i="21" s="1" a="1"/>
  <c r="K963" i="21" s="1"/>
  <c r="I936" i="21"/>
  <c r="J936" i="21" a="1"/>
  <c r="J936" i="21" s="1"/>
  <c r="K936" i="21" s="1" a="1"/>
  <c r="K936" i="21" s="1"/>
  <c r="I990" i="21"/>
  <c r="J990" i="21" a="1"/>
  <c r="J990" i="21" s="1"/>
  <c r="K990" i="21" s="1" a="1"/>
  <c r="K990" i="21" s="1"/>
  <c r="I443" i="21"/>
  <c r="J443" i="21" a="1"/>
  <c r="J443" i="21" s="1"/>
  <c r="P443" i="21"/>
  <c r="J463" i="21" a="1"/>
  <c r="J463" i="21" s="1"/>
  <c r="I463" i="21"/>
  <c r="P828" i="21"/>
  <c r="I828" i="21"/>
  <c r="K828" i="21" a="1"/>
  <c r="K828" i="21" s="1"/>
  <c r="L828" i="21" s="1"/>
  <c r="J828" i="21" a="1"/>
  <c r="J828" i="21" s="1"/>
  <c r="I909" i="21"/>
  <c r="K909" i="21" s="1" a="1"/>
  <c r="K909" i="21" s="1"/>
  <c r="J909" i="21" a="1"/>
  <c r="J909" i="21" s="1"/>
  <c r="H605" i="21"/>
  <c r="H524" i="21"/>
  <c r="H632" i="21"/>
  <c r="H551" i="21"/>
  <c r="H497" i="21"/>
  <c r="H578" i="21"/>
  <c r="H470" i="21"/>
  <c r="P441" i="21"/>
  <c r="I441" i="21"/>
  <c r="K441" i="21" s="1" a="1"/>
  <c r="K441" i="21" s="1"/>
  <c r="L441" i="21" s="1"/>
  <c r="J441" i="21" a="1"/>
  <c r="J441" i="21" s="1"/>
  <c r="P826" i="21"/>
  <c r="J826" i="21" a="1"/>
  <c r="J826" i="21" s="1"/>
  <c r="I826" i="21"/>
  <c r="K826" i="21" s="1" a="1"/>
  <c r="K826" i="21" s="1"/>
  <c r="L826" i="21" s="1"/>
  <c r="I855" i="21"/>
  <c r="K855" i="21" s="1" a="1"/>
  <c r="K855" i="21" s="1"/>
  <c r="J855" i="21" a="1"/>
  <c r="J855" i="21" s="1"/>
  <c r="H495" i="21"/>
  <c r="H630" i="21"/>
  <c r="H549" i="21"/>
  <c r="H468" i="21"/>
  <c r="H576" i="21"/>
  <c r="H603" i="21"/>
  <c r="H522" i="21"/>
  <c r="J1017" i="21" a="1"/>
  <c r="J1017" i="21" s="1"/>
  <c r="I1017" i="21"/>
  <c r="K1017" i="21" s="1" a="1"/>
  <c r="K1017" i="21" s="1"/>
  <c r="L1064" i="21"/>
  <c r="L591" i="21"/>
  <c r="H514" i="21"/>
  <c r="H622" i="21"/>
  <c r="H541" i="21"/>
  <c r="H460" i="21"/>
  <c r="H487" i="21"/>
  <c r="H595" i="21"/>
  <c r="H568" i="21"/>
  <c r="H988" i="21"/>
  <c r="H853" i="21"/>
  <c r="H934" i="21"/>
  <c r="H907" i="21"/>
  <c r="H880" i="21"/>
  <c r="H1015" i="21"/>
  <c r="H961" i="21"/>
  <c r="H953" i="21"/>
  <c r="H926" i="21"/>
  <c r="H899" i="21"/>
  <c r="H845" i="21"/>
  <c r="H872" i="21"/>
  <c r="H1007" i="21"/>
  <c r="H980" i="21"/>
  <c r="K434" i="21" a="1"/>
  <c r="K434" i="21" s="1"/>
  <c r="L434" i="21"/>
  <c r="I434" i="21"/>
  <c r="P434" i="21"/>
  <c r="J434" i="21" a="1"/>
  <c r="J434" i="21" s="1"/>
  <c r="J822" i="21" a="1"/>
  <c r="J822" i="21" s="1"/>
  <c r="I822" i="21"/>
  <c r="P822" i="21"/>
  <c r="I824" i="21"/>
  <c r="J824" i="21" a="1"/>
  <c r="J824" i="21" s="1"/>
  <c r="P824" i="21"/>
  <c r="L1063" i="21"/>
  <c r="J439" i="21" a="1"/>
  <c r="J439" i="21" s="1"/>
  <c r="I439" i="21"/>
  <c r="P439" i="21"/>
  <c r="J815" i="21" a="1"/>
  <c r="J815" i="21" s="1"/>
  <c r="P815" i="21"/>
  <c r="I815" i="21"/>
  <c r="L1065" i="21"/>
  <c r="G291" i="21"/>
  <c r="H291" i="21"/>
  <c r="L1062" i="21"/>
  <c r="I868" i="21"/>
  <c r="J868" i="21" a="1"/>
  <c r="J868" i="21" s="1"/>
  <c r="P436" i="21"/>
  <c r="J436" i="21" a="1"/>
  <c r="J436" i="21" s="1"/>
  <c r="I436" i="21"/>
  <c r="K436" i="21" a="1"/>
  <c r="K436" i="21" s="1"/>
  <c r="L436" i="21" s="1"/>
  <c r="I539" i="21"/>
  <c r="J539" i="21" a="1"/>
  <c r="J539" i="21" s="1"/>
  <c r="H292" i="21"/>
  <c r="G292" i="21"/>
  <c r="J517" i="21" a="1"/>
  <c r="J517" i="21" s="1"/>
  <c r="I517" i="21"/>
  <c r="I1003" i="21"/>
  <c r="J1003" i="21" a="1"/>
  <c r="J1003" i="21" s="1"/>
  <c r="I485" i="21"/>
  <c r="J485" i="21" a="1"/>
  <c r="J485" i="21" s="1"/>
  <c r="I819" i="21"/>
  <c r="J819" i="21" a="1"/>
  <c r="J819" i="21" s="1"/>
  <c r="P819" i="21"/>
  <c r="H676" i="21"/>
  <c r="G676" i="21" a="1"/>
  <c r="G676" i="21" s="1"/>
  <c r="I598" i="21"/>
  <c r="J598" i="21" a="1"/>
  <c r="J598" i="21" s="1"/>
  <c r="I593" i="21"/>
  <c r="J593" i="21" a="1"/>
  <c r="J593" i="21" s="1"/>
  <c r="H617" i="21"/>
  <c r="H536" i="21"/>
  <c r="H563" i="21"/>
  <c r="K563" i="21" s="1" a="1"/>
  <c r="K563" i="21" s="1"/>
  <c r="P563" i="21" s="1"/>
  <c r="H482" i="21"/>
  <c r="H509" i="21"/>
  <c r="K509" i="21" s="1" a="1"/>
  <c r="K509" i="21" s="1"/>
  <c r="L509" i="21" s="1"/>
  <c r="H590" i="21"/>
  <c r="H455" i="21"/>
  <c r="K455" i="21" s="1" a="1"/>
  <c r="K455" i="21" s="1"/>
  <c r="P455" i="21" s="1"/>
  <c r="G677" i="21" a="1"/>
  <c r="G677" i="21" s="1"/>
  <c r="H677" i="21"/>
  <c r="J458" i="21" a="1"/>
  <c r="J458" i="21" s="1"/>
  <c r="I458" i="21"/>
  <c r="L618" i="21"/>
  <c r="L456" i="21"/>
  <c r="L483" i="21"/>
  <c r="L537" i="21"/>
  <c r="K954" i="21" a="1"/>
  <c r="K954" i="21" s="1"/>
  <c r="P954" i="21" s="1"/>
  <c r="K981" i="21" a="1"/>
  <c r="K981" i="21" s="1"/>
  <c r="P981" i="21" s="1"/>
  <c r="K900" i="21" a="1"/>
  <c r="K900" i="21" s="1"/>
  <c r="P900" i="21" s="1"/>
  <c r="K1008" i="21" a="1"/>
  <c r="K1008" i="21" s="1"/>
  <c r="L1008" i="21" s="1"/>
  <c r="K846" i="21" a="1"/>
  <c r="K846" i="21" s="1"/>
  <c r="L846" i="21" s="1"/>
  <c r="K927" i="21" a="1"/>
  <c r="K927" i="21" s="1"/>
  <c r="P927" i="21" s="1"/>
  <c r="K873" i="21" a="1"/>
  <c r="K873" i="21" s="1"/>
  <c r="P873" i="21" s="1"/>
  <c r="L900" i="21"/>
  <c r="L620" i="21"/>
  <c r="L458" i="21"/>
  <c r="L544" i="21"/>
  <c r="L571" i="21"/>
  <c r="L512" i="21"/>
  <c r="P463" i="21"/>
  <c r="L598" i="21"/>
  <c r="L485" i="21"/>
  <c r="L625" i="21"/>
  <c r="L539" i="21"/>
  <c r="L566" i="21"/>
  <c r="K592" i="21" a="1"/>
  <c r="K592" i="21" s="1"/>
  <c r="P592" i="21" s="1"/>
  <c r="K538" i="21" a="1"/>
  <c r="K538" i="21" s="1"/>
  <c r="P538" i="21" s="1"/>
  <c r="K565" i="21" a="1"/>
  <c r="K565" i="21" s="1"/>
  <c r="P565" i="21" s="1"/>
  <c r="K457" i="21" a="1"/>
  <c r="K457" i="21" s="1"/>
  <c r="L457" i="21" s="1"/>
  <c r="K484" i="21" a="1"/>
  <c r="K484" i="21" s="1"/>
  <c r="P484" i="21" s="1"/>
  <c r="K511" i="21" a="1"/>
  <c r="K511" i="21" s="1"/>
  <c r="L511" i="21" s="1"/>
  <c r="K619" i="21" a="1"/>
  <c r="K619" i="21" s="1"/>
  <c r="P619" i="21" s="1"/>
  <c r="K536" i="21" a="1"/>
  <c r="K536" i="21" s="1"/>
  <c r="P536" i="21" s="1"/>
  <c r="K482" i="21" a="1"/>
  <c r="K482" i="21" s="1"/>
  <c r="L482" i="21" s="1"/>
  <c r="K590" i="21" a="1"/>
  <c r="K590" i="21" s="1"/>
  <c r="P590" i="21" s="1"/>
  <c r="K617" i="21" a="1"/>
  <c r="K617" i="21" s="1"/>
  <c r="P617" i="21" s="1"/>
  <c r="L536" i="21"/>
  <c r="P985" i="21"/>
  <c r="L985" i="21"/>
  <c r="P877" i="21"/>
  <c r="L877" i="21"/>
  <c r="L904" i="21"/>
  <c r="L931" i="21"/>
  <c r="L958" i="21"/>
  <c r="L850" i="21"/>
  <c r="K878" i="21" a="1"/>
  <c r="K878" i="21" s="1"/>
  <c r="P878" i="21" s="1"/>
  <c r="K905" i="21" a="1"/>
  <c r="K905" i="21" s="1"/>
  <c r="P905" i="21" s="1"/>
  <c r="K959" i="21" a="1"/>
  <c r="K959" i="21" s="1"/>
  <c r="P959" i="21" s="1"/>
  <c r="K540" i="21" a="1"/>
  <c r="K540" i="21" s="1"/>
  <c r="P540" i="21" s="1"/>
  <c r="K849" i="21" a="1"/>
  <c r="K849" i="21" s="1"/>
  <c r="P849" i="21" s="1"/>
  <c r="K991" i="21" a="1"/>
  <c r="K991" i="21" s="1"/>
  <c r="P991" i="21" s="1"/>
  <c r="K938" i="21" a="1"/>
  <c r="K938" i="21" s="1"/>
  <c r="L938" i="21" s="1"/>
  <c r="K857" i="21" a="1"/>
  <c r="K857" i="21" s="1"/>
  <c r="P857" i="21" s="1"/>
  <c r="K486" i="21" a="1"/>
  <c r="K486" i="21" s="1"/>
  <c r="L486" i="21" s="1"/>
  <c r="K1011" i="21" a="1"/>
  <c r="K1011" i="21" s="1"/>
  <c r="L1011" i="21" s="1"/>
  <c r="K471" i="21" a="1"/>
  <c r="K471" i="21" s="1"/>
  <c r="P471" i="21" s="1"/>
  <c r="K525" i="21" a="1"/>
  <c r="K525" i="21" s="1"/>
  <c r="P525" i="21" s="1"/>
  <c r="K552" i="21" a="1"/>
  <c r="K552" i="21" s="1"/>
  <c r="P552" i="21" s="1"/>
  <c r="K884" i="21" a="1"/>
  <c r="K884" i="21" s="1"/>
  <c r="P884" i="21" s="1"/>
  <c r="K1019" i="21" a="1"/>
  <c r="K1019" i="21" s="1"/>
  <c r="L1019" i="21" s="1"/>
  <c r="K965" i="21" a="1"/>
  <c r="K965" i="21" s="1"/>
  <c r="P965" i="21" s="1"/>
  <c r="K567" i="21" a="1"/>
  <c r="K567" i="21" s="1"/>
  <c r="P567" i="21" s="1"/>
  <c r="K459" i="21" a="1"/>
  <c r="K459" i="21" s="1"/>
  <c r="P459" i="21" s="1"/>
  <c r="K984" i="21" a="1"/>
  <c r="K984" i="21" s="1"/>
  <c r="P984" i="21" s="1"/>
  <c r="K930" i="21" a="1"/>
  <c r="K930" i="21" s="1"/>
  <c r="P930" i="21" s="1"/>
  <c r="L471" i="21"/>
  <c r="L856" i="21"/>
  <c r="K633" i="21" a="1"/>
  <c r="K633" i="21" s="1"/>
  <c r="P633" i="21" s="1"/>
  <c r="K1018" i="21" a="1"/>
  <c r="K1018" i="21" s="1"/>
  <c r="P1018" i="21" s="1"/>
  <c r="K883" i="21" a="1"/>
  <c r="K883" i="21" s="1"/>
  <c r="P883" i="21" s="1"/>
  <c r="K992" i="21" a="1"/>
  <c r="K992" i="21" s="1"/>
  <c r="P992" i="21" s="1"/>
  <c r="K911" i="21" a="1"/>
  <c r="K911" i="21" s="1"/>
  <c r="L911" i="21" s="1"/>
  <c r="L525" i="21"/>
  <c r="L567" i="21"/>
  <c r="L498" i="21"/>
  <c r="L964" i="21"/>
  <c r="L883" i="21"/>
  <c r="K903" i="21" a="1"/>
  <c r="K903" i="21" s="1"/>
  <c r="P903" i="21" s="1"/>
  <c r="L484" i="21"/>
  <c r="L565" i="21"/>
  <c r="L592" i="21"/>
  <c r="K957" i="21" a="1"/>
  <c r="K957" i="21" s="1"/>
  <c r="P957" i="21" s="1"/>
  <c r="L991" i="21"/>
  <c r="K852" i="21" a="1"/>
  <c r="K852" i="21" s="1"/>
  <c r="P852" i="21" s="1"/>
  <c r="K1014" i="21" a="1"/>
  <c r="K1014" i="21" s="1"/>
  <c r="P1014" i="21" s="1"/>
  <c r="K960" i="21" a="1"/>
  <c r="K960" i="21" s="1"/>
  <c r="P960" i="21" s="1"/>
  <c r="K876" i="21" a="1"/>
  <c r="K876" i="21" s="1"/>
  <c r="P876" i="21" s="1"/>
  <c r="K906" i="21" a="1"/>
  <c r="K906" i="21" s="1"/>
  <c r="P906" i="21" s="1"/>
  <c r="K879" i="21" a="1"/>
  <c r="K879" i="21" s="1"/>
  <c r="P879" i="21" s="1"/>
  <c r="K987" i="21" a="1"/>
  <c r="K987" i="21" s="1"/>
  <c r="P987" i="21" s="1"/>
  <c r="K933" i="21" a="1"/>
  <c r="K933" i="21" s="1"/>
  <c r="P933" i="21" s="1"/>
  <c r="L852" i="21"/>
  <c r="L1014" i="2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L559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K889" i="21" a="1"/>
  <c r="K889" i="21" s="1"/>
  <c r="P889" i="21" s="1"/>
  <c r="K548" i="21" a="1"/>
  <c r="K548" i="21" s="1"/>
  <c r="L54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L579" i="21" l="1"/>
  <c r="L594" i="21"/>
  <c r="P998" i="21"/>
  <c r="P628" i="21"/>
  <c r="L596" i="21"/>
  <c r="L455" i="21"/>
  <c r="K937" i="21" a="1"/>
  <c r="K937" i="21" s="1"/>
  <c r="P937" i="21" s="1"/>
  <c r="P509" i="21"/>
  <c r="L563" i="21"/>
  <c r="K432" i="21" a="1"/>
  <c r="K432" i="21" s="1"/>
  <c r="L432" i="21" s="1"/>
  <c r="P978" i="21"/>
  <c r="L978" i="21"/>
  <c r="I1013" i="21"/>
  <c r="J1013" i="21" a="1"/>
  <c r="J1013" i="21" s="1"/>
  <c r="J851" i="21" a="1"/>
  <c r="J851" i="21" s="1"/>
  <c r="I851" i="21"/>
  <c r="I959" i="21"/>
  <c r="J959" i="21" a="1"/>
  <c r="J959" i="21" s="1"/>
  <c r="J878" i="21" a="1"/>
  <c r="J878" i="21" s="1"/>
  <c r="I878" i="21"/>
  <c r="I932" i="21"/>
  <c r="J932" i="21" a="1"/>
  <c r="J932" i="21" s="1"/>
  <c r="J986" i="21" a="1"/>
  <c r="J986" i="21" s="1"/>
  <c r="I986" i="21"/>
  <c r="P513" i="21"/>
  <c r="J905" i="21" a="1"/>
  <c r="J905" i="21" s="1"/>
  <c r="I905" i="21"/>
  <c r="L843" i="21"/>
  <c r="P855" i="21"/>
  <c r="L855" i="21"/>
  <c r="P990" i="21"/>
  <c r="L990" i="21"/>
  <c r="P963" i="21"/>
  <c r="L963" i="21"/>
  <c r="P1017" i="21"/>
  <c r="L1017" i="21"/>
  <c r="P909" i="21"/>
  <c r="L909" i="21"/>
  <c r="P936" i="21"/>
  <c r="L936" i="21"/>
  <c r="L960" i="21"/>
  <c r="K819" i="21" a="1"/>
  <c r="K819" i="21" s="1"/>
  <c r="L819" i="21" s="1"/>
  <c r="K824" i="21" a="1"/>
  <c r="K824" i="21" s="1"/>
  <c r="L824" i="21" s="1"/>
  <c r="J486" i="21" a="1"/>
  <c r="J486" i="21" s="1"/>
  <c r="I486" i="21"/>
  <c r="I621" i="21"/>
  <c r="J621" i="21" a="1"/>
  <c r="J621" i="21" s="1"/>
  <c r="L962" i="21"/>
  <c r="K962" i="21" a="1"/>
  <c r="K962" i="21" s="1"/>
  <c r="P962" i="21" s="1"/>
  <c r="I962" i="21"/>
  <c r="J962" i="21" a="1"/>
  <c r="J962" i="21" s="1"/>
  <c r="I937" i="21"/>
  <c r="J937" i="21" a="1"/>
  <c r="J937" i="21" s="1"/>
  <c r="K1016" i="21" a="1"/>
  <c r="K1016" i="21" s="1"/>
  <c r="P1016" i="21" s="1"/>
  <c r="J1016" i="21" a="1"/>
  <c r="J1016" i="21" s="1"/>
  <c r="L1016" i="21"/>
  <c r="I1016" i="21"/>
  <c r="K1004" i="21" a="1"/>
  <c r="K1004" i="21" s="1"/>
  <c r="P1004" i="21" s="1"/>
  <c r="I1004" i="21"/>
  <c r="J1004" i="21" a="1"/>
  <c r="J1004" i="21" s="1"/>
  <c r="J869" i="21" a="1"/>
  <c r="J869" i="21" s="1"/>
  <c r="K869" i="21" s="1" a="1"/>
  <c r="K869" i="21" s="1"/>
  <c r="I869" i="21"/>
  <c r="J577" i="21" a="1"/>
  <c r="J577" i="21" s="1"/>
  <c r="K577" i="21" a="1"/>
  <c r="K577" i="21" s="1"/>
  <c r="P577" i="21" s="1"/>
  <c r="L577" i="21"/>
  <c r="I577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J552" i="21" a="1"/>
  <c r="J552" i="21" s="1"/>
  <c r="I552" i="21"/>
  <c r="J596" i="21" a="1"/>
  <c r="J596" i="21" s="1"/>
  <c r="I596" i="21"/>
  <c r="I488" i="21"/>
  <c r="J488" i="21" a="1"/>
  <c r="J488" i="21" s="1"/>
  <c r="J599" i="21" a="1"/>
  <c r="J599" i="21" s="1"/>
  <c r="L599" i="21"/>
  <c r="I599" i="21"/>
  <c r="K599" i="21" a="1"/>
  <c r="K599" i="21" s="1"/>
  <c r="P599" i="21" s="1"/>
  <c r="J572" i="21" a="1"/>
  <c r="J572" i="21" s="1"/>
  <c r="I572" i="21"/>
  <c r="K572" i="21" s="1" a="1"/>
  <c r="K572" i="21" s="1"/>
  <c r="I1002" i="21"/>
  <c r="J1002" i="21" a="1"/>
  <c r="J1002" i="21" s="1"/>
  <c r="I975" i="21"/>
  <c r="J975" i="21" a="1"/>
  <c r="J975" i="21" s="1"/>
  <c r="J625" i="21" a="1"/>
  <c r="J625" i="21" s="1"/>
  <c r="I625" i="21"/>
  <c r="K625" i="21" a="1"/>
  <c r="K625" i="21" s="1"/>
  <c r="P625" i="21" s="1"/>
  <c r="I540" i="21"/>
  <c r="J540" i="21" a="1"/>
  <c r="J540" i="21" s="1"/>
  <c r="I856" i="21"/>
  <c r="K856" i="21" s="1" a="1"/>
  <c r="K856" i="21" s="1"/>
  <c r="P856" i="21" s="1"/>
  <c r="J856" i="21" a="1"/>
  <c r="J856" i="21" s="1"/>
  <c r="J991" i="21" a="1"/>
  <c r="J991" i="21" s="1"/>
  <c r="I991" i="21"/>
  <c r="I964" i="21"/>
  <c r="K964" i="21" s="1" a="1"/>
  <c r="K964" i="21" s="1"/>
  <c r="P964" i="21" s="1"/>
  <c r="J964" i="21" a="1"/>
  <c r="J964" i="21" s="1"/>
  <c r="I908" i="21"/>
  <c r="L908" i="21"/>
  <c r="K908" i="21" a="1"/>
  <c r="K908" i="21" s="1"/>
  <c r="P908" i="21" s="1"/>
  <c r="J908" i="21" a="1"/>
  <c r="J908" i="21" s="1"/>
  <c r="J842" i="21" a="1"/>
  <c r="J842" i="21" s="1"/>
  <c r="K842" i="21" s="1" a="1"/>
  <c r="K842" i="21" s="1"/>
  <c r="I842" i="21"/>
  <c r="I977" i="21"/>
  <c r="K977" i="21" a="1"/>
  <c r="K977" i="21" s="1"/>
  <c r="P977" i="21" s="1"/>
  <c r="J977" i="21" a="1"/>
  <c r="J977" i="21" s="1"/>
  <c r="J469" i="21" a="1"/>
  <c r="J469" i="21" s="1"/>
  <c r="L469" i="21"/>
  <c r="I469" i="21"/>
  <c r="K469" i="21" a="1"/>
  <c r="K469" i="21" s="1"/>
  <c r="P469" i="21" s="1"/>
  <c r="J498" i="21" a="1"/>
  <c r="J498" i="21" s="1"/>
  <c r="I498" i="21"/>
  <c r="K498" i="21" s="1" a="1"/>
  <c r="K498" i="21" s="1"/>
  <c r="P498" i="21" s="1"/>
  <c r="K604" i="21" a="1"/>
  <c r="K604" i="21" s="1"/>
  <c r="P604" i="21" s="1"/>
  <c r="I604" i="21"/>
  <c r="J604" i="21" a="1"/>
  <c r="J604" i="21" s="1"/>
  <c r="L604" i="21"/>
  <c r="I525" i="21"/>
  <c r="J525" i="21" a="1"/>
  <c r="J525" i="21" s="1"/>
  <c r="I542" i="21"/>
  <c r="J542" i="21" a="1"/>
  <c r="J542" i="21" s="1"/>
  <c r="I569" i="21"/>
  <c r="J569" i="21" a="1"/>
  <c r="J569" i="21" s="1"/>
  <c r="I545" i="21"/>
  <c r="K545" i="21" s="1" a="1"/>
  <c r="K545" i="21" s="1"/>
  <c r="J545" i="21" a="1"/>
  <c r="J545" i="21" s="1"/>
  <c r="J518" i="21" a="1"/>
  <c r="J518" i="21" s="1"/>
  <c r="I518" i="21"/>
  <c r="K518" i="21" s="1" a="1"/>
  <c r="K518" i="21" s="1"/>
  <c r="J894" i="21" a="1"/>
  <c r="J894" i="21" s="1"/>
  <c r="I894" i="21"/>
  <c r="J490" i="21" a="1"/>
  <c r="J490" i="21" s="1"/>
  <c r="I490" i="21"/>
  <c r="K490" i="21" a="1"/>
  <c r="K490" i="21" s="1"/>
  <c r="P490" i="21" s="1"/>
  <c r="K439" i="21" a="1"/>
  <c r="K439" i="21" s="1"/>
  <c r="L439" i="21" s="1"/>
  <c r="J513" i="21" a="1"/>
  <c r="J513" i="21" s="1"/>
  <c r="I513" i="21"/>
  <c r="I594" i="21"/>
  <c r="J594" i="21" a="1"/>
  <c r="J594" i="21" s="1"/>
  <c r="K910" i="21" a="1"/>
  <c r="K910" i="21" s="1"/>
  <c r="I910" i="21"/>
  <c r="J910" i="21" a="1"/>
  <c r="J910" i="21" s="1"/>
  <c r="I854" i="21"/>
  <c r="L854" i="21"/>
  <c r="K854" i="21" a="1"/>
  <c r="K854" i="21" s="1"/>
  <c r="P854" i="21" s="1"/>
  <c r="J854" i="21" a="1"/>
  <c r="J854" i="21" s="1"/>
  <c r="L881" i="21"/>
  <c r="K881" i="21" a="1"/>
  <c r="K881" i="21" s="1"/>
  <c r="P881" i="21" s="1"/>
  <c r="J881" i="21" a="1"/>
  <c r="J881" i="21" s="1"/>
  <c r="I881" i="21"/>
  <c r="K989" i="21" a="1"/>
  <c r="K989" i="21" s="1"/>
  <c r="P989" i="21" s="1"/>
  <c r="I989" i="21"/>
  <c r="L989" i="21"/>
  <c r="J989" i="21" a="1"/>
  <c r="J989" i="21" s="1"/>
  <c r="J923" i="21" a="1"/>
  <c r="J923" i="21" s="1"/>
  <c r="I923" i="21"/>
  <c r="K923" i="21" s="1" a="1"/>
  <c r="K923" i="21" s="1"/>
  <c r="I442" i="21"/>
  <c r="K442" i="21" s="1" a="1"/>
  <c r="K442" i="21" s="1"/>
  <c r="L442" i="21" s="1"/>
  <c r="P442" i="21"/>
  <c r="J442" i="21" a="1"/>
  <c r="J442" i="21" s="1"/>
  <c r="L523" i="21"/>
  <c r="J523" i="21" a="1"/>
  <c r="J523" i="21" s="1"/>
  <c r="K523" i="21" a="1"/>
  <c r="K523" i="21" s="1"/>
  <c r="P523" i="21" s="1"/>
  <c r="I523" i="21"/>
  <c r="J606" i="21" a="1"/>
  <c r="J606" i="21" s="1"/>
  <c r="I606" i="21"/>
  <c r="K606" i="21" s="1" a="1"/>
  <c r="K606" i="21" s="1"/>
  <c r="P606" i="21" s="1"/>
  <c r="I579" i="21"/>
  <c r="J579" i="21" a="1"/>
  <c r="J579" i="21" s="1"/>
  <c r="I827" i="21"/>
  <c r="P827" i="21"/>
  <c r="J827" i="21" a="1"/>
  <c r="J827" i="21" s="1"/>
  <c r="I623" i="21"/>
  <c r="J623" i="21" a="1"/>
  <c r="J623" i="21" s="1"/>
  <c r="I461" i="21"/>
  <c r="J461" i="21" a="1"/>
  <c r="J461" i="21" s="1"/>
  <c r="J626" i="21" a="1"/>
  <c r="J626" i="21" s="1"/>
  <c r="I626" i="21"/>
  <c r="K626" i="21" a="1"/>
  <c r="K626" i="21" s="1"/>
  <c r="P626" i="21" s="1"/>
  <c r="J948" i="21" a="1"/>
  <c r="J948" i="21" s="1"/>
  <c r="I948" i="21"/>
  <c r="I921" i="21"/>
  <c r="J921" i="21" a="1"/>
  <c r="J921" i="21" s="1"/>
  <c r="I544" i="21"/>
  <c r="J544" i="21" a="1"/>
  <c r="J544" i="21" s="1"/>
  <c r="K544" i="21" a="1"/>
  <c r="K544" i="21" s="1"/>
  <c r="P544" i="21" s="1"/>
  <c r="J567" i="21" a="1"/>
  <c r="J567" i="21" s="1"/>
  <c r="I567" i="21"/>
  <c r="I459" i="21"/>
  <c r="J459" i="21" a="1"/>
  <c r="J459" i="21" s="1"/>
  <c r="J1018" i="21" a="1"/>
  <c r="J1018" i="21" s="1"/>
  <c r="I1018" i="21"/>
  <c r="I883" i="21"/>
  <c r="J883" i="21" a="1"/>
  <c r="J883" i="21" s="1"/>
  <c r="L935" i="21"/>
  <c r="J935" i="21" a="1"/>
  <c r="J935" i="21" s="1"/>
  <c r="I935" i="21"/>
  <c r="K935" i="21" a="1"/>
  <c r="K935" i="21" s="1"/>
  <c r="P935" i="21" s="1"/>
  <c r="K896" i="21" a="1"/>
  <c r="K896" i="21" s="1"/>
  <c r="P896" i="21" s="1"/>
  <c r="J896" i="21" a="1"/>
  <c r="J896" i="21" s="1"/>
  <c r="I896" i="21"/>
  <c r="I950" i="21"/>
  <c r="J950" i="21" a="1"/>
  <c r="J950" i="21" s="1"/>
  <c r="K950" i="21" s="1" a="1"/>
  <c r="K950" i="21" s="1"/>
  <c r="I444" i="21"/>
  <c r="K444" i="21" s="1" a="1"/>
  <c r="K444" i="21" s="1"/>
  <c r="L444" i="21" s="1"/>
  <c r="J444" i="21" a="1"/>
  <c r="J444" i="21" s="1"/>
  <c r="P444" i="21"/>
  <c r="J550" i="21" a="1"/>
  <c r="J550" i="21" s="1"/>
  <c r="K550" i="21" a="1"/>
  <c r="K550" i="21" s="1"/>
  <c r="P550" i="21" s="1"/>
  <c r="L550" i="21"/>
  <c r="I550" i="21"/>
  <c r="I633" i="21"/>
  <c r="J633" i="21" a="1"/>
  <c r="J633" i="21" s="1"/>
  <c r="J471" i="21" a="1"/>
  <c r="J471" i="21" s="1"/>
  <c r="I471" i="21"/>
  <c r="P829" i="21"/>
  <c r="I829" i="21"/>
  <c r="J829" i="21" a="1"/>
  <c r="J829" i="21" s="1"/>
  <c r="I515" i="21"/>
  <c r="J515" i="21" a="1"/>
  <c r="J515" i="21" s="1"/>
  <c r="J491" i="21" a="1"/>
  <c r="J491" i="21" s="1"/>
  <c r="I491" i="21"/>
  <c r="L491" i="21"/>
  <c r="K491" i="21" a="1"/>
  <c r="K491" i="21" s="1"/>
  <c r="P491" i="21" s="1"/>
  <c r="J464" i="21" a="1"/>
  <c r="J464" i="21" s="1"/>
  <c r="I464" i="21"/>
  <c r="K464" i="21" a="1"/>
  <c r="K464" i="21" s="1"/>
  <c r="P464" i="21" s="1"/>
  <c r="J840" i="21" a="1"/>
  <c r="J840" i="21" s="1"/>
  <c r="I840" i="21"/>
  <c r="J867" i="21" a="1"/>
  <c r="J867" i="21" s="1"/>
  <c r="I867" i="21"/>
  <c r="J571" i="21" a="1"/>
  <c r="J571" i="21" s="1"/>
  <c r="I571" i="21"/>
  <c r="K571" i="21" a="1"/>
  <c r="K571" i="21" s="1"/>
  <c r="P571" i="21" s="1"/>
  <c r="L849" i="21"/>
  <c r="L851" i="21"/>
  <c r="K1003" i="21" a="1"/>
  <c r="K1003" i="21" s="1"/>
  <c r="K868" i="21" a="1"/>
  <c r="K868" i="21" s="1"/>
  <c r="K443" i="21" a="1"/>
  <c r="K443" i="21" s="1"/>
  <c r="L443" i="21" s="1"/>
  <c r="I603" i="21"/>
  <c r="J603" i="21" a="1"/>
  <c r="J603" i="21" s="1"/>
  <c r="K603" i="21" a="1"/>
  <c r="K603" i="21" s="1"/>
  <c r="P603" i="21" s="1"/>
  <c r="I630" i="21"/>
  <c r="J630" i="21" a="1"/>
  <c r="J630" i="21" s="1"/>
  <c r="K630" i="21" s="1" a="1"/>
  <c r="K630" i="21" s="1"/>
  <c r="J470" i="21" a="1"/>
  <c r="J470" i="21" s="1"/>
  <c r="K470" i="21" a="1"/>
  <c r="K470" i="21" s="1"/>
  <c r="P470" i="21" s="1"/>
  <c r="I470" i="21"/>
  <c r="J632" i="21" a="1"/>
  <c r="J632" i="21" s="1"/>
  <c r="K632" i="21" a="1"/>
  <c r="K632" i="21" s="1"/>
  <c r="P632" i="21" s="1"/>
  <c r="I632" i="21"/>
  <c r="J576" i="21" a="1"/>
  <c r="J576" i="21" s="1"/>
  <c r="K576" i="21" a="1"/>
  <c r="K576" i="21" s="1"/>
  <c r="P576" i="21" s="1"/>
  <c r="I576" i="21"/>
  <c r="I495" i="21"/>
  <c r="K495" i="21" s="1" a="1"/>
  <c r="K495" i="21" s="1"/>
  <c r="J495" i="21" a="1"/>
  <c r="J495" i="21" s="1"/>
  <c r="J578" i="21" a="1"/>
  <c r="J578" i="21" s="1"/>
  <c r="I578" i="21"/>
  <c r="K578" i="21" s="1" a="1"/>
  <c r="K578" i="21" s="1"/>
  <c r="I524" i="21"/>
  <c r="K524" i="21" a="1"/>
  <c r="K524" i="21" s="1"/>
  <c r="P524" i="21" s="1"/>
  <c r="J524" i="21" a="1"/>
  <c r="J524" i="21" s="1"/>
  <c r="K814" i="21" a="1"/>
  <c r="K814" i="21" s="1"/>
  <c r="L814" i="21" s="1"/>
  <c r="I468" i="21"/>
  <c r="K468" i="21" s="1" a="1"/>
  <c r="K468" i="21" s="1"/>
  <c r="J468" i="21" a="1"/>
  <c r="J468" i="21" s="1"/>
  <c r="I497" i="21"/>
  <c r="K497" i="21" s="1" a="1"/>
  <c r="K497" i="21" s="1"/>
  <c r="J497" i="21" a="1"/>
  <c r="J497" i="21" s="1"/>
  <c r="I605" i="21"/>
  <c r="K605" i="21" s="1" a="1"/>
  <c r="K605" i="21" s="1"/>
  <c r="J605" i="21" a="1"/>
  <c r="J605" i="21" s="1"/>
  <c r="I522" i="21"/>
  <c r="L522" i="21"/>
  <c r="K522" i="21" a="1"/>
  <c r="K522" i="21" s="1"/>
  <c r="P522" i="21" s="1"/>
  <c r="J522" i="21" a="1"/>
  <c r="J522" i="21" s="1"/>
  <c r="I549" i="21"/>
  <c r="J549" i="21" a="1"/>
  <c r="J549" i="21" s="1"/>
  <c r="K549" i="21" s="1" a="1"/>
  <c r="K549" i="21" s="1"/>
  <c r="K551" i="21" a="1"/>
  <c r="K551" i="21" s="1"/>
  <c r="P551" i="21" s="1"/>
  <c r="I551" i="21"/>
  <c r="J551" i="21" a="1"/>
  <c r="J551" i="21" s="1"/>
  <c r="K460" i="21" a="1"/>
  <c r="K460" i="21" s="1"/>
  <c r="P460" i="21" s="1"/>
  <c r="L460" i="21"/>
  <c r="J460" i="21" a="1"/>
  <c r="J460" i="21" s="1"/>
  <c r="I460" i="21"/>
  <c r="L568" i="21"/>
  <c r="K568" i="21" a="1"/>
  <c r="K568" i="21" s="1"/>
  <c r="P568" i="21" s="1"/>
  <c r="I568" i="21"/>
  <c r="J568" i="21" a="1"/>
  <c r="J568" i="21" s="1"/>
  <c r="L541" i="21"/>
  <c r="I541" i="21"/>
  <c r="K541" i="21" a="1"/>
  <c r="K541" i="21" s="1"/>
  <c r="P541" i="21" s="1"/>
  <c r="J541" i="21" a="1"/>
  <c r="J541" i="21" s="1"/>
  <c r="L595" i="21"/>
  <c r="K595" i="21" a="1"/>
  <c r="K595" i="21" s="1"/>
  <c r="P595" i="21" s="1"/>
  <c r="J595" i="21" a="1"/>
  <c r="J595" i="21" s="1"/>
  <c r="I595" i="21"/>
  <c r="J622" i="21" a="1"/>
  <c r="J622" i="21" s="1"/>
  <c r="K622" i="21" a="1"/>
  <c r="K622" i="21" s="1"/>
  <c r="P622" i="21" s="1"/>
  <c r="L622" i="21"/>
  <c r="I622" i="21"/>
  <c r="J487" i="21" a="1"/>
  <c r="J487" i="21" s="1"/>
  <c r="L487" i="21"/>
  <c r="K487" i="21" a="1"/>
  <c r="K487" i="21" s="1"/>
  <c r="P487" i="21" s="1"/>
  <c r="I487" i="21"/>
  <c r="L514" i="21"/>
  <c r="K514" i="21" a="1"/>
  <c r="K514" i="21" s="1"/>
  <c r="P514" i="21" s="1"/>
  <c r="J514" i="21" a="1"/>
  <c r="J514" i="21" s="1"/>
  <c r="I514" i="21"/>
  <c r="I845" i="21"/>
  <c r="K845" i="21" s="1" a="1"/>
  <c r="K845" i="21" s="1"/>
  <c r="J845" i="21" a="1"/>
  <c r="J845" i="21" s="1"/>
  <c r="I961" i="21"/>
  <c r="K961" i="21" s="1" a="1"/>
  <c r="K961" i="21" s="1"/>
  <c r="P961" i="21" s="1"/>
  <c r="J961" i="21" a="1"/>
  <c r="J961" i="21" s="1"/>
  <c r="J934" i="21" a="1"/>
  <c r="J934" i="21" s="1"/>
  <c r="I934" i="21"/>
  <c r="K815" i="21" a="1"/>
  <c r="K815" i="21" s="1"/>
  <c r="L815" i="21" s="1"/>
  <c r="J980" i="21" a="1"/>
  <c r="J980" i="21" s="1"/>
  <c r="I980" i="21"/>
  <c r="K980" i="21" s="1" a="1"/>
  <c r="K980" i="21" s="1"/>
  <c r="J899" i="21" a="1"/>
  <c r="J899" i="21" s="1"/>
  <c r="I899" i="21"/>
  <c r="I1015" i="21"/>
  <c r="J1015" i="21" a="1"/>
  <c r="J1015" i="21" s="1"/>
  <c r="I853" i="21"/>
  <c r="K853" i="21" s="1" a="1"/>
  <c r="K853" i="21" s="1"/>
  <c r="P853" i="21" s="1"/>
  <c r="J853" i="21" a="1"/>
  <c r="J853" i="21" s="1"/>
  <c r="J1007" i="21" a="1"/>
  <c r="J1007" i="21" s="1"/>
  <c r="I1007" i="21"/>
  <c r="J926" i="21" a="1"/>
  <c r="J926" i="21" s="1"/>
  <c r="K926" i="21" s="1" a="1"/>
  <c r="K926" i="21" s="1"/>
  <c r="I926" i="21"/>
  <c r="I880" i="21"/>
  <c r="J880" i="21" a="1"/>
  <c r="J880" i="21" s="1"/>
  <c r="I988" i="21"/>
  <c r="K988" i="21" s="1" a="1"/>
  <c r="K988" i="21" s="1"/>
  <c r="P988" i="21" s="1"/>
  <c r="J988" i="21" a="1"/>
  <c r="J988" i="21" s="1"/>
  <c r="K822" i="21" a="1"/>
  <c r="K822" i="21" s="1"/>
  <c r="L822" i="21" s="1"/>
  <c r="I872" i="21"/>
  <c r="J872" i="21" a="1"/>
  <c r="J872" i="21" s="1"/>
  <c r="J953" i="21" a="1"/>
  <c r="J953" i="21" s="1"/>
  <c r="I953" i="21"/>
  <c r="K953" i="21" s="1" a="1"/>
  <c r="K953" i="21" s="1"/>
  <c r="P953" i="21" s="1"/>
  <c r="I907" i="21"/>
  <c r="K907" i="21" s="1" a="1"/>
  <c r="K907" i="21" s="1"/>
  <c r="P907" i="21" s="1"/>
  <c r="J907" i="21" a="1"/>
  <c r="J907" i="21" s="1"/>
  <c r="J590" i="21" a="1"/>
  <c r="J590" i="21" s="1"/>
  <c r="I590" i="21"/>
  <c r="J536" i="21" a="1"/>
  <c r="J536" i="21" s="1"/>
  <c r="I536" i="21"/>
  <c r="L677" i="21"/>
  <c r="K677" i="21"/>
  <c r="P677" i="21" s="1"/>
  <c r="I509" i="21"/>
  <c r="J509" i="21" a="1"/>
  <c r="J509" i="21" s="1"/>
  <c r="I617" i="21"/>
  <c r="J617" i="21" a="1"/>
  <c r="J617" i="21" s="1"/>
  <c r="I482" i="21"/>
  <c r="J482" i="21" a="1"/>
  <c r="J482" i="21" s="1"/>
  <c r="L292" i="21"/>
  <c r="K292" i="21"/>
  <c r="P292" i="21" s="1"/>
  <c r="K291" i="21"/>
  <c r="P291" i="21" s="1"/>
  <c r="O291" i="21" s="1"/>
  <c r="L291" i="21"/>
  <c r="J455" i="21" a="1"/>
  <c r="J455" i="21" s="1"/>
  <c r="I455" i="21"/>
  <c r="I563" i="21"/>
  <c r="J563" i="21" a="1"/>
  <c r="J563" i="21" s="1"/>
  <c r="L676" i="21"/>
  <c r="K676" i="21"/>
  <c r="P676" i="21" s="1"/>
  <c r="L857" i="21"/>
  <c r="L884" i="21"/>
  <c r="P1008" i="21"/>
  <c r="L981" i="21"/>
  <c r="L954" i="21"/>
  <c r="L927" i="21"/>
  <c r="P846" i="21"/>
  <c r="L873" i="21"/>
  <c r="P457" i="21"/>
  <c r="L907" i="21"/>
  <c r="L538" i="21"/>
  <c r="L988" i="21"/>
  <c r="P511" i="21"/>
  <c r="L619" i="21"/>
  <c r="L617" i="21"/>
  <c r="P482" i="21"/>
  <c r="P486" i="21"/>
  <c r="L590" i="21"/>
  <c r="L853" i="21"/>
  <c r="P1011" i="21"/>
  <c r="L961" i="21"/>
  <c r="L878" i="21"/>
  <c r="P1019" i="21"/>
  <c r="P938" i="21"/>
  <c r="L459" i="21"/>
  <c r="L540" i="21"/>
  <c r="L1013" i="21"/>
  <c r="L959" i="21"/>
  <c r="L905" i="21"/>
  <c r="L984" i="21"/>
  <c r="L621" i="21"/>
  <c r="L986" i="21"/>
  <c r="P932" i="21"/>
  <c r="L992" i="21"/>
  <c r="L965" i="21"/>
  <c r="L930" i="21"/>
  <c r="P911" i="21"/>
  <c r="L876" i="21"/>
  <c r="L1018" i="21"/>
  <c r="L633" i="21"/>
  <c r="P916" i="21"/>
  <c r="L957" i="21"/>
  <c r="L903" i="21"/>
  <c r="L906" i="21"/>
  <c r="L933" i="21"/>
  <c r="L879" i="21"/>
  <c r="P640" i="21"/>
  <c r="L987" i="21"/>
  <c r="L890" i="21"/>
  <c r="L863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K867" i="21" l="1" a="1"/>
  <c r="K867" i="21" s="1"/>
  <c r="P867" i="21" s="1"/>
  <c r="K894" i="21" a="1"/>
  <c r="K894" i="21" s="1"/>
  <c r="P894" i="21" s="1"/>
  <c r="K1002" i="21" a="1"/>
  <c r="K1002" i="21" s="1"/>
  <c r="P1002" i="21" s="1"/>
  <c r="K840" i="21" a="1"/>
  <c r="K840" i="21" s="1"/>
  <c r="L840" i="21" s="1"/>
  <c r="K827" i="21" a="1"/>
  <c r="K827" i="21" s="1"/>
  <c r="L827" i="21" s="1"/>
  <c r="K921" i="21" a="1"/>
  <c r="K921" i="21" s="1"/>
  <c r="P921" i="21" s="1"/>
  <c r="K975" i="21" a="1"/>
  <c r="K975" i="21" s="1"/>
  <c r="P975" i="21" s="1"/>
  <c r="K948" i="21" a="1"/>
  <c r="K948" i="21" s="1"/>
  <c r="L948" i="21" s="1"/>
  <c r="K829" i="21" a="1"/>
  <c r="K829" i="21" s="1"/>
  <c r="L829" i="21" s="1"/>
  <c r="P869" i="21"/>
  <c r="L869" i="21"/>
  <c r="P923" i="21"/>
  <c r="L923" i="21"/>
  <c r="P842" i="21"/>
  <c r="L842" i="21"/>
  <c r="P950" i="21"/>
  <c r="L950" i="21"/>
  <c r="K1007" i="21" a="1"/>
  <c r="K1007" i="21" s="1"/>
  <c r="P1007" i="21" s="1"/>
  <c r="L896" i="21"/>
  <c r="L1004" i="21"/>
  <c r="L867" i="21"/>
  <c r="L977" i="21"/>
  <c r="L975" i="21"/>
  <c r="P630" i="21"/>
  <c r="L630" i="21"/>
  <c r="P518" i="21"/>
  <c r="L518" i="21"/>
  <c r="P497" i="21"/>
  <c r="L497" i="21"/>
  <c r="P549" i="21"/>
  <c r="L549" i="21"/>
  <c r="P605" i="21"/>
  <c r="L605" i="21"/>
  <c r="P468" i="21"/>
  <c r="L468" i="21"/>
  <c r="P495" i="21"/>
  <c r="L495" i="21"/>
  <c r="P578" i="21"/>
  <c r="L578" i="21"/>
  <c r="P545" i="21"/>
  <c r="L545" i="21"/>
  <c r="P572" i="21"/>
  <c r="L572" i="21"/>
  <c r="K880" i="21" a="1"/>
  <c r="K880" i="21" s="1"/>
  <c r="K1015" i="21" a="1"/>
  <c r="K1015" i="21" s="1"/>
  <c r="L551" i="21"/>
  <c r="L524" i="21"/>
  <c r="L576" i="21"/>
  <c r="K872" i="21" a="1"/>
  <c r="K872" i="21" s="1"/>
  <c r="P872" i="21" s="1"/>
  <c r="K899" i="21" a="1"/>
  <c r="K899" i="21" s="1"/>
  <c r="L899" i="21" s="1"/>
  <c r="L632" i="21"/>
  <c r="L470" i="21"/>
  <c r="L626" i="21"/>
  <c r="L910" i="21"/>
  <c r="P910" i="21"/>
  <c r="K934" i="21" a="1"/>
  <c r="K934" i="21" s="1"/>
  <c r="L603" i="21"/>
  <c r="L464" i="21"/>
  <c r="P980" i="21"/>
  <c r="L980" i="21"/>
  <c r="P845" i="21"/>
  <c r="L845" i="21"/>
  <c r="L872" i="21"/>
  <c r="P926" i="21"/>
  <c r="L926" i="21"/>
  <c r="P868" i="21"/>
  <c r="L868" i="21"/>
  <c r="L953" i="21"/>
  <c r="P1003" i="21"/>
  <c r="L1003" i="21"/>
  <c r="L1007" i="21"/>
  <c r="O292" i="2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O461" i="21" s="1"/>
  <c r="O462" i="21" s="1"/>
  <c r="O463" i="21" s="1"/>
  <c r="O464" i="21" s="1"/>
  <c r="O465" i="21" s="1"/>
  <c r="O466" i="21" s="1"/>
  <c r="O467" i="21" s="1"/>
  <c r="P948" i="21" l="1"/>
  <c r="P840" i="21"/>
  <c r="L1002" i="21"/>
  <c r="L921" i="21"/>
  <c r="L894" i="21"/>
  <c r="P899" i="21"/>
  <c r="P1015" i="21"/>
  <c r="L1015" i="21"/>
  <c r="P934" i="21"/>
  <c r="L934" i="21"/>
  <c r="P880" i="21"/>
  <c r="L880" i="21"/>
  <c r="R7" i="5"/>
  <c r="R6" i="5"/>
  <c r="R3" i="5"/>
  <c r="R9" i="5"/>
  <c r="R8" i="5"/>
  <c r="S9" i="5"/>
  <c r="S7" i="5"/>
  <c r="S3" i="5"/>
  <c r="S6" i="5"/>
  <c r="S8" i="5"/>
  <c r="Q8" i="5"/>
  <c r="Q3" i="5"/>
  <c r="Q9" i="5"/>
  <c r="Q6" i="5"/>
  <c r="Q7" i="5"/>
  <c r="E8" i="5"/>
  <c r="E6" i="5"/>
  <c r="E9" i="5"/>
  <c r="E3" i="5"/>
  <c r="E7" i="5"/>
  <c r="N3" i="5"/>
  <c r="N9" i="5"/>
  <c r="N6" i="5"/>
  <c r="N7" i="5"/>
  <c r="N8" i="5"/>
  <c r="K7" i="5"/>
  <c r="K8" i="5"/>
  <c r="K3" i="5"/>
  <c r="K6" i="5"/>
  <c r="K9" i="5"/>
  <c r="J6" i="5"/>
  <c r="J7" i="5"/>
  <c r="J9" i="5"/>
  <c r="J8" i="5"/>
  <c r="J3" i="5"/>
  <c r="O3" i="5"/>
  <c r="O6" i="5"/>
  <c r="O9" i="5"/>
  <c r="O8" i="5"/>
  <c r="O7" i="5"/>
  <c r="L7" i="5"/>
  <c r="L3" i="5"/>
  <c r="L6" i="5"/>
  <c r="L9" i="5"/>
  <c r="L8" i="5"/>
  <c r="G3" i="5"/>
  <c r="G8" i="5"/>
  <c r="G9" i="5"/>
  <c r="G7" i="5"/>
  <c r="G6" i="5"/>
  <c r="F6" i="5"/>
  <c r="F9" i="5"/>
  <c r="F8" i="5"/>
  <c r="F7" i="5"/>
  <c r="F3" i="5"/>
  <c r="M6" i="5"/>
  <c r="M8" i="5"/>
  <c r="M7" i="5"/>
  <c r="M9" i="5"/>
  <c r="M3" i="5"/>
  <c r="H7" i="5"/>
  <c r="H9" i="5"/>
  <c r="H8" i="5"/>
  <c r="H3" i="5"/>
  <c r="H6" i="5"/>
  <c r="I6" i="5"/>
  <c r="I3" i="5"/>
  <c r="I7" i="5"/>
  <c r="I9" i="5"/>
  <c r="I8" i="5"/>
  <c r="D9" i="5"/>
  <c r="D3" i="5"/>
  <c r="D8" i="5"/>
  <c r="D6" i="5"/>
  <c r="D7" i="5"/>
  <c r="P8" i="5"/>
  <c r="P9" i="5"/>
  <c r="P6" i="5"/>
  <c r="P7" i="5"/>
  <c r="P3" i="5"/>
  <c r="O468" i="2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C6" i="5" l="1"/>
  <c r="AD6" i="5" s="1"/>
  <c r="C3" i="5"/>
  <c r="AD3" i="5" s="1"/>
  <c r="C8" i="5"/>
  <c r="AD8" i="5" s="1"/>
  <c r="C9" i="5"/>
  <c r="AD9" i="5" s="1"/>
  <c r="C7" i="5"/>
  <c r="AD7" i="5" s="1"/>
  <c r="O497" i="2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<sst xmlns="http://schemas.openxmlformats.org/spreadsheetml/2006/main" count="6819" uniqueCount="1139">
  <si>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</si>
  <si>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</si>
  <si>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</si>
  <si>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</si>
  <si>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</si>
  <si>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</si>
  <si>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</si>
  <si>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</si>
  <si>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</si>
  <si>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</si>
  <si>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</si>
  <si>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</si>
  <si>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</si>
  <si>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</si>
  <si>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</si>
  <si>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</si>
  <si>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</si>
  <si>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</si>
  <si>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</si>
  <si>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</si>
  <si>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</si>
  <si>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</si>
  <si>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</si>
  <si>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</si>
  <si>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</si>
  <si>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</si>
  <si>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</si>
  <si>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</si>
  <si>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</si>
  <si>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</si>
  <si>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</si>
  <si>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</si>
  <si>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</si>
  <si>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</si>
  <si>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</si>
  <si>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</si>
  <si>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</si>
  <si>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</si>
  <si>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</si>
  <si>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</si>
  <si>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</si>
  <si>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</si>
  <si>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</si>
  <si>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</si>
  <si>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</si>
  <si>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</si>
  <si>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</si>
  <si>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</si>
  <si>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</si>
  <si>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</si>
  <si>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</si>
  <si>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</si>
  <si>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</si>
  <si>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</si>
  <si>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</si>
  <si>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</si>
  <si>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</si>
  <si>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</si>
  <si>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</si>
  <si>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</si>
  <si>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</si>
  <si>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</si>
  <si>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</si>
  <si>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</si>
  <si>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</si>
  <si>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</si>
  <si>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</si>
  <si>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</si>
  <si>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</si>
  <si>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</si>
  <si>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</si>
  <si>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</si>
  <si>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</si>
  <si>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</si>
  <si>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</si>
  <si>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</si>
  <si>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</si>
  <si>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</si>
  <si>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</si>
  <si>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</si>
  <si>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</si>
  <si>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</si>
  <si>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</si>
  <si>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</si>
  <si>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</si>
  <si>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</si>
  <si>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</si>
  <si>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</si>
  <si>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</si>
  <si>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</si>
  <si>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</si>
  <si>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</si>
  <si>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</si>
  <si>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</si>
  <si>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</si>
  <si>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</si>
  <si>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</si>
  <si>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</si>
  <si>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</si>
  <si>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</si>
  <si>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</si>
  <si>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</si>
  <si>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</si>
  <si>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</si>
  <si>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</si>
  <si>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</si>
  <si>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</si>
  <si>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</si>
  <si>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</si>
  <si>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</si>
  <si>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</si>
  <si>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</si>
  <si>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</si>
  <si>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</si>
  <si>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</si>
  <si>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</si>
  <si>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</si>
  <si>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</si>
  <si>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</si>
  <si>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</si>
  <si>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</si>
  <si>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</si>
  <si>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</si>
  <si>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</si>
  <si>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</si>
  <si>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</si>
  <si>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</si>
  <si>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</si>
  <si>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</si>
  <si>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</si>
  <si>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</si>
  <si>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</si>
  <si>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</si>
  <si>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</si>
  <si>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</si>
  <si>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</si>
  <si>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</si>
  <si>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</si>
  <si>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</si>
  <si>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</si>
  <si>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</si>
  <si>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</si>
  <si>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</si>
  <si>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</si>
  <si>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</si>
  <si>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</si>
  <si>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</si>
  <si>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</si>
  <si>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</si>
  <si>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</si>
  <si>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</si>
  <si>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</si>
  <si>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</si>
  <si>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</si>
  <si>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</si>
  <si>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</si>
  <si>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</si>
  <si>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</si>
  <si>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</si>
  <si>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</si>
  <si>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</si>
  <si>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</si>
  <si>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</si>
  <si>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</si>
  <si>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</si>
  <si>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</si>
  <si>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</si>
  <si>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</si>
  <si>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</si>
  <si>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</si>
  <si>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</si>
  <si>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</si>
  <si>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</si>
  <si>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</si>
  <si>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</si>
  <si>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</si>
  <si>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</si>
  <si>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</si>
  <si>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</si>
  <si>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</si>
  <si>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</si>
  <si>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</si>
  <si>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</si>
  <si>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</si>
  <si>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</si>
  <si>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</si>
  <si>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</si>
  <si>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</si>
  <si>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</si>
  <si>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</si>
  <si>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</si>
  <si>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</si>
  <si>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</si>
  <si>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</si>
  <si>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</si>
  <si>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</si>
  <si>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</si>
  <si>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</si>
  <si>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</si>
  <si>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</si>
  <si>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</si>
  <si>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</si>
  <si>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</si>
  <si>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</si>
  <si>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</si>
  <si>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</si>
  <si>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</si>
  <si>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</si>
  <si>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</si>
  <si>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</si>
  <si>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</si>
  <si>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</si>
  <si>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</si>
  <si>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</si>
  <si>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</si>
  <si>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</si>
  <si>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</si>
  <si>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</si>
  <si>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</si>
  <si>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</si>
  <si>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</si>
  <si>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</si>
  <si>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</si>
  <si>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</si>
  <si>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</si>
  <si>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</si>
  <si>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</si>
  <si>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</si>
  <si>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</si>
  <si>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</si>
  <si>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</si>
  <si>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</si>
  <si>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</si>
  <si>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</si>
  <si>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</si>
  <si>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</si>
  <si>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</si>
  <si>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</si>
  <si>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</si>
  <si>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</si>
  <si>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</si>
  <si>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</si>
  <si>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</si>
  <si>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</si>
  <si>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</si>
  <si>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</si>
  <si>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</si>
  <si>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</si>
  <si>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</si>
  <si>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</si>
  <si>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</si>
  <si>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</si>
  <si>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</si>
  <si>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</si>
  <si>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</si>
  <si>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</si>
  <si>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</si>
  <si>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</si>
  <si>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</si>
  <si>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</si>
  <si>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</si>
  <si>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</si>
  <si>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</si>
  <si>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</si>
  <si>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</si>
  <si>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</si>
  <si>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</si>
  <si>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</si>
  <si>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</si>
  <si>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</si>
  <si>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</si>
  <si>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</si>
  <si>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</si>
  <si>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</si>
  <si>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</si>
  <si>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</si>
  <si>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</si>
  <si>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</si>
  <si>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</si>
  <si>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</si>
  <si>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</si>
  <si>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</si>
  <si>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</si>
  <si>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</si>
  <si>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</si>
  <si>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</si>
  <si>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</si>
  <si>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</si>
  <si>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</si>
  <si>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</si>
  <si>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</si>
  <si>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</si>
  <si>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</si>
  <si>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</si>
  <si>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</si>
  <si>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</si>
  <si>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</si>
  <si>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</si>
  <si>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</si>
  <si>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</si>
  <si>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</si>
  <si>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</si>
  <si>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</si>
  <si>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</si>
  <si>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</si>
  <si>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</si>
  <si>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</si>
  <si>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</si>
  <si>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</si>
  <si>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</si>
  <si>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</si>
  <si>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</si>
  <si>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</si>
  <si>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</si>
  <si>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</si>
  <si>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</si>
  <si>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</si>
  <si>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</si>
  <si>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</si>
  <si>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</si>
  <si>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</si>
  <si>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</si>
  <si>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</si>
  <si>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</si>
  <si>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</si>
  <si>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</si>
  <si>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</si>
  <si>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</si>
  <si>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</si>
  <si>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</si>
  <si>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</si>
  <si>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</si>
  <si>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</si>
  <si>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</si>
  <si>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</si>
  <si>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</si>
  <si>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</si>
  <si>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</si>
  <si>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</si>
  <si>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</si>
  <si>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</si>
  <si>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</si>
  <si>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</si>
  <si>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</si>
  <si>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</si>
  <si>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</si>
  <si>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</si>
  <si>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</si>
  <si>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</si>
  <si>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</si>
  <si>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</si>
  <si>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</si>
  <si>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</si>
  <si>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</si>
  <si>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</si>
  <si>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</si>
  <si>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</si>
  <si>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</si>
  <si>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</si>
  <si>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</si>
  <si>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</si>
  <si>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</si>
  <si>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</si>
  <si>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</si>
  <si>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</si>
  <si>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</si>
  <si>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</si>
  <si>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</si>
  <si>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</si>
  <si>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</si>
  <si>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</si>
  <si>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</si>
  <si>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</si>
  <si>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</si>
  <si>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</si>
  <si>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</si>
  <si>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</si>
  <si>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</si>
  <si>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</si>
  <si>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</si>
  <si>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</si>
  <si>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</si>
  <si>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</si>
  <si>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</si>
  <si>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</si>
  <si>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</si>
  <si>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</si>
  <si>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</si>
  <si>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</si>
  <si>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</si>
  <si>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</si>
  <si>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</si>
  <si>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</si>
  <si>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</si>
  <si>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</si>
  <si>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</si>
  <si>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</si>
  <si>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</si>
  <si>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</si>
  <si>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</si>
  <si>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</si>
  <si>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</si>
  <si>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</si>
  <si>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</si>
  <si>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</si>
  <si>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</si>
  <si>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</si>
  <si>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</si>
  <si>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</si>
  <si>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</si>
  <si>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</si>
  <si>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</si>
  <si>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</si>
  <si>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</si>
  <si>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</si>
  <si>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</si>
  <si>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</si>
  <si>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</si>
  <si>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</si>
  <si>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</si>
  <si>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</si>
  <si>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</si>
  <si>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</si>
  <si>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</si>
  <si>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</si>
  <si>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</si>
  <si>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</si>
  <si>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</si>
  <si>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</si>
  <si>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</si>
  <si>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</si>
  <si>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</si>
  <si>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</si>
  <si>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</si>
  <si>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</si>
  <si>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</si>
  <si>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</si>
  <si>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</si>
  <si>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</si>
  <si>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</si>
  <si>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</si>
  <si>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</si>
  <si>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</si>
  <si>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</si>
  <si>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</si>
  <si>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</si>
  <si>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</si>
  <si>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</si>
  <si>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</si>
  <si>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</si>
  <si>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</si>
  <si>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</si>
  <si>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</si>
  <si>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</si>
  <si>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</si>
  <si>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</si>
  <si>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</si>
  <si>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</si>
  <si>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</si>
  <si>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</si>
  <si>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</si>
  <si>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</si>
  <si>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</si>
  <si>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</si>
  <si>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</si>
  <si>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</si>
  <si>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Viktor Schelhas (DE)</t>
  </si>
  <si>
    <t>Michal Kúdela (SK)</t>
  </si>
  <si>
    <t>Laszló Bak (HU)</t>
  </si>
  <si>
    <t>Roman Miezga (SK)</t>
  </si>
  <si>
    <t>Peter Naderer</t>
  </si>
  <si>
    <t>Michael Himmer</t>
  </si>
  <si>
    <t>Tobias Fuchs (IS)</t>
  </si>
  <si>
    <t>Peter Schickbauer</t>
  </si>
  <si>
    <t>Stefan Brunner</t>
  </si>
  <si>
    <t>Marcus Kauf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</si>
  <si>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</si>
  <si>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</si>
  <si>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</si>
  <si>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</si>
  <si>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</si>
  <si>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</si>
  <si>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</si>
  <si>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</si>
  <si>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</si>
  <si>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</si>
  <si>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</si>
  <si>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</si>
  <si>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</si>
  <si>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</si>
  <si>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</si>
  <si>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</si>
  <si>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</si>
  <si>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</si>
  <si>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</si>
  <si>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</si>
  <si>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</si>
  <si>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</si>
  <si>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</si>
  <si>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</si>
  <si>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</si>
  <si>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</si>
  <si>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</si>
  <si>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</si>
  <si>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</si>
  <si>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23 down</t>
  </si>
  <si>
    <t>72 up</t>
  </si>
  <si>
    <t>Tamás Vörös (HU)</t>
  </si>
  <si>
    <t>Stefan Hochstöger</t>
  </si>
  <si>
    <t>Konrad Ertl</t>
  </si>
  <si>
    <t>Manfred Eder</t>
  </si>
  <si>
    <t>Alphabetic</t>
  </si>
  <si>
    <t>Michael Kobella (DE)</t>
  </si>
  <si>
    <t>Christoph Schitter</t>
  </si>
  <si>
    <t>11 empty</t>
  </si>
  <si>
    <t>Chris Blanchard (US)</t>
  </si>
  <si>
    <t>Matthias Neubauer</t>
  </si>
  <si>
    <t>21 up</t>
  </si>
  <si>
    <t>Stefan Sonnleitner</t>
  </si>
  <si>
    <t>Michael Kalcher</t>
  </si>
  <si>
    <t>Michael Waidhofer</t>
  </si>
  <si>
    <t>Ádám Schwarz (HU)</t>
  </si>
  <si>
    <t>Tomislav Goricki (HR)</t>
  </si>
  <si>
    <t>Peter Prinz</t>
  </si>
  <si>
    <t>Stefan Gollinger</t>
  </si>
  <si>
    <t>Dominik Scherer</t>
  </si>
  <si>
    <t>Günter Tanner (DE)</t>
  </si>
  <si>
    <t>Micha Lüders (DE)</t>
  </si>
  <si>
    <t>Werner Uhl (DE)</t>
  </si>
  <si>
    <t>49 up</t>
  </si>
  <si>
    <t>Roland Binder</t>
  </si>
  <si>
    <t>Péter Török (HU)</t>
  </si>
  <si>
    <t>Basti Fischer (DE)</t>
  </si>
  <si>
    <t>Doug Chivers-Storey (CA)</t>
  </si>
  <si>
    <t>Svit Savnik (SI)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</si>
  <si>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</si>
  <si>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</si>
  <si>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</si>
  <si>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</si>
  <si>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</si>
  <si>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</si>
  <si>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</si>
  <si>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</si>
  <si>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</si>
  <si>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</si>
  <si>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</si>
  <si>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</si>
  <si>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</si>
  <si>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</si>
  <si>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</si>
  <si>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</si>
  <si>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</si>
  <si>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</si>
  <si>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</si>
  <si>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</si>
  <si>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</si>
  <si>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</si>
  <si>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</si>
  <si>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</si>
  <si>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</si>
  <si>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</si>
  <si>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</si>
  <si>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</si>
  <si>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</si>
  <si>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</si>
  <si>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</si>
  <si>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</si>
  <si>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</si>
  <si>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</si>
  <si>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</si>
  <si>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</si>
  <si>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</si>
  <si>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Renner (DE)</t>
  </si>
  <si>
    <t>Richi Weigel (DE)</t>
  </si>
  <si>
    <t>95 up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</si>
  <si>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</si>
  <si>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</si>
  <si>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</si>
  <si>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</si>
  <si>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</si>
  <si>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</si>
  <si>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</si>
  <si>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</si>
  <si>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</si>
  <si>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</si>
  <si>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</si>
  <si>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</si>
  <si>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</si>
  <si>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</si>
  <si>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</si>
  <si>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</si>
  <si>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</si>
  <si>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</si>
  <si>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</si>
  <si>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</si>
  <si>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</si>
  <si>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</si>
  <si>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</si>
  <si>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</si>
  <si>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</si>
  <si>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</si>
  <si>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</si>
  <si>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</si>
  <si>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</si>
  <si>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</si>
  <si>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</si>
  <si>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</si>
  <si>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</si>
  <si>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</si>
  <si>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Fabian Spiegl</t>
  </si>
  <si>
    <t>Philipp Schüller</t>
  </si>
  <si>
    <t>Daniel Wilging</t>
  </si>
  <si>
    <t>Matthias Polsterer</t>
  </si>
  <si>
    <t>Sebastian Nemetz</t>
  </si>
  <si>
    <t>Roswitha Froschauer</t>
  </si>
  <si>
    <t>Peter Mayrhofer</t>
  </si>
  <si>
    <t>Gabriele Schmidthuber</t>
  </si>
  <si>
    <t>4 up</t>
  </si>
  <si>
    <t>Bonaventura Amann</t>
  </si>
  <si>
    <t>25 down</t>
  </si>
  <si>
    <t>26 down</t>
  </si>
  <si>
    <t>31 up</t>
  </si>
  <si>
    <t>Andrej Gerbec (HU)</t>
  </si>
  <si>
    <t>Andreas Walter</t>
  </si>
  <si>
    <t>57 up</t>
  </si>
  <si>
    <t>Norbert Purner</t>
  </si>
  <si>
    <t>Jarmila Havirova (CZ)</t>
  </si>
  <si>
    <t>Stanislaus Amann</t>
  </si>
  <si>
    <t>Fredi Buchberger</t>
  </si>
  <si>
    <t>Gregor Luckeneder</t>
  </si>
  <si>
    <t>Stephan Mistelbauer</t>
  </si>
  <si>
    <t>Daniel Mayrhofer</t>
  </si>
  <si>
    <t>Peter Granegger</t>
  </si>
  <si>
    <t>Philipp Simmer</t>
  </si>
  <si>
    <t>Sebastian Katteneder</t>
  </si>
  <si>
    <t>Helmut Obernberger</t>
  </si>
  <si>
    <t>Caroline Ertl</t>
  </si>
  <si>
    <t>Wolfgang Raab</t>
  </si>
  <si>
    <t>Lea Schadenhofer</t>
  </si>
  <si>
    <t>Consider ratings with caution / Skill-O-Meter-Rating is out of date</t>
  </si>
  <si>
    <t>7 down</t>
  </si>
  <si>
    <t>13 down</t>
  </si>
  <si>
    <t>20 up</t>
  </si>
  <si>
    <t>30 up</t>
  </si>
  <si>
    <t>38 empty</t>
  </si>
  <si>
    <t>40 up</t>
  </si>
  <si>
    <t>50 up</t>
  </si>
  <si>
    <t>51 up</t>
  </si>
  <si>
    <t>54 up</t>
  </si>
  <si>
    <t>Wolfram Pirstinger</t>
  </si>
  <si>
    <t>59 up</t>
  </si>
  <si>
    <t>60 up</t>
  </si>
  <si>
    <t>61 up</t>
  </si>
  <si>
    <t>63 up</t>
  </si>
  <si>
    <t>65 up</t>
  </si>
  <si>
    <t>66 up</t>
  </si>
  <si>
    <t>67 up</t>
  </si>
  <si>
    <t>68 up</t>
  </si>
  <si>
    <t>69 up</t>
  </si>
  <si>
    <t>70 up</t>
  </si>
  <si>
    <t>Jan Uschnig</t>
  </si>
  <si>
    <t>71 up</t>
  </si>
  <si>
    <t>75 up</t>
  </si>
  <si>
    <t>76 up</t>
  </si>
  <si>
    <t>77 up</t>
  </si>
  <si>
    <t>78 up</t>
  </si>
  <si>
    <t>79 up</t>
  </si>
  <si>
    <t>80 up</t>
  </si>
  <si>
    <t>81 up</t>
  </si>
  <si>
    <t>Marjo Huhtala (FI)</t>
  </si>
  <si>
    <t>89 up</t>
  </si>
  <si>
    <t>90 up</t>
  </si>
  <si>
    <t>91 up</t>
  </si>
  <si>
    <t>92 up</t>
  </si>
  <si>
    <t>Rudi Sternjak</t>
  </si>
  <si>
    <t>93 up</t>
  </si>
  <si>
    <t>94 up</t>
  </si>
  <si>
    <t>96 up</t>
  </si>
  <si>
    <t>97 up</t>
  </si>
  <si>
    <t>Frank Kelz</t>
  </si>
  <si>
    <t>99 up</t>
  </si>
  <si>
    <t>100 up</t>
  </si>
  <si>
    <t xml:space="preserve">Astrid Neulinger </t>
  </si>
  <si>
    <t>3 up</t>
  </si>
  <si>
    <t>5 up</t>
  </si>
  <si>
    <t>6 up</t>
  </si>
  <si>
    <t>8 up</t>
  </si>
  <si>
    <t>9 down</t>
  </si>
  <si>
    <t>10 empty</t>
  </si>
  <si>
    <t>12 up</t>
  </si>
  <si>
    <t>14 empty</t>
  </si>
  <si>
    <t>15 empty</t>
  </si>
  <si>
    <t>16 empty</t>
  </si>
  <si>
    <t>17 empty</t>
  </si>
  <si>
    <t>18 empty</t>
  </si>
  <si>
    <t>19 empty</t>
  </si>
  <si>
    <t>22 empty</t>
  </si>
  <si>
    <t>24 up</t>
  </si>
  <si>
    <t>27 down</t>
  </si>
  <si>
    <t>28 down</t>
  </si>
  <si>
    <t>Dominik Fischer</t>
  </si>
  <si>
    <t>29 empty</t>
  </si>
  <si>
    <t>Nino Durak (HR)</t>
  </si>
  <si>
    <t>Barnabas Józsa (HU)</t>
  </si>
  <si>
    <t>32 down</t>
  </si>
  <si>
    <t>33 empty</t>
  </si>
  <si>
    <t>34 empty</t>
  </si>
  <si>
    <t>35 empty</t>
  </si>
  <si>
    <t>Franck Pagnier (HU)</t>
  </si>
  <si>
    <t>36 empty</t>
  </si>
  <si>
    <t>Katka Bodová (SK)</t>
  </si>
  <si>
    <t>37 empty</t>
  </si>
  <si>
    <t>Alexander Berger</t>
  </si>
  <si>
    <t>39 up</t>
  </si>
  <si>
    <t>41 down</t>
  </si>
  <si>
    <t>42 empty</t>
  </si>
  <si>
    <t>43 empty</t>
  </si>
  <si>
    <t>44 empty</t>
  </si>
  <si>
    <t>45 empty</t>
  </si>
  <si>
    <t>46 empty</t>
  </si>
  <si>
    <t>47 empty</t>
  </si>
  <si>
    <t>48 empty</t>
  </si>
  <si>
    <t>52 down</t>
  </si>
  <si>
    <t>53 empty</t>
  </si>
  <si>
    <t>55 up</t>
  </si>
  <si>
    <t>56 down</t>
  </si>
  <si>
    <t>58 up</t>
  </si>
  <si>
    <t>Steffen Schmid</t>
  </si>
  <si>
    <t>Michal Paszkowski (HU)</t>
  </si>
  <si>
    <t>Lukasz Badach (HU)</t>
  </si>
  <si>
    <t>Pawel Kowalczyk (PL)</t>
  </si>
  <si>
    <t>73 up</t>
  </si>
  <si>
    <t>74 down</t>
  </si>
  <si>
    <t>Ingo Alesko</t>
  </si>
  <si>
    <t>84 down</t>
  </si>
  <si>
    <t>85 empty</t>
  </si>
  <si>
    <t>87 empty</t>
  </si>
  <si>
    <t>Georg Egger</t>
  </si>
  <si>
    <t>88 up</t>
  </si>
  <si>
    <t>Martin Breitfuss</t>
  </si>
  <si>
    <t>Timo Barth</t>
  </si>
  <si>
    <t>Christian Brocard (HU)</t>
  </si>
  <si>
    <t>Péter Kiss (HU)</t>
  </si>
  <si>
    <t>98 down</t>
  </si>
  <si>
    <t>Ferdinand Holzner</t>
  </si>
  <si>
    <t>Zsolt Porhanda (HU)</t>
  </si>
  <si>
    <t>Alíz Török (HU)</t>
  </si>
  <si>
    <t>Simon Erker</t>
  </si>
  <si>
    <t>Veronika Tóth (HU)</t>
  </si>
  <si>
    <t>101 up</t>
  </si>
  <si>
    <t>102 up</t>
  </si>
  <si>
    <t>MJ1</t>
  </si>
  <si>
    <t>18a</t>
  </si>
  <si>
    <t>Comment Chris</t>
  </si>
  <si>
    <t>R2/Hole1/Drive zu weit rechts und zu kurz / Drive als Hyer bleibt in Bäume hängen</t>
  </si>
  <si>
    <t>R2/Hole15/Drive zu weit rechts, da falsch angelaufen/Drive zu mutig - besser vorlegen und sicheres Par</t>
  </si>
  <si>
    <t>R2/Hole3/Drive zu weit links und kurz da Baum/Vorhand bleibt zu lange gerade/3 und 4 in Gebüsch - besser sicher raus und zurück auf Fairway</t>
  </si>
  <si>
    <t>R2/Hole6/Approach mit Vorhand versch..</t>
  </si>
  <si>
    <t>R2/Hole9/Putt aus ca. 8-9 Meter</t>
  </si>
  <si>
    <t>R1/Hole6/2. Drive zu weit oben und langer Approach mit River zu weit links und links hinten wieder aus</t>
  </si>
  <si>
    <t>vermeidbare Würfe</t>
  </si>
  <si>
    <t>Resumee: bei schlechtem Drive, Par/Bogey sichern, vorallem bei Par 4/5 schlechter</t>
  </si>
  <si>
    <t>D</t>
  </si>
  <si>
    <t>L</t>
  </si>
  <si>
    <t>Michal Kúdela</t>
  </si>
  <si>
    <t>Karol Hrubják</t>
  </si>
  <si>
    <t>Jakub Matejka</t>
  </si>
  <si>
    <t>Dinko Šimenc</t>
  </si>
  <si>
    <t>Martin Mozola</t>
  </si>
  <si>
    <t>Danica Pajtak</t>
  </si>
  <si>
    <t>Iron City Ice Crush 2017</t>
  </si>
  <si>
    <t>(Eisenstadt / 18.02.2017)</t>
  </si>
  <si>
    <t>Bálint Kazai</t>
  </si>
  <si>
    <t>Alíz Török</t>
  </si>
  <si>
    <t>Aleksandar Sudzukovic</t>
  </si>
  <si>
    <t>György Csepeli</t>
  </si>
  <si>
    <t>Sona Švecová</t>
  </si>
  <si>
    <t>Anita Mayrhofer</t>
  </si>
  <si>
    <t>Aki Vuckovic</t>
  </si>
  <si>
    <t>Norbert Szabó</t>
  </si>
  <si>
    <t>János Kazai</t>
  </si>
  <si>
    <t>Péter Kiss</t>
  </si>
  <si>
    <t>Andreas Fadinger</t>
  </si>
  <si>
    <t>Róbert Furka</t>
  </si>
  <si>
    <t>Benny Zalán</t>
  </si>
  <si>
    <t>Barnabas Józsa</t>
  </si>
  <si>
    <t>Veronika Tóth</t>
  </si>
  <si>
    <t>17a</t>
  </si>
  <si>
    <t>y</t>
  </si>
  <si>
    <t>Danica Pajtak won the tournament against Irmgard Derschmidt because of "closing to the pin" on extra hole (2nd hole in playoff)</t>
  </si>
  <si>
    <t>4 Player(s) didn't finish</t>
  </si>
  <si>
    <t>Men: 4 / Women: 0</t>
  </si>
  <si>
    <t>Best score in tournament: 49</t>
  </si>
  <si>
    <t>Michal Kúdela / Round 1</t>
  </si>
  <si>
    <t>2 player(s) played 14 holes under par</t>
  </si>
  <si>
    <t>Mike Bischof-Horak played only 2 hole(s) over par</t>
  </si>
  <si>
    <t>Bogeys: 2 / Double-Bogeys/+: 0</t>
  </si>
  <si>
    <t>No Aces in tournament</t>
  </si>
  <si>
    <t>1 Eagle(s) on hole 1 (par 4)</t>
  </si>
  <si>
    <t>Jakub Matejka / Round 2</t>
  </si>
  <si>
    <t>1 Eagle(s) on hole 15 (par 4)</t>
  </si>
  <si>
    <t>Only 1 Birdie on hole 10 (par 3)</t>
  </si>
  <si>
    <t>Reinhold Schachner / Round 1</t>
  </si>
  <si>
    <t>On hole 5 (par 3) only Michal Kúdela played all rounds under par</t>
  </si>
  <si>
    <t>On hole 8 (par 3) only Wolfgang Aichinger played all rounds under par</t>
  </si>
  <si>
    <t>On hole 18 (par 3) only Daniel Wilging played all rounds under par</t>
  </si>
  <si>
    <t>Biggest Skill-O-Meter-Improvement Men Rating &gt; 850</t>
  </si>
  <si>
    <t>Bálint Kazai played 8 % better than his last rating (872)</t>
  </si>
  <si>
    <t>Rating in this tournament: 942</t>
  </si>
  <si>
    <t>Biggest Skill-O-Meter-Worsening Men Rating &gt; 850</t>
  </si>
  <si>
    <t>Robin Binder played 16 % worst than his last rating (954)</t>
  </si>
  <si>
    <t>Rating in this tournament: 800</t>
  </si>
  <si>
    <t>On hole 15 (par 4) Mike Bischof-Horak took 8 throws in total (2 rounds)</t>
  </si>
  <si>
    <t>Best men took only 5 throws</t>
  </si>
  <si>
    <t>On hole 14 (par 4) Reinhold Schachner took 10 throws in total (2 rounds)</t>
  </si>
  <si>
    <t>Best men took only 7 throws</t>
  </si>
  <si>
    <t>On hole 14 (par 4) Otfried Derschmidt took 10 throws in total (2 rounds)</t>
  </si>
  <si>
    <t>On hole 3 (par 4) Peter Pichler played 3 throws better than best men (2 rounds)</t>
  </si>
  <si>
    <t>Best men took 10 throws</t>
  </si>
  <si>
    <t>On hole 8 (par 3) Wolfgang Aichinger played 2 throws better than best men (2 rounds)</t>
  </si>
  <si>
    <t>Best men took 6 throws</t>
  </si>
  <si>
    <t># Triple-Bogeys Men Rating &gt; 850</t>
  </si>
  <si>
    <t>Only 1 Triple-Bogey on hole 5 (par 3)</t>
  </si>
  <si>
    <t>Daniel Wilging / Round 1</t>
  </si>
  <si>
    <t>Best/Worst-Difference Men Rating &gt; 850</t>
  </si>
  <si>
    <t>On hole 1 (par 4) 2 Players took 10 throws in total (2 rounds)</t>
  </si>
  <si>
    <t>Best men took only 6 throws</t>
  </si>
  <si>
    <t>On hole 5 (par 3) Daniel Wilging took 9 throws in total (2 rounds)</t>
  </si>
  <si>
    <t>Best men took only 4 throws</t>
  </si>
  <si>
    <t>On hole 14 (par 4) 2 Players took 11 throws in total (2 rounds)</t>
  </si>
  <si>
    <t>On hole 15 (par 4) 4 Players took 9 throws in total (2 rounds)</t>
  </si>
  <si>
    <t>Best score in tournament: 62</t>
  </si>
  <si>
    <t>2 Players / Round 2</t>
  </si>
  <si>
    <t>Biggest Skill-O-Meter-Improvement Women Rating &gt; 600</t>
  </si>
  <si>
    <t>Danica Pajtak played 9 % better than her last rating (714)</t>
  </si>
  <si>
    <t>Rating in this tournament: 781</t>
  </si>
  <si>
    <t>On hole 15 (par 4) Irmgard Derschmidt took 11 throws in total (2 rounds)</t>
  </si>
  <si>
    <t>Best women took only 8 throws</t>
  </si>
  <si>
    <t>On hole 6 (par 5) Sona Švecová took 15 throws in total (2 rounds)</t>
  </si>
  <si>
    <t>Best women took only 12 throws</t>
  </si>
  <si>
    <t>On hole 17 (par 3) Sona Švecová took 9 throws in total (2 rounds)</t>
  </si>
  <si>
    <t>Best women took only 6 throws</t>
  </si>
  <si>
    <t>On hole 5 (par 3) Irmgard Derschmidt played 3 throws better than best women (2 rounds)</t>
  </si>
  <si>
    <t>Best women took 9 throws</t>
  </si>
  <si>
    <t>On hole 9 (par 4) Sona Švecová played 4 throws better than best women (2 rounds)</t>
  </si>
  <si>
    <t>Best women took 12 throws</t>
  </si>
  <si>
    <t>On hole 14 (par 4) Irmgard Derschmidt played 2 throws better than best women (2 rounds)</t>
  </si>
  <si>
    <t>Best women took 11 throws</t>
  </si>
  <si>
    <t># Triple-Bogeys Women Rating &gt; 600</t>
  </si>
  <si>
    <t>Only 1 Triple-Bogey on hole 3 (par 4)</t>
  </si>
  <si>
    <t>Veronika Tóth / Round 1</t>
  </si>
  <si>
    <t>Only 1 Triple-Bogey on hole 6 (par 5)</t>
  </si>
  <si>
    <t>Sona Švecová / Round 1</t>
  </si>
  <si>
    <t>Only 1 Triple-Bogey on hole 14 (par 4)</t>
  </si>
  <si>
    <t>Sona Švecová / Round 2</t>
  </si>
  <si>
    <t>Only 1 Triple-Bogey on hole 17 (par 3)</t>
  </si>
  <si>
    <t>Irmgard Derschmidt / Round 1</t>
  </si>
  <si>
    <t># Oh dear Women Rating &gt; 600</t>
  </si>
  <si>
    <t>Only 1 Oh Dear on hole 1 (par 4)</t>
  </si>
  <si>
    <t>Veronika Tóth / Round 2</t>
  </si>
  <si>
    <t>Best/Worst-Difference Women Rating &gt; 600</t>
  </si>
  <si>
    <t>On hole 1 (par 4) Veronika Tóth took 14 throws in total (2 rounds)</t>
  </si>
  <si>
    <t>On hole 16 (par 3) Veronika Tóth took 9 throws in total (2 rounds)</t>
  </si>
  <si>
    <t>Best women took only 5 throws</t>
  </si>
  <si>
    <t>On hole 17 (par 3) Irmgard Derschmidt took 10 throws in total (2 rounds)</t>
  </si>
  <si>
    <t>3 Players (8 throws better)</t>
  </si>
  <si>
    <t>Michal Kúdela (49)</t>
  </si>
  <si>
    <t>Mike Bischof-Horak (52)</t>
  </si>
  <si>
    <t>0 Players ()</t>
  </si>
  <si>
    <t>Reinhold Schachner (9)</t>
  </si>
  <si>
    <t>3 Players (6)</t>
  </si>
  <si>
    <t>3 Players (1)</t>
  </si>
  <si>
    <t>Jonas Neulinger (Rating 777)</t>
  </si>
  <si>
    <t>Barnabas Józsa (Rating 909)</t>
  </si>
  <si>
    <t>Alíz Török (Rating 0)</t>
  </si>
  <si>
    <t>1 % worse</t>
  </si>
  <si>
    <t># Scores under par / over par Men Rating &gt; 850</t>
  </si>
  <si>
    <t>Biggest Improvement Men Rating &gt; 850</t>
  </si>
  <si>
    <t>2 Players (8 throws better)</t>
  </si>
  <si>
    <t>Biggest Worsening Men Rating &gt; 850</t>
  </si>
  <si>
    <t>Peter Pichler (52 -&gt; 64)</t>
  </si>
  <si>
    <t>Worst Round Men Rating &gt; 850</t>
  </si>
  <si>
    <t>Laurenz Schaurhofer (64)</t>
  </si>
  <si>
    <t>Peter Pichler (64)</t>
  </si>
  <si>
    <t>1 % better</t>
  </si>
  <si>
    <t># Scores under par / over par Women Rating &gt; 600</t>
  </si>
  <si>
    <t>2 Players (5 throws better)</t>
  </si>
  <si>
    <t>Biggest Improvement Women Rating &gt; 600</t>
  </si>
  <si>
    <t>Biggest Worsening Women Rating &gt; 600</t>
  </si>
  <si>
    <t>Sona Švecová (66 -&gt; 67)</t>
  </si>
  <si>
    <t>Sona Švecová (66)</t>
  </si>
  <si>
    <t>2 Players (62)</t>
  </si>
  <si>
    <t>Worst Round Women Rating &gt; 600</t>
  </si>
  <si>
    <t>Veronika Tóth (74)</t>
  </si>
  <si>
    <t>Veronika Tóth (72)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</si>
  <si>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</si>
  <si>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</si>
  <si>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</si>
  <si>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</si>
  <si>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</si>
  <si>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</si>
  <si>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</si>
  <si>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</si>
  <si>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</si>
  <si>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</si>
  <si>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</si>
  <si>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Played/12</t>
  </si>
  <si>
    <t>Played/14</t>
  </si>
  <si>
    <t>Played/15</t>
  </si>
  <si>
    <t>Played/16</t>
  </si>
  <si>
    <t>Played/17</t>
  </si>
  <si>
    <t>Played/18</t>
  </si>
  <si>
    <t>Played/17a</t>
  </si>
  <si>
    <t>Played/18a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</si>
  <si>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</si>
  <si>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</si>
  <si>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</si>
  <si>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</si>
  <si>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</si>
  <si>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</si>
  <si>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</si>
  <si>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</si>
  <si>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</si>
  <si>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</si>
  <si>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</si>
  <si>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</si>
  <si>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</si>
  <si>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</si>
  <si>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</si>
  <si>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</si>
  <si>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</si>
  <si>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</si>
  <si>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</si>
  <si>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Par/12</t>
  </si>
  <si>
    <t>Under Par/14</t>
  </si>
  <si>
    <t>Under Par/15</t>
  </si>
  <si>
    <t>Under Par/16</t>
  </si>
  <si>
    <t>Under Par/17</t>
  </si>
  <si>
    <t>Under Par/18</t>
  </si>
  <si>
    <t>Under Par/17a</t>
  </si>
  <si>
    <t>Under Par/18a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</si>
  <si>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</si>
  <si>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</si>
  <si>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</si>
  <si>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</si>
  <si>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</si>
  <si>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</si>
  <si>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</si>
  <si>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</si>
  <si>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</si>
  <si>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</si>
  <si>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</si>
  <si>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</si>
  <si>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</si>
  <si>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</si>
  <si>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</si>
  <si>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</si>
  <si>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</si>
  <si>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</si>
  <si>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</si>
  <si>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Total/12</t>
  </si>
  <si>
    <t>Total/14</t>
  </si>
  <si>
    <t>Total/15</t>
  </si>
  <si>
    <t>Total/16</t>
  </si>
  <si>
    <t>Total/17</t>
  </si>
  <si>
    <t>Total/18</t>
  </si>
  <si>
    <t>Total/17a</t>
  </si>
  <si>
    <t>Total/18a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</si>
  <si>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</si>
  <si>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</si>
  <si>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</si>
  <si>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</si>
  <si>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</si>
  <si>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</si>
  <si>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</si>
  <si>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</si>
  <si>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</si>
  <si>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</si>
  <si>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</si>
  <si>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</si>
  <si>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</si>
  <si>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</si>
  <si>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</si>
  <si>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</si>
  <si>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</si>
  <si>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</si>
  <si>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</si>
  <si>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1/12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</si>
  <si>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</si>
  <si>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</si>
  <si>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</si>
  <si>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</si>
  <si>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</si>
  <si>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</si>
  <si>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</si>
  <si>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</si>
  <si>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</si>
  <si>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</si>
  <si>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</si>
  <si>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</si>
  <si>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</si>
  <si>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</si>
  <si>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</si>
  <si>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2/12</t>
  </si>
  <si>
    <t>Round 2/14</t>
  </si>
  <si>
    <t>Round 2/15</t>
  </si>
  <si>
    <t>Round 2/16</t>
  </si>
  <si>
    <t>Round 2/17</t>
  </si>
  <si>
    <t>Round 2/18</t>
  </si>
  <si>
    <t>PlayOff/7</t>
  </si>
  <si>
    <t># Oh dear Men Rating &gt; 850</t>
  </si>
  <si>
    <t>M1</t>
  </si>
  <si>
    <t>M10</t>
  </si>
  <si>
    <t>M22</t>
  </si>
  <si>
    <t>W6</t>
  </si>
  <si>
    <t>M5</t>
  </si>
  <si>
    <t>M13</t>
  </si>
  <si>
    <t>W2</t>
  </si>
  <si>
    <t>M33</t>
  </si>
  <si>
    <t>MNF0</t>
  </si>
  <si>
    <t>MNF</t>
  </si>
  <si>
    <t>M7</t>
  </si>
  <si>
    <t>W1</t>
  </si>
  <si>
    <t>M25</t>
  </si>
  <si>
    <t>M8</t>
  </si>
  <si>
    <t>M23</t>
  </si>
  <si>
    <t>M34</t>
  </si>
  <si>
    <t>M38</t>
  </si>
  <si>
    <t>M15</t>
  </si>
  <si>
    <t>M30</t>
  </si>
  <si>
    <t>W3</t>
  </si>
  <si>
    <t>M14</t>
  </si>
  <si>
    <t>M9</t>
  </si>
  <si>
    <t>M20</t>
  </si>
  <si>
    <t>M18</t>
  </si>
  <si>
    <t>W7</t>
  </si>
  <si>
    <t>M2</t>
  </si>
  <si>
    <t>M24</t>
  </si>
  <si>
    <t>MNF1</t>
  </si>
  <si>
    <t>M31</t>
  </si>
  <si>
    <t>M16</t>
  </si>
  <si>
    <t>M29</t>
  </si>
  <si>
    <t>M32</t>
  </si>
  <si>
    <t>M28</t>
  </si>
  <si>
    <t>M11</t>
  </si>
  <si>
    <t>M19</t>
  </si>
  <si>
    <t>W5</t>
  </si>
  <si>
    <t>M26</t>
  </si>
  <si>
    <t>M3</t>
  </si>
  <si>
    <t>MNF2</t>
  </si>
  <si>
    <t>M40</t>
  </si>
  <si>
    <t>M4</t>
  </si>
  <si>
    <t>M21</t>
  </si>
  <si>
    <t>M36</t>
  </si>
  <si>
    <t>M12</t>
  </si>
  <si>
    <t>M37</t>
  </si>
  <si>
    <t>M39</t>
  </si>
  <si>
    <t>M17</t>
  </si>
  <si>
    <t>MNF3</t>
  </si>
  <si>
    <t>W4</t>
  </si>
  <si>
    <t>M27</t>
  </si>
  <si>
    <t>M6</t>
  </si>
  <si>
    <t>M35</t>
  </si>
  <si>
    <t>Dani Hatvani</t>
  </si>
  <si>
    <t>Richard Kollar</t>
  </si>
  <si>
    <t>Michael Kobella</t>
  </si>
  <si>
    <t>Mike Gordon</t>
  </si>
  <si>
    <t>Jesse Hawkins</t>
  </si>
  <si>
    <t>Bostjan Babic</t>
  </si>
  <si>
    <t>Chris Blanchard</t>
  </si>
  <si>
    <t>Tomislav Goricki</t>
  </si>
  <si>
    <t>Balázs Veres</t>
  </si>
  <si>
    <t>Viktor Schelhas</t>
  </si>
  <si>
    <t>Nino Durak</t>
  </si>
  <si>
    <t>Benedek Orbán</t>
  </si>
  <si>
    <t>Ákos Szabó</t>
  </si>
  <si>
    <t>Dinko Simenc</t>
  </si>
  <si>
    <t>Ádám Schwarz</t>
  </si>
  <si>
    <t>Franck Pagnier</t>
  </si>
  <si>
    <t>Tamás Kovács</t>
  </si>
  <si>
    <t>Andrej Gerbec</t>
  </si>
  <si>
    <t>Katka Bodová</t>
  </si>
  <si>
    <t>Pavol Kudela</t>
  </si>
  <si>
    <t>Marko Marcec</t>
  </si>
  <si>
    <t>Lorenz Schneider</t>
  </si>
  <si>
    <t>Péter Török</t>
  </si>
  <si>
    <t>Laszló Bak</t>
  </si>
  <si>
    <t>Stefan Pientschik</t>
  </si>
  <si>
    <t>Werner Uhl</t>
  </si>
  <si>
    <t>Szilárd Pálinkás</t>
  </si>
  <si>
    <t>Jozef ?ierny</t>
  </si>
  <si>
    <t>Günter Tanner</t>
  </si>
  <si>
    <t>Micha Lüders</t>
  </si>
  <si>
    <t>Tommy Vacca</t>
  </si>
  <si>
    <t>Tobias Fuchs</t>
  </si>
  <si>
    <t>Tinu Schär</t>
  </si>
  <si>
    <t>Radule Mikic</t>
  </si>
  <si>
    <t>Andreas Kucera</t>
  </si>
  <si>
    <t>Basti Fischer</t>
  </si>
  <si>
    <t>Rudolf Haag</t>
  </si>
  <si>
    <t>Doug Chivers-Storey</t>
  </si>
  <si>
    <t>Christopher Kranz</t>
  </si>
  <si>
    <t>Harald Kucera</t>
  </si>
  <si>
    <t>Svit Savnik</t>
  </si>
  <si>
    <t>Frank Deppermann</t>
  </si>
  <si>
    <t>Marcel Gala</t>
  </si>
  <si>
    <t>Marcus Holzmüller</t>
  </si>
  <si>
    <t>Michal Paszkowski</t>
  </si>
  <si>
    <t>Lukasz Badach</t>
  </si>
  <si>
    <t>Aaron Maxwell Andrews</t>
  </si>
  <si>
    <t>?tefan Hnát</t>
  </si>
  <si>
    <t>Péter Hársfai</t>
  </si>
  <si>
    <t>Pawel Kowalczyk</t>
  </si>
  <si>
    <t>Kornél Tári</t>
  </si>
  <si>
    <t>Roman Miezga</t>
  </si>
  <si>
    <t>Michal Ondru?</t>
  </si>
  <si>
    <t>Quirin Türmer</t>
  </si>
  <si>
    <t>Hrvoje Potrebica</t>
  </si>
  <si>
    <t>Karl Hinterlechner</t>
  </si>
  <si>
    <t>Christian Eß</t>
  </si>
  <si>
    <t>Veli-Pekka Rönti</t>
  </si>
  <si>
    <t>Jarmila Havirova</t>
  </si>
  <si>
    <t>Thomi Neumann</t>
  </si>
  <si>
    <t>?tefan Póco?</t>
  </si>
  <si>
    <t>Andreas Forster</t>
  </si>
  <si>
    <t>Maja Simenc</t>
  </si>
  <si>
    <t>Matthias Türmer</t>
  </si>
  <si>
    <t>László Boga</t>
  </si>
  <si>
    <t>Daniel Veble</t>
  </si>
  <si>
    <t>Florian Geyer</t>
  </si>
  <si>
    <t>Alex Mestel</t>
  </si>
  <si>
    <t>Jasmina Pi?tan</t>
  </si>
  <si>
    <t>Marjo Huhtala</t>
  </si>
  <si>
    <t>Stefan Renner</t>
  </si>
  <si>
    <t>Dávid Bollobás</t>
  </si>
  <si>
    <t>Richi Weigel</t>
  </si>
  <si>
    <t>Markus Birkenmeier</t>
  </si>
  <si>
    <t>Christian Brocard</t>
  </si>
  <si>
    <t>Markus Mestel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</si>
</sst>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3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15" fillId="39" borderId="43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14" borderId="32" xfId="0" applyFont="1" applyFill="1" applyBorder="1" applyAlignment="1">
      <alignment horizontal="center"/>
    </xf>
    <xf numFmtId="0" fontId="15" fillId="12" borderId="32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1"/>
                <c:pt idx="0">
                  <c:v>Michal Kúdela</c:v>
                </c:pt>
                <c:pt idx="1">
                  <c:v>Mike Bischof-Horak</c:v>
                </c:pt>
                <c:pt idx="2">
                  <c:v>Reinhold Schachner</c:v>
                </c:pt>
                <c:pt idx="3">
                  <c:v>Róbert Furka</c:v>
                </c:pt>
                <c:pt idx="4">
                  <c:v>Otfried Derschmidt</c:v>
                </c:pt>
                <c:pt idx="5">
                  <c:v>Jonas Neulinger</c:v>
                </c:pt>
                <c:pt idx="6">
                  <c:v>Dinko Šimenc</c:v>
                </c:pt>
                <c:pt idx="7">
                  <c:v>Christian Klima</c:v>
                </c:pt>
                <c:pt idx="8">
                  <c:v>Lukas Froschauer</c:v>
                </c:pt>
                <c:pt idx="9">
                  <c:v>Bálint Kazai</c:v>
                </c:pt>
                <c:pt idx="10">
                  <c:v>Wolfgang Aichinger</c:v>
                </c:pt>
                <c:pt idx="11">
                  <c:v>Barnabas Józsa</c:v>
                </c:pt>
                <c:pt idx="12">
                  <c:v>Manuel Oman</c:v>
                </c:pt>
                <c:pt idx="13">
                  <c:v>Karol Hrubják</c:v>
                </c:pt>
                <c:pt idx="14">
                  <c:v>Stefan Sonnleitner</c:v>
                </c:pt>
                <c:pt idx="15">
                  <c:v>Peter Pichler</c:v>
                </c:pt>
                <c:pt idx="16">
                  <c:v>Laurenz Schaurhofer</c:v>
                </c:pt>
                <c:pt idx="17">
                  <c:v>Reinhard Fuchs</c:v>
                </c:pt>
                <c:pt idx="18">
                  <c:v>Daniel Wilging</c:v>
                </c:pt>
                <c:pt idx="19">
                  <c:v>Richard Fasching</c:v>
                </c:pt>
                <c:pt idx="20">
                  <c:v>Benny Zalán</c:v>
                </c:pt>
                <c:pt idx="21">
                  <c:v>Alexander Horvath</c:v>
                </c:pt>
                <c:pt idx="22">
                  <c:v>Michael Greilinger</c:v>
                </c:pt>
                <c:pt idx="23">
                  <c:v>Aki Vuckovic</c:v>
                </c:pt>
                <c:pt idx="24">
                  <c:v>Aleksandar Sudzukovic</c:v>
                </c:pt>
                <c:pt idx="25">
                  <c:v>Andreas Walter</c:v>
                </c:pt>
                <c:pt idx="26">
                  <c:v>Robin Binder</c:v>
                </c:pt>
                <c:pt idx="27">
                  <c:v>Andreas Fadinger</c:v>
                </c:pt>
                <c:pt idx="28">
                  <c:v>Irmgard Derschmidt</c:v>
                </c:pt>
                <c:pt idx="29">
                  <c:v>Danica Pajtak</c:v>
                </c:pt>
                <c:pt idx="30">
                  <c:v>János Kazai</c:v>
                </c:pt>
                <c:pt idx="31">
                  <c:v>Jakub Matejka</c:v>
                </c:pt>
                <c:pt idx="32">
                  <c:v>Sona Švecová</c:v>
                </c:pt>
                <c:pt idx="33">
                  <c:v>Norbert Szabó</c:v>
                </c:pt>
                <c:pt idx="34">
                  <c:v>Péter Kiss</c:v>
                </c:pt>
                <c:pt idx="35">
                  <c:v>Herbert Kasses</c:v>
                </c:pt>
                <c:pt idx="36">
                  <c:v>György Csepeli</c:v>
                </c:pt>
                <c:pt idx="37">
                  <c:v>Andreas Neulinger</c:v>
                </c:pt>
                <c:pt idx="38">
                  <c:v>Veronika Tóth</c:v>
                </c:pt>
                <c:pt idx="39">
                  <c:v>Gerald Froschauer</c:v>
                </c:pt>
                <c:pt idx="40">
                  <c:v>Peter Mayrhofer</c:v>
                </c:pt>
                <c:pt idx="41">
                  <c:v>Sebastian Katteneder</c:v>
                </c:pt>
                <c:pt idx="42">
                  <c:v>Magda Kiss</c:v>
                </c:pt>
                <c:pt idx="43">
                  <c:v>Daniel Mayrhofer</c:v>
                </c:pt>
                <c:pt idx="44">
                  <c:v>Martin Mozola</c:v>
                </c:pt>
                <c:pt idx="45">
                  <c:v>Alíz Török</c:v>
                </c:pt>
                <c:pt idx="46">
                  <c:v>Anita Mayrhofer</c:v>
                </c:pt>
                <c:pt idx="47">
                  <c:v>Christian Stepanek</c:v>
                </c:pt>
                <c:pt idx="48">
                  <c:v>Eric Osterwinter</c:v>
                </c:pt>
                <c:pt idx="49">
                  <c:v>Alois Obernberger</c:v>
                </c:pt>
                <c:pt idx="50">
                  <c:v>Stefan Brunner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1"/>
                <c:pt idx="0">
                  <c:v>-13</c:v>
                </c:pt>
                <c:pt idx="1">
                  <c:v>-8</c:v>
                </c:pt>
                <c:pt idx="2">
                  <c:v>-14</c:v>
                </c:pt>
                <c:pt idx="3">
                  <c:v>-12</c:v>
                </c:pt>
                <c:pt idx="4">
                  <c:v>-12</c:v>
                </c:pt>
                <c:pt idx="5">
                  <c:v>-10</c:v>
                </c:pt>
                <c:pt idx="6">
                  <c:v>-9</c:v>
                </c:pt>
                <c:pt idx="7">
                  <c:v>-8</c:v>
                </c:pt>
                <c:pt idx="8">
                  <c:v>-9</c:v>
                </c:pt>
                <c:pt idx="9">
                  <c:v>-8</c:v>
                </c:pt>
                <c:pt idx="10">
                  <c:v>-11</c:v>
                </c:pt>
                <c:pt idx="11">
                  <c:v>-8</c:v>
                </c:pt>
                <c:pt idx="12">
                  <c:v>-6</c:v>
                </c:pt>
                <c:pt idx="13">
                  <c:v>-3</c:v>
                </c:pt>
                <c:pt idx="14">
                  <c:v>-7</c:v>
                </c:pt>
                <c:pt idx="15">
                  <c:v>-7</c:v>
                </c:pt>
                <c:pt idx="16">
                  <c:v>-4</c:v>
                </c:pt>
                <c:pt idx="17">
                  <c:v>-3</c:v>
                </c:pt>
                <c:pt idx="18">
                  <c:v>-7</c:v>
                </c:pt>
                <c:pt idx="19">
                  <c:v>-3</c:v>
                </c:pt>
                <c:pt idx="20">
                  <c:v>-4</c:v>
                </c:pt>
                <c:pt idx="21">
                  <c:v>-5</c:v>
                </c:pt>
                <c:pt idx="22">
                  <c:v>-3</c:v>
                </c:pt>
                <c:pt idx="23">
                  <c:v>-3</c:v>
                </c:pt>
                <c:pt idx="24">
                  <c:v>-1</c:v>
                </c:pt>
                <c:pt idx="26">
                  <c:v>-9</c:v>
                </c:pt>
                <c:pt idx="27">
                  <c:v>-4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-2</c:v>
                </c:pt>
                <c:pt idx="32">
                  <c:v>-3</c:v>
                </c:pt>
                <c:pt idx="33">
                  <c:v>-2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47">
                  <c:v>-1</c:v>
                </c:pt>
                <c:pt idx="48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1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1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9</c:v>
                </c:pt>
                <c:pt idx="12">
                  <c:v>8</c:v>
                </c:pt>
                <c:pt idx="13">
                  <c:v>5</c:v>
                </c:pt>
                <c:pt idx="14">
                  <c:v>9</c:v>
                </c:pt>
                <c:pt idx="15">
                  <c:v>7</c:v>
                </c:pt>
                <c:pt idx="16">
                  <c:v>10</c:v>
                </c:pt>
                <c:pt idx="17">
                  <c:v>6</c:v>
                </c:pt>
                <c:pt idx="18">
                  <c:v>9</c:v>
                </c:pt>
                <c:pt idx="19">
                  <c:v>9</c:v>
                </c:pt>
                <c:pt idx="20">
                  <c:v>6</c:v>
                </c:pt>
                <c:pt idx="21">
                  <c:v>9</c:v>
                </c:pt>
                <c:pt idx="22">
                  <c:v>11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5</c:v>
                </c:pt>
                <c:pt idx="27">
                  <c:v>9</c:v>
                </c:pt>
                <c:pt idx="28">
                  <c:v>11</c:v>
                </c:pt>
                <c:pt idx="29">
                  <c:v>12</c:v>
                </c:pt>
                <c:pt idx="30">
                  <c:v>11</c:v>
                </c:pt>
                <c:pt idx="31">
                  <c:v>13</c:v>
                </c:pt>
                <c:pt idx="32">
                  <c:v>12</c:v>
                </c:pt>
                <c:pt idx="33">
                  <c:v>13</c:v>
                </c:pt>
                <c:pt idx="34">
                  <c:v>12</c:v>
                </c:pt>
                <c:pt idx="35">
                  <c:v>11</c:v>
                </c:pt>
                <c:pt idx="36">
                  <c:v>9</c:v>
                </c:pt>
                <c:pt idx="37">
                  <c:v>14</c:v>
                </c:pt>
                <c:pt idx="38">
                  <c:v>15</c:v>
                </c:pt>
                <c:pt idx="39">
                  <c:v>10</c:v>
                </c:pt>
                <c:pt idx="40">
                  <c:v>10</c:v>
                </c:pt>
                <c:pt idx="41">
                  <c:v>17</c:v>
                </c:pt>
                <c:pt idx="42">
                  <c:v>15</c:v>
                </c:pt>
                <c:pt idx="43">
                  <c:v>10</c:v>
                </c:pt>
                <c:pt idx="44">
                  <c:v>15</c:v>
                </c:pt>
                <c:pt idx="45">
                  <c:v>11</c:v>
                </c:pt>
                <c:pt idx="46">
                  <c:v>8</c:v>
                </c:pt>
                <c:pt idx="47">
                  <c:v>11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8</c:v>
                </c:pt>
                <c:pt idx="27">
                  <c:v>5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4</c:v>
                </c:pt>
                <c:pt idx="34">
                  <c:v>4</c:v>
                </c:pt>
                <c:pt idx="35">
                  <c:v>7</c:v>
                </c:pt>
                <c:pt idx="36">
                  <c:v>8</c:v>
                </c:pt>
                <c:pt idx="37">
                  <c:v>7</c:v>
                </c:pt>
                <c:pt idx="38">
                  <c:v>8</c:v>
                </c:pt>
                <c:pt idx="39">
                  <c:v>12</c:v>
                </c:pt>
                <c:pt idx="40">
                  <c:v>12</c:v>
                </c:pt>
                <c:pt idx="41">
                  <c:v>9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14</c:v>
                </c:pt>
                <c:pt idx="46">
                  <c:v>23</c:v>
                </c:pt>
                <c:pt idx="47">
                  <c:v>7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44173056"/>
        <c:axId val="245260288"/>
      </c:barChart>
      <c:catAx>
        <c:axId val="244173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45260288"/>
        <c:crosses val="autoZero"/>
        <c:auto val="1"/>
        <c:lblAlgn val="ctr"/>
        <c:lblOffset val="100"/>
        <c:tickLblSkip val="1"/>
        <c:noMultiLvlLbl val="0"/>
      </c:catAx>
      <c:valAx>
        <c:axId val="2452602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441730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481984"/>
        <c:axId val="283483520"/>
      </c:lineChart>
      <c:catAx>
        <c:axId val="2834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3483520"/>
        <c:crosses val="autoZero"/>
        <c:auto val="1"/>
        <c:lblAlgn val="ctr"/>
        <c:lblOffset val="100"/>
        <c:noMultiLvlLbl val="0"/>
      </c:catAx>
      <c:valAx>
        <c:axId val="2834835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34819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1.2048192771084338E-2</c:v>
                </c:pt>
                <c:pt idx="1">
                  <c:v>0.26506024096385544</c:v>
                </c:pt>
                <c:pt idx="2">
                  <c:v>0.39759036144578314</c:v>
                </c:pt>
                <c:pt idx="3">
                  <c:v>0.16867469879518071</c:v>
                </c:pt>
                <c:pt idx="4">
                  <c:v>9.6385542168674704E-2</c:v>
                </c:pt>
                <c:pt idx="5">
                  <c:v>4.8192771084337352E-2</c:v>
                </c:pt>
                <c:pt idx="6">
                  <c:v>1.2048192771084338E-2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0.2857142857142857</c:v>
                </c:pt>
                <c:pt idx="5">
                  <c:v>0</c:v>
                </c:pt>
                <c:pt idx="6">
                  <c:v>0.21428571428571427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525504"/>
        <c:axId val="283527040"/>
      </c:lineChart>
      <c:catAx>
        <c:axId val="2835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3527040"/>
        <c:crosses val="autoZero"/>
        <c:auto val="1"/>
        <c:lblAlgn val="ctr"/>
        <c:lblOffset val="100"/>
        <c:noMultiLvlLbl val="0"/>
      </c:catAx>
      <c:valAx>
        <c:axId val="2835270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35255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560960"/>
        <c:axId val="283566848"/>
      </c:lineChart>
      <c:catAx>
        <c:axId val="28356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3566848"/>
        <c:crosses val="autoZero"/>
        <c:auto val="1"/>
        <c:lblAlgn val="ctr"/>
        <c:lblOffset val="100"/>
        <c:noMultiLvlLbl val="0"/>
      </c:catAx>
      <c:valAx>
        <c:axId val="2835668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35609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-7</c:v>
                </c:pt>
                <c:pt idx="21">
                  <c:v>-8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-10</c:v>
                </c:pt>
                <c:pt idx="30">
                  <c:v>-9</c:v>
                </c:pt>
                <c:pt idx="31">
                  <c:v>-8</c:v>
                </c:pt>
                <c:pt idx="32">
                  <c:v>-8</c:v>
                </c:pt>
                <c:pt idx="3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4"/>
                <c:pt idx="0">
                  <c:v>0</c:v>
                </c:pt>
                <c:pt idx="1">
                  <c:v>0.28571428571428559</c:v>
                </c:pt>
                <c:pt idx="2">
                  <c:v>0.52961672473867605</c:v>
                </c:pt>
                <c:pt idx="3">
                  <c:v>1.696283391405343</c:v>
                </c:pt>
                <c:pt idx="4">
                  <c:v>1.696283391405343</c:v>
                </c:pt>
                <c:pt idx="5">
                  <c:v>1.9819976771196286</c:v>
                </c:pt>
                <c:pt idx="6">
                  <c:v>2.36295005807201</c:v>
                </c:pt>
                <c:pt idx="7">
                  <c:v>2.5296167247386765</c:v>
                </c:pt>
                <c:pt idx="8">
                  <c:v>2.6010452961672481</c:v>
                </c:pt>
                <c:pt idx="9">
                  <c:v>2.9343786295005811</c:v>
                </c:pt>
                <c:pt idx="10">
                  <c:v>3.6486643437862956</c:v>
                </c:pt>
                <c:pt idx="11">
                  <c:v>3.5296167247386765</c:v>
                </c:pt>
                <c:pt idx="12">
                  <c:v>4.4581881533101058</c:v>
                </c:pt>
                <c:pt idx="13">
                  <c:v>4.5772357723577244</c:v>
                </c:pt>
                <c:pt idx="14">
                  <c:v>4.934378629500582</c:v>
                </c:pt>
                <c:pt idx="15">
                  <c:v>5.6010452961672481</c:v>
                </c:pt>
                <c:pt idx="16">
                  <c:v>5.7200929152148667</c:v>
                </c:pt>
                <c:pt idx="17">
                  <c:v>5.9639953542392572</c:v>
                </c:pt>
                <c:pt idx="18">
                  <c:v>6.5981416957026715</c:v>
                </c:pt>
                <c:pt idx="19">
                  <c:v>7.7688734030197448</c:v>
                </c:pt>
                <c:pt idx="20">
                  <c:v>7.7200929152148667</c:v>
                </c:pt>
                <c:pt idx="21">
                  <c:v>7.9396051103368182</c:v>
                </c:pt>
                <c:pt idx="22">
                  <c:v>8.2146051103368194</c:v>
                </c:pt>
                <c:pt idx="23">
                  <c:v>8.5072880371660879</c:v>
                </c:pt>
                <c:pt idx="24">
                  <c:v>8.556068524970966</c:v>
                </c:pt>
                <c:pt idx="25">
                  <c:v>9.0682636469221851</c:v>
                </c:pt>
                <c:pt idx="26">
                  <c:v>9.7268002322880385</c:v>
                </c:pt>
                <c:pt idx="27">
                  <c:v>9.8731416957026727</c:v>
                </c:pt>
                <c:pt idx="28">
                  <c:v>11.263385598141697</c:v>
                </c:pt>
                <c:pt idx="29">
                  <c:v>11.653629500580722</c:v>
                </c:pt>
                <c:pt idx="30">
                  <c:v>11.921922183507551</c:v>
                </c:pt>
                <c:pt idx="31">
                  <c:v>12.482897793263648</c:v>
                </c:pt>
                <c:pt idx="32">
                  <c:v>12.531678281068526</c:v>
                </c:pt>
                <c:pt idx="3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4"/>
                <c:pt idx="0">
                  <c:v>0</c:v>
                </c:pt>
                <c:pt idx="1">
                  <c:v>-0.60000000000000009</c:v>
                </c:pt>
                <c:pt idx="2">
                  <c:v>-1.6</c:v>
                </c:pt>
                <c:pt idx="3">
                  <c:v>-1.0000000000000004</c:v>
                </c:pt>
                <c:pt idx="4">
                  <c:v>-1.4000000000000004</c:v>
                </c:pt>
                <c:pt idx="5">
                  <c:v>-1.8000000000000003</c:v>
                </c:pt>
                <c:pt idx="6">
                  <c:v>-2.0000000000000004</c:v>
                </c:pt>
                <c:pt idx="7">
                  <c:v>-2.6000000000000005</c:v>
                </c:pt>
                <c:pt idx="8">
                  <c:v>-3.0000000000000004</c:v>
                </c:pt>
                <c:pt idx="9">
                  <c:v>-3.4000000000000004</c:v>
                </c:pt>
                <c:pt idx="10">
                  <c:v>-3.4000000000000004</c:v>
                </c:pt>
                <c:pt idx="11">
                  <c:v>-3.2</c:v>
                </c:pt>
                <c:pt idx="12">
                  <c:v>-2.8</c:v>
                </c:pt>
                <c:pt idx="13">
                  <c:v>-3.5999999999999996</c:v>
                </c:pt>
                <c:pt idx="14">
                  <c:v>-4.1999999999999993</c:v>
                </c:pt>
                <c:pt idx="15">
                  <c:v>-3.5999999999999992</c:v>
                </c:pt>
                <c:pt idx="16">
                  <c:v>-3.9999999999999991</c:v>
                </c:pt>
                <c:pt idx="17">
                  <c:v>-4.5999999999999996</c:v>
                </c:pt>
                <c:pt idx="18">
                  <c:v>-4.1999999999999993</c:v>
                </c:pt>
                <c:pt idx="19">
                  <c:v>-3.5999999999999996</c:v>
                </c:pt>
                <c:pt idx="20">
                  <c:v>-3.9999999999999996</c:v>
                </c:pt>
                <c:pt idx="21">
                  <c:v>-4.3999999999999995</c:v>
                </c:pt>
                <c:pt idx="22">
                  <c:v>-5.1999999999999993</c:v>
                </c:pt>
                <c:pt idx="23">
                  <c:v>-5.6</c:v>
                </c:pt>
                <c:pt idx="24">
                  <c:v>-5.6</c:v>
                </c:pt>
                <c:pt idx="25">
                  <c:v>-5.8</c:v>
                </c:pt>
                <c:pt idx="26">
                  <c:v>-5.4</c:v>
                </c:pt>
                <c:pt idx="27">
                  <c:v>-5.6000000000000005</c:v>
                </c:pt>
                <c:pt idx="28">
                  <c:v>-5.6000000000000005</c:v>
                </c:pt>
                <c:pt idx="29">
                  <c:v>-6</c:v>
                </c:pt>
                <c:pt idx="30">
                  <c:v>-5.8</c:v>
                </c:pt>
                <c:pt idx="31">
                  <c:v>-5.8</c:v>
                </c:pt>
                <c:pt idx="32">
                  <c:v>-6.1999999999999993</c:v>
                </c:pt>
                <c:pt idx="3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387392"/>
        <c:axId val="283389312"/>
      </c:lineChart>
      <c:catAx>
        <c:axId val="283387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3389312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83389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338739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'Player-Statistic'!$C$15:$AC$15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970560"/>
        <c:axId val="283976832"/>
      </c:barChart>
      <c:catAx>
        <c:axId val="28397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3976832"/>
        <c:crosses val="autoZero"/>
        <c:auto val="1"/>
        <c:lblAlgn val="ctr"/>
        <c:lblOffset val="0"/>
        <c:noMultiLvlLbl val="0"/>
      </c:catAx>
      <c:valAx>
        <c:axId val="28397683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397056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-2</c:v>
                </c:pt>
                <c:pt idx="4">
                  <c:v>-2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4026752"/>
        <c:axId val="284028288"/>
      </c:barChart>
      <c:catAx>
        <c:axId val="2840267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4028288"/>
        <c:crosses val="autoZero"/>
        <c:auto val="1"/>
        <c:lblAlgn val="ctr"/>
        <c:lblOffset val="100"/>
        <c:tickLblSkip val="1"/>
        <c:noMultiLvlLbl val="0"/>
      </c:catAx>
      <c:valAx>
        <c:axId val="2840282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40267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6"/>
                <c:pt idx="0">
                  <c:v>-0.39999999999999991</c:v>
                </c:pt>
                <c:pt idx="1">
                  <c:v>0.29999999999999982</c:v>
                </c:pt>
                <c:pt idx="2">
                  <c:v>0.40000000000000036</c:v>
                </c:pt>
                <c:pt idx="3">
                  <c:v>-0.60000000000000009</c:v>
                </c:pt>
                <c:pt idx="4">
                  <c:v>-0.60000000000000009</c:v>
                </c:pt>
                <c:pt idx="5">
                  <c:v>0.5</c:v>
                </c:pt>
                <c:pt idx="6">
                  <c:v>0</c:v>
                </c:pt>
                <c:pt idx="7">
                  <c:v>0.20000000000000018</c:v>
                </c:pt>
                <c:pt idx="8">
                  <c:v>0.29999999999999982</c:v>
                </c:pt>
                <c:pt idx="9">
                  <c:v>0.29999999999999982</c:v>
                </c:pt>
                <c:pt idx="10">
                  <c:v>0</c:v>
                </c:pt>
                <c:pt idx="11">
                  <c:v>-0.70000000000000018</c:v>
                </c:pt>
                <c:pt idx="12">
                  <c:v>-0.89999999999999991</c:v>
                </c:pt>
                <c:pt idx="13">
                  <c:v>0.20000000000000018</c:v>
                </c:pt>
                <c:pt idx="14">
                  <c:v>0.20000000000000018</c:v>
                </c:pt>
                <c:pt idx="15">
                  <c:v>-0.10000000000000009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040576"/>
        <c:axId val="284071424"/>
      </c:barChart>
      <c:catAx>
        <c:axId val="28404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4071424"/>
        <c:crosses val="autoZero"/>
        <c:auto val="1"/>
        <c:lblAlgn val="ctr"/>
        <c:lblOffset val="0"/>
        <c:noMultiLvlLbl val="0"/>
      </c:catAx>
      <c:valAx>
        <c:axId val="2840714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404057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6"/>
                <c:pt idx="0">
                  <c:v>-1</c:v>
                </c:pt>
                <c:pt idx="1">
                  <c:v>0</c:v>
                </c:pt>
                <c:pt idx="2">
                  <c:v>1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-0.5</c:v>
                </c:pt>
                <c:pt idx="12">
                  <c:v>-1.5</c:v>
                </c:pt>
                <c:pt idx="13">
                  <c:v>0</c:v>
                </c:pt>
                <c:pt idx="14">
                  <c:v>0.5</c:v>
                </c:pt>
                <c:pt idx="15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173824"/>
        <c:axId val="284175744"/>
      </c:barChart>
      <c:catAx>
        <c:axId val="28417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4175744"/>
        <c:crosses val="autoZero"/>
        <c:auto val="1"/>
        <c:lblAlgn val="ctr"/>
        <c:lblOffset val="0"/>
        <c:noMultiLvlLbl val="0"/>
      </c:catAx>
      <c:valAx>
        <c:axId val="28417574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417382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-7</c:v>
                </c:pt>
                <c:pt idx="21">
                  <c:v>-8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-10</c:v>
                </c:pt>
                <c:pt idx="30">
                  <c:v>-9</c:v>
                </c:pt>
                <c:pt idx="31">
                  <c:v>-8</c:v>
                </c:pt>
                <c:pt idx="32">
                  <c:v>-8</c:v>
                </c:pt>
                <c:pt idx="33">
                  <c:v>#N/A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Danica Pajtak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16</c:v>
                </c:pt>
                <c:pt idx="26">
                  <c:v>17</c:v>
                </c:pt>
                <c:pt idx="27">
                  <c:v>17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33024"/>
        <c:axId val="284443392"/>
      </c:lineChart>
      <c:catAx>
        <c:axId val="2844330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4443392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8444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4330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Danica Pajtak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6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91136"/>
        <c:axId val="284362240"/>
      </c:barChart>
      <c:catAx>
        <c:axId val="2844911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4362240"/>
        <c:crosses val="autoZero"/>
        <c:auto val="1"/>
        <c:lblAlgn val="ctr"/>
        <c:lblOffset val="0"/>
        <c:tickMarkSkip val="1"/>
        <c:noMultiLvlLbl val="0"/>
      </c:catAx>
      <c:valAx>
        <c:axId val="2843622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4911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6"/>
                <c:pt idx="0" formatCode="General">
                  <c:v>-0.60000000000000009</c:v>
                </c:pt>
                <c:pt idx="1">
                  <c:v>-0.29999999999999982</c:v>
                </c:pt>
                <c:pt idx="2" formatCode="General">
                  <c:v>0.59999999999999964</c:v>
                </c:pt>
                <c:pt idx="3" formatCode="General">
                  <c:v>-0.39999999999999991</c:v>
                </c:pt>
                <c:pt idx="4" formatCode="General">
                  <c:v>-0.39999999999999991</c:v>
                </c:pt>
                <c:pt idx="5" formatCode="General">
                  <c:v>-0.5</c:v>
                </c:pt>
                <c:pt idx="6" formatCode="General">
                  <c:v>-0.5</c:v>
                </c:pt>
                <c:pt idx="7" formatCode="General">
                  <c:v>-0.20000000000000018</c:v>
                </c:pt>
                <c:pt idx="8" formatCode="General">
                  <c:v>-0.29999999999999982</c:v>
                </c:pt>
                <c:pt idx="9" formatCode="General">
                  <c:v>0.20000000000000018</c:v>
                </c:pt>
                <c:pt idx="10" formatCode="General">
                  <c:v>0</c:v>
                </c:pt>
                <c:pt idx="11" formatCode="General">
                  <c:v>0.20000000000000018</c:v>
                </c:pt>
                <c:pt idx="12" formatCode="General">
                  <c:v>-0.60000000000000009</c:v>
                </c:pt>
                <c:pt idx="13" formatCode="General">
                  <c:v>-0.20000000000000018</c:v>
                </c:pt>
                <c:pt idx="14" formatCode="General">
                  <c:v>0.29999999999999982</c:v>
                </c:pt>
                <c:pt idx="15" formatCode="General">
                  <c:v>-0.39999999999999991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6"/>
                <c:pt idx="0" formatCode="General">
                  <c:v>1</c:v>
                </c:pt>
                <c:pt idx="1">
                  <c:v>0.40000000000000036</c:v>
                </c:pt>
                <c:pt idx="2" formatCode="General">
                  <c:v>1.2999999999999998</c:v>
                </c:pt>
                <c:pt idx="3" formatCode="General">
                  <c:v>0.60000000000000009</c:v>
                </c:pt>
                <c:pt idx="4" formatCode="General">
                  <c:v>0.89999999999999991</c:v>
                </c:pt>
                <c:pt idx="5" formatCode="General">
                  <c:v>1.5</c:v>
                </c:pt>
                <c:pt idx="6" formatCode="General">
                  <c:v>0.79999999999999982</c:v>
                </c:pt>
                <c:pt idx="7" formatCode="General">
                  <c:v>0.10000000000000009</c:v>
                </c:pt>
                <c:pt idx="8" formatCode="General">
                  <c:v>1.0999999999999996</c:v>
                </c:pt>
                <c:pt idx="9" formatCode="General">
                  <c:v>1</c:v>
                </c:pt>
                <c:pt idx="10" formatCode="General">
                  <c:v>0.10000000000000009</c:v>
                </c:pt>
                <c:pt idx="11" formatCode="General">
                  <c:v>1.5999999999999996</c:v>
                </c:pt>
                <c:pt idx="12" formatCode="General">
                  <c:v>0.70000000000000018</c:v>
                </c:pt>
                <c:pt idx="13" formatCode="General">
                  <c:v>0.5</c:v>
                </c:pt>
                <c:pt idx="14" formatCode="General">
                  <c:v>1.2000000000000002</c:v>
                </c:pt>
                <c:pt idx="15" formatCode="General">
                  <c:v>0.39999999999999991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285632"/>
        <c:axId val="245287552"/>
      </c:barChart>
      <c:catAx>
        <c:axId val="24528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528755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4528755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5285632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Danica Pajtak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6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02048"/>
        <c:axId val="284403968"/>
      </c:barChart>
      <c:catAx>
        <c:axId val="284402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4403968"/>
        <c:crosses val="autoZero"/>
        <c:auto val="1"/>
        <c:lblAlgn val="ctr"/>
        <c:lblOffset val="0"/>
        <c:tickMarkSkip val="1"/>
        <c:noMultiLvlLbl val="0"/>
      </c:catAx>
      <c:valAx>
        <c:axId val="2844039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4020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Danica Pajtak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088064"/>
        <c:axId val="290089984"/>
      </c:barChart>
      <c:catAx>
        <c:axId val="290088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0089984"/>
        <c:crosses val="autoZero"/>
        <c:auto val="1"/>
        <c:lblAlgn val="ctr"/>
        <c:lblOffset val="0"/>
        <c:tickMarkSkip val="1"/>
        <c:noMultiLvlLbl val="0"/>
      </c:catAx>
      <c:valAx>
        <c:axId val="2900899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00880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Danica Pajtak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42080"/>
        <c:axId val="290148352"/>
      </c:barChart>
      <c:catAx>
        <c:axId val="2901420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0148352"/>
        <c:crosses val="autoZero"/>
        <c:auto val="1"/>
        <c:lblAlgn val="ctr"/>
        <c:lblOffset val="0"/>
        <c:tickMarkSkip val="1"/>
        <c:noMultiLvlLbl val="0"/>
      </c:catAx>
      <c:valAx>
        <c:axId val="2901483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014208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Player'!$C$16:$AC$16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Danica Pajtak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92384"/>
        <c:axId val="290198656"/>
      </c:barChart>
      <c:catAx>
        <c:axId val="290192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0198656"/>
        <c:crosses val="autoZero"/>
        <c:auto val="1"/>
        <c:lblAlgn val="ctr"/>
        <c:lblOffset val="0"/>
        <c:tickMarkSkip val="1"/>
        <c:noMultiLvlLbl val="0"/>
      </c:catAx>
      <c:valAx>
        <c:axId val="2901986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01923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6"/>
                <c:pt idx="0">
                  <c:v>-1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-1.5</c:v>
                </c:pt>
                <c:pt idx="4" formatCode="General">
                  <c:v>-2.5</c:v>
                </c:pt>
                <c:pt idx="5" formatCode="General">
                  <c:v>-1</c:v>
                </c:pt>
                <c:pt idx="6" formatCode="General">
                  <c:v>-1.1666666666666665</c:v>
                </c:pt>
                <c:pt idx="7" formatCode="General">
                  <c:v>0</c:v>
                </c:pt>
                <c:pt idx="8" formatCode="General">
                  <c:v>-2</c:v>
                </c:pt>
                <c:pt idx="9" formatCode="General">
                  <c:v>-0.5</c:v>
                </c:pt>
                <c:pt idx="10" formatCode="General">
                  <c:v>0</c:v>
                </c:pt>
                <c:pt idx="11" formatCode="General">
                  <c:v>-2</c:v>
                </c:pt>
                <c:pt idx="12" formatCode="General">
                  <c:v>-1.5</c:v>
                </c:pt>
                <c:pt idx="13" formatCode="General">
                  <c:v>0.5</c:v>
                </c:pt>
                <c:pt idx="14" formatCode="General">
                  <c:v>0.5</c:v>
                </c:pt>
                <c:pt idx="15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227712"/>
        <c:axId val="290229632"/>
      </c:barChart>
      <c:catAx>
        <c:axId val="29022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0229632"/>
        <c:crosses val="autoZero"/>
        <c:auto val="1"/>
        <c:lblAlgn val="ctr"/>
        <c:lblOffset val="0"/>
        <c:noMultiLvlLbl val="0"/>
      </c:catAx>
      <c:valAx>
        <c:axId val="29022963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9022771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-7</c:v>
                </c:pt>
                <c:pt idx="21">
                  <c:v>-8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-10</c:v>
                </c:pt>
                <c:pt idx="30">
                  <c:v>-9</c:v>
                </c:pt>
                <c:pt idx="31">
                  <c:v>-8</c:v>
                </c:pt>
                <c:pt idx="32">
                  <c:v>-8</c:v>
                </c:pt>
                <c:pt idx="3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-4</c:v>
                </c:pt>
                <c:pt idx="31">
                  <c:v>-5</c:v>
                </c:pt>
                <c:pt idx="32">
                  <c:v>-6</c:v>
                </c:pt>
                <c:pt idx="3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Reinhold Schachner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-3</c:v>
                </c:pt>
                <c:pt idx="10">
                  <c:v>-4</c:v>
                </c:pt>
                <c:pt idx="11">
                  <c:v>-5</c:v>
                </c:pt>
                <c:pt idx="12">
                  <c:v>-3</c:v>
                </c:pt>
                <c:pt idx="13">
                  <c:v>-4</c:v>
                </c:pt>
                <c:pt idx="14">
                  <c:v>-5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-5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-5</c:v>
                </c:pt>
                <c:pt idx="31">
                  <c:v>-5</c:v>
                </c:pt>
                <c:pt idx="32">
                  <c:v>-6</c:v>
                </c:pt>
                <c:pt idx="33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Róbert Furka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-4</c:v>
                </c:pt>
                <c:pt idx="5">
                  <c:v>-4</c:v>
                </c:pt>
                <c:pt idx="6">
                  <c:v>-4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>
                  <c:v>-5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-6</c:v>
                </c:pt>
                <c:pt idx="18">
                  <c:v>-5</c:v>
                </c:pt>
                <c:pt idx="19">
                  <c:v>-4</c:v>
                </c:pt>
                <c:pt idx="20">
                  <c:v>-5</c:v>
                </c:pt>
                <c:pt idx="21">
                  <c:v>-5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-8</c:v>
                </c:pt>
                <c:pt idx="29">
                  <c:v>-8</c:v>
                </c:pt>
                <c:pt idx="30">
                  <c:v>-7</c:v>
                </c:pt>
                <c:pt idx="31">
                  <c:v>-7</c:v>
                </c:pt>
                <c:pt idx="32">
                  <c:v>-6</c:v>
                </c:pt>
                <c:pt idx="3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536256"/>
        <c:axId val="245538176"/>
      </c:lineChart>
      <c:catAx>
        <c:axId val="245536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5538176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45538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55362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Danica Pajtak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16</c:v>
                </c:pt>
                <c:pt idx="26">
                  <c:v>17</c:v>
                </c:pt>
                <c:pt idx="27">
                  <c:v>17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9</c:v>
                </c:pt>
                <c:pt idx="14">
                  <c:v>9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13</c:v>
                </c:pt>
                <c:pt idx="27">
                  <c:v>13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18.009999999999998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Sona Švecová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10</c:v>
                </c:pt>
                <c:pt idx="20">
                  <c:v>10</c:v>
                </c:pt>
                <c:pt idx="21">
                  <c:v>12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19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Veronika Tóth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22</c:v>
                </c:pt>
                <c:pt idx="18">
                  <c:v>23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05504"/>
        <c:axId val="260419968"/>
      </c:lineChart>
      <c:catAx>
        <c:axId val="260405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0419968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6041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040550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6"/>
                <c:pt idx="0">
                  <c:v>-22</c:v>
                </c:pt>
                <c:pt idx="1">
                  <c:v>-18</c:v>
                </c:pt>
                <c:pt idx="2">
                  <c:v>-3</c:v>
                </c:pt>
                <c:pt idx="3">
                  <c:v>-17</c:v>
                </c:pt>
                <c:pt idx="4">
                  <c:v>-10</c:v>
                </c:pt>
                <c:pt idx="5">
                  <c:v>-18</c:v>
                </c:pt>
                <c:pt idx="6">
                  <c:v>-11</c:v>
                </c:pt>
                <c:pt idx="7">
                  <c:v>-15</c:v>
                </c:pt>
                <c:pt idx="8">
                  <c:v>-13</c:v>
                </c:pt>
                <c:pt idx="9">
                  <c:v>-1</c:v>
                </c:pt>
                <c:pt idx="10">
                  <c:v>-13</c:v>
                </c:pt>
                <c:pt idx="11">
                  <c:v>-4</c:v>
                </c:pt>
                <c:pt idx="12">
                  <c:v>-15</c:v>
                </c:pt>
                <c:pt idx="13">
                  <c:v>-22</c:v>
                </c:pt>
                <c:pt idx="14">
                  <c:v>-3</c:v>
                </c:pt>
                <c:pt idx="15">
                  <c:v>-19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6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6"/>
                <c:pt idx="0">
                  <c:v>14</c:v>
                </c:pt>
                <c:pt idx="1">
                  <c:v>19</c:v>
                </c:pt>
                <c:pt idx="2">
                  <c:v>36</c:v>
                </c:pt>
                <c:pt idx="3">
                  <c:v>9</c:v>
                </c:pt>
                <c:pt idx="4">
                  <c:v>24</c:v>
                </c:pt>
                <c:pt idx="5">
                  <c:v>18</c:v>
                </c:pt>
                <c:pt idx="6">
                  <c:v>18</c:v>
                </c:pt>
                <c:pt idx="7">
                  <c:v>13</c:v>
                </c:pt>
                <c:pt idx="8">
                  <c:v>33</c:v>
                </c:pt>
                <c:pt idx="9">
                  <c:v>28</c:v>
                </c:pt>
                <c:pt idx="10">
                  <c:v>10</c:v>
                </c:pt>
                <c:pt idx="11">
                  <c:v>19</c:v>
                </c:pt>
                <c:pt idx="12">
                  <c:v>22</c:v>
                </c:pt>
                <c:pt idx="13">
                  <c:v>40</c:v>
                </c:pt>
                <c:pt idx="14">
                  <c:v>26</c:v>
                </c:pt>
                <c:pt idx="15">
                  <c:v>22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6"/>
                <c:pt idx="0">
                  <c:v>13</c:v>
                </c:pt>
                <c:pt idx="1">
                  <c:v>15</c:v>
                </c:pt>
                <c:pt idx="2">
                  <c:v>26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6</c:v>
                </c:pt>
                <c:pt idx="7">
                  <c:v>3</c:v>
                </c:pt>
                <c:pt idx="8">
                  <c:v>7</c:v>
                </c:pt>
                <c:pt idx="9">
                  <c:v>13</c:v>
                </c:pt>
                <c:pt idx="10">
                  <c:v>2</c:v>
                </c:pt>
                <c:pt idx="11">
                  <c:v>30</c:v>
                </c:pt>
                <c:pt idx="12">
                  <c:v>7</c:v>
                </c:pt>
                <c:pt idx="13">
                  <c:v>4</c:v>
                </c:pt>
                <c:pt idx="14">
                  <c:v>13</c:v>
                </c:pt>
                <c:pt idx="1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1133824"/>
        <c:axId val="281135360"/>
      </c:barChart>
      <c:catAx>
        <c:axId val="28113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1135360"/>
        <c:crosses val="autoZero"/>
        <c:auto val="1"/>
        <c:lblAlgn val="ctr"/>
        <c:lblOffset val="100"/>
        <c:tickLblSkip val="1"/>
        <c:noMultiLvlLbl val="0"/>
      </c:catAx>
      <c:valAx>
        <c:axId val="2811353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11338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6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6"/>
                <c:pt idx="0">
                  <c:v>0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9</c:v>
                </c:pt>
                <c:pt idx="7">
                  <c:v>4</c:v>
                </c:pt>
                <c:pt idx="8">
                  <c:v>4</c:v>
                </c:pt>
                <c:pt idx="9">
                  <c:v>9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6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4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</c:v>
                </c:pt>
                <c:pt idx="11">
                  <c:v>8</c:v>
                </c:pt>
                <c:pt idx="12">
                  <c:v>4</c:v>
                </c:pt>
                <c:pt idx="13">
                  <c:v>3</c:v>
                </c:pt>
                <c:pt idx="14">
                  <c:v>7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1172608"/>
        <c:axId val="281190784"/>
      </c:barChart>
      <c:catAx>
        <c:axId val="2811726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1190784"/>
        <c:crosses val="autoZero"/>
        <c:auto val="1"/>
        <c:lblAlgn val="ctr"/>
        <c:lblOffset val="100"/>
        <c:tickLblSkip val="1"/>
        <c:noMultiLvlLbl val="0"/>
      </c:catAx>
      <c:valAx>
        <c:axId val="2811907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11726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0.26190476190476192</c:v>
                </c:pt>
                <c:pt idx="2">
                  <c:v>0.38095238095238093</c:v>
                </c:pt>
                <c:pt idx="3">
                  <c:v>0.21428571428571427</c:v>
                </c:pt>
                <c:pt idx="4">
                  <c:v>0.11904761904761904</c:v>
                </c:pt>
                <c:pt idx="5">
                  <c:v>0</c:v>
                </c:pt>
                <c:pt idx="6">
                  <c:v>2.3809523809523808E-2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0.42857142857142855</c:v>
                </c:pt>
                <c:pt idx="3">
                  <c:v>0</c:v>
                </c:pt>
                <c:pt idx="4">
                  <c:v>0.42857142857142855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105920"/>
        <c:axId val="283120000"/>
      </c:lineChart>
      <c:catAx>
        <c:axId val="2831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3120000"/>
        <c:crosses val="autoZero"/>
        <c:auto val="1"/>
        <c:lblAlgn val="ctr"/>
        <c:lblOffset val="100"/>
        <c:noMultiLvlLbl val="0"/>
      </c:catAx>
      <c:valAx>
        <c:axId val="2831200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31059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2.4390243902439025E-2</c:v>
                </c:pt>
                <c:pt idx="1">
                  <c:v>0.26829268292682928</c:v>
                </c:pt>
                <c:pt idx="2">
                  <c:v>0.41463414634146339</c:v>
                </c:pt>
                <c:pt idx="3">
                  <c:v>0.12195121951219512</c:v>
                </c:pt>
                <c:pt idx="4">
                  <c:v>7.3170731707317069E-2</c:v>
                </c:pt>
                <c:pt idx="5">
                  <c:v>9.7560975609756101E-2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0.5714285714285714</c:v>
                </c:pt>
                <c:pt idx="3">
                  <c:v>0</c:v>
                </c:pt>
                <c:pt idx="4">
                  <c:v>0.14285714285714285</c:v>
                </c:pt>
                <c:pt idx="5">
                  <c:v>0</c:v>
                </c:pt>
                <c:pt idx="6">
                  <c:v>0.2857142857142857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145344"/>
        <c:axId val="283146880"/>
      </c:lineChart>
      <c:catAx>
        <c:axId val="2831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3146880"/>
        <c:crosses val="autoZero"/>
        <c:auto val="1"/>
        <c:lblAlgn val="ctr"/>
        <c:lblOffset val="100"/>
        <c:noMultiLvlLbl val="0"/>
      </c:catAx>
      <c:valAx>
        <c:axId val="2831468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31453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454848"/>
        <c:axId val="283464832"/>
      </c:lineChart>
      <c:catAx>
        <c:axId val="2834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3464832"/>
        <c:crosses val="autoZero"/>
        <c:auto val="1"/>
        <c:lblAlgn val="ctr"/>
        <c:lblOffset val="100"/>
        <c:noMultiLvlLbl val="0"/>
      </c:catAx>
      <c:valAx>
        <c:axId val="28346483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34548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142874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29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209550</xdr:colOff>
      <xdr:row>19</xdr:row>
      <xdr:rowOff>38100</xdr:rowOff>
    </xdr:from>
    <xdr:to>
      <xdr:col>37</xdr:col>
      <xdr:colOff>152401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29</xdr:col>
      <xdr:colOff>209550</xdr:colOff>
      <xdr:row>27</xdr:row>
      <xdr:rowOff>19050</xdr:rowOff>
    </xdr:from>
    <xdr:to>
      <xdr:col>37</xdr:col>
      <xdr:colOff>152401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257175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31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323850</xdr:colOff>
      <xdr:row>9</xdr:row>
      <xdr:rowOff>171450</xdr:rowOff>
    </xdr:from>
    <xdr:to>
      <xdr:col>32</xdr:col>
      <xdr:colOff>257175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619125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619125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619125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619125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619125</xdr:colOff>
      <xdr:row>46</xdr:row>
      <xdr:rowOff>76199</xdr:rowOff>
    </xdr:to>
    <xdr:graphicFrame macro="">
      <xdr:nvGraphicFramePr>
        <xdr:cNvPr id="18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619125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Michal Kúdela vs. Avg. Danica Pajtak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60450</xdr:colOff>
      <xdr:row>0</xdr:row>
      <xdr:rowOff>29755</xdr:rowOff>
    </xdr:from>
    <xdr:to>
      <xdr:col>20</xdr:col>
      <xdr:colOff>895350</xdr:colOff>
      <xdr:row>14</xdr:row>
      <xdr:rowOff>177150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" t="9099" r="22674" b="1874"/>
        <a:stretch/>
      </xdr:blipFill>
      <xdr:spPr>
        <a:xfrm>
          <a:off x="7070850" y="29755"/>
          <a:ext cx="4244850" cy="344304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211</v>
      </c>
    </row>
    <row r="2" spans="1:27" ht="3" customHeight="1" thickBot="1" x14ac:dyDescent="0.3">
      <c r="AA2" s="245" t="s">
        <v>164</v>
      </c>
    </row>
    <row r="3" spans="1:27" ht="27.75" customHeight="1" thickBot="1" x14ac:dyDescent="0.3">
      <c r="A3" s="395" t="str">
        <f>Parameter!B28 &amp; "   "&amp;Parameter!B29</f>
        <v>Iron City Ice Crush 2017   (Eisenstadt / 18.02.2017)</v>
      </c>
      <c r="B3" s="396"/>
      <c r="C3" s="396"/>
      <c r="D3" s="396"/>
      <c r="E3" s="396"/>
      <c r="F3" s="396"/>
      <c r="G3" s="396"/>
      <c r="H3" s="396"/>
      <c r="I3" s="396"/>
      <c r="J3" s="396"/>
      <c r="K3" s="397"/>
      <c r="AA3" s="245" t="s">
        <v>166</v>
      </c>
    </row>
    <row r="4" spans="1:27" x14ac:dyDescent="0.25">
      <c r="A4" s="245" t="s">
        <v>212</v>
      </c>
      <c r="B4" s="388" t="s">
        <v>789</v>
      </c>
      <c r="AA4" s="245" t="s">
        <v>167</v>
      </c>
    </row>
    <row r="5" spans="1:27" ht="15" customHeight="1" x14ac:dyDescent="0.25">
      <c r="B5" s="375" t="s">
        <v>639</v>
      </c>
    </row>
    <row r="6" spans="1:27" ht="23.25" x14ac:dyDescent="0.35">
      <c r="A6" s="244" t="s">
        <v>163</v>
      </c>
    </row>
    <row r="7" spans="1:27" ht="15" customHeight="1" thickBot="1" x14ac:dyDescent="0.3">
      <c r="A7" s="245" t="s">
        <v>223</v>
      </c>
      <c r="AA7" s="245" t="s">
        <v>164</v>
      </c>
    </row>
    <row r="8" spans="1:27" ht="15" customHeight="1" thickBot="1" x14ac:dyDescent="0.3">
      <c r="A8" s="245" t="s">
        <v>165</v>
      </c>
      <c r="D8" s="246"/>
      <c r="AA8" s="245" t="s">
        <v>166</v>
      </c>
    </row>
    <row r="9" spans="1:27" x14ac:dyDescent="0.25">
      <c r="A9" s="245" t="s">
        <v>181</v>
      </c>
      <c r="AA9" s="245" t="s">
        <v>167</v>
      </c>
    </row>
    <row r="11" spans="1:27" ht="23.25" x14ac:dyDescent="0.35">
      <c r="A11" s="244" t="s">
        <v>168</v>
      </c>
    </row>
    <row r="12" spans="1:27" x14ac:dyDescent="0.25">
      <c r="A12" s="245" t="s">
        <v>190</v>
      </c>
    </row>
    <row r="13" spans="1:27" x14ac:dyDescent="0.25">
      <c r="A13" s="245" t="s">
        <v>213</v>
      </c>
      <c r="J13" s="247" t="s">
        <v>180</v>
      </c>
    </row>
    <row r="14" spans="1:27" ht="9.75" customHeight="1" x14ac:dyDescent="0.25"/>
    <row r="15" spans="1:27" ht="46.5" x14ac:dyDescent="0.7">
      <c r="A15" s="398" t="s">
        <v>169</v>
      </c>
      <c r="B15" s="398"/>
      <c r="C15" s="398"/>
      <c r="D15" s="398"/>
      <c r="E15" s="278" t="s">
        <v>170</v>
      </c>
      <c r="I15" s="401" t="s">
        <v>385</v>
      </c>
      <c r="J15" s="401"/>
      <c r="K15" s="401"/>
      <c r="L15" s="401"/>
      <c r="M15" s="401"/>
      <c r="N15" s="401"/>
      <c r="O15" s="401"/>
      <c r="P15" s="401"/>
    </row>
    <row r="16" spans="1:27" x14ac:dyDescent="0.25">
      <c r="A16" s="281" t="s">
        <v>171</v>
      </c>
      <c r="B16" s="281"/>
      <c r="C16" s="281"/>
      <c r="D16" s="281"/>
      <c r="E16" s="281"/>
      <c r="I16" s="402" t="str">
        <f>B4</f>
        <v>Danica Pajtak won the tournament against Irmgard Derschmidt because of "closing to the pin" on extra hole (2nd hole in playoff)</v>
      </c>
      <c r="J16" s="402"/>
      <c r="K16" s="402"/>
      <c r="L16" s="402"/>
      <c r="M16" s="402"/>
      <c r="N16" s="402"/>
      <c r="O16" s="402"/>
      <c r="P16" s="402"/>
    </row>
    <row r="17" spans="1:16" x14ac:dyDescent="0.25">
      <c r="A17" s="245" t="s">
        <v>172</v>
      </c>
      <c r="B17" s="279" t="s">
        <v>173</v>
      </c>
      <c r="I17" s="402"/>
      <c r="J17" s="402"/>
      <c r="K17" s="402"/>
      <c r="L17" s="402"/>
      <c r="M17" s="402"/>
      <c r="N17" s="402"/>
      <c r="O17" s="402"/>
      <c r="P17" s="402"/>
    </row>
    <row r="18" spans="1:16" x14ac:dyDescent="0.25">
      <c r="A18" s="245" t="s">
        <v>174</v>
      </c>
      <c r="B18" s="279" t="s">
        <v>13</v>
      </c>
      <c r="I18" s="402" t="str">
        <f>B5</f>
        <v>Consider ratings with caution / Skill-O-Meter-Rating is out of date</v>
      </c>
      <c r="J18" s="402"/>
      <c r="K18" s="402"/>
      <c r="L18" s="402"/>
      <c r="M18" s="402"/>
      <c r="N18" s="402"/>
      <c r="O18" s="402"/>
      <c r="P18" s="402"/>
    </row>
    <row r="19" spans="1:16" x14ac:dyDescent="0.25">
      <c r="A19" s="245" t="s">
        <v>175</v>
      </c>
      <c r="B19" s="279" t="s">
        <v>15</v>
      </c>
      <c r="I19" s="402"/>
      <c r="J19" s="402"/>
      <c r="K19" s="402"/>
      <c r="L19" s="402"/>
      <c r="M19" s="402"/>
      <c r="N19" s="402"/>
      <c r="O19" s="402"/>
      <c r="P19" s="402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99" t="s">
        <v>176</v>
      </c>
      <c r="B21" s="399"/>
      <c r="C21" s="399"/>
      <c r="D21" s="399"/>
      <c r="E21" s="399"/>
    </row>
    <row r="25" spans="1:16" ht="12.75" customHeight="1" x14ac:dyDescent="0.25"/>
    <row r="26" spans="1:16" ht="12.75" customHeight="1" x14ac:dyDescent="0.25">
      <c r="A26" s="400" t="s">
        <v>177</v>
      </c>
      <c r="B26" s="400"/>
      <c r="C26" s="400"/>
      <c r="D26" s="400"/>
    </row>
    <row r="27" spans="1:16" ht="9" customHeight="1" x14ac:dyDescent="0.25"/>
    <row r="28" spans="1:16" x14ac:dyDescent="0.25">
      <c r="A28" s="245" t="s">
        <v>191</v>
      </c>
    </row>
    <row r="29" spans="1:16" x14ac:dyDescent="0.25">
      <c r="A29" s="245" t="s">
        <v>178</v>
      </c>
      <c r="F29" s="280" t="s">
        <v>179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O1" workbookViewId="0">
      <pane ySplit="1" topLeftCell="A88" activePane="bottomLeft" state="frozen"/>
      <selection pane="bottomLeft" activeCell="FG93" sqref="FG93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3" t="s">
        <v>495</v>
      </c>
      <c r="B1" s="374" t="s">
        <v>45</v>
      </c>
      <c r="C1" s="374" t="s">
        <v>74</v>
      </c>
      <c r="D1" s="372" t="s">
        <v>42</v>
      </c>
      <c r="E1" s="372" t="s">
        <v>44</v>
      </c>
      <c r="F1" s="372" t="s">
        <v>25</v>
      </c>
      <c r="G1" s="372" t="s">
        <v>43</v>
      </c>
      <c r="H1" s="283" t="s">
        <v>224</v>
      </c>
      <c r="I1" s="283" t="s">
        <v>225</v>
      </c>
      <c r="J1" s="282" t="s">
        <v>26</v>
      </c>
      <c r="K1" s="282" t="s">
        <v>27</v>
      </c>
      <c r="L1" s="282" t="s">
        <v>28</v>
      </c>
      <c r="M1" s="282" t="s">
        <v>29</v>
      </c>
      <c r="N1" s="282" t="s">
        <v>30</v>
      </c>
      <c r="O1" s="347" t="s">
        <v>441</v>
      </c>
      <c r="P1" s="347" t="s">
        <v>440</v>
      </c>
      <c r="Q1" s="347" t="s">
        <v>444</v>
      </c>
      <c r="R1" s="348" t="s">
        <v>446</v>
      </c>
      <c r="S1" s="336" t="s">
        <v>372</v>
      </c>
      <c r="T1" s="282" t="s">
        <v>214</v>
      </c>
      <c r="U1" s="336" t="s">
        <v>371</v>
      </c>
      <c r="V1" s="282" t="s">
        <v>215</v>
      </c>
      <c r="W1" s="336" t="s">
        <v>370</v>
      </c>
      <c r="X1" s="282" t="s">
        <v>216</v>
      </c>
      <c r="Y1" s="283" t="s">
        <v>226</v>
      </c>
      <c r="Z1" s="283" t="s">
        <v>227</v>
      </c>
      <c r="AA1" s="283" t="s">
        <v>228</v>
      </c>
      <c r="AB1" s="283" t="s">
        <v>229</v>
      </c>
      <c r="AC1" s="283" t="s">
        <v>230</v>
      </c>
      <c r="AD1" s="283" t="s">
        <v>231</v>
      </c>
      <c r="AE1" s="283" t="s">
        <v>232</v>
      </c>
      <c r="AF1" s="283" t="s">
        <v>233</v>
      </c>
      <c r="AG1" s="346" t="s">
        <v>439</v>
      </c>
      <c r="AH1" s="347" t="s">
        <v>438</v>
      </c>
      <c r="AI1" s="347" t="s">
        <v>442</v>
      </c>
      <c r="AJ1" s="347" t="s">
        <v>443</v>
      </c>
      <c r="AK1" s="348" t="s">
        <v>447</v>
      </c>
      <c r="AL1" s="283" t="s">
        <v>307</v>
      </c>
      <c r="AM1" s="282" t="s">
        <v>217</v>
      </c>
      <c r="AN1" s="326" t="s">
        <v>314</v>
      </c>
      <c r="AO1" s="326" t="s">
        <v>315</v>
      </c>
      <c r="AP1" s="283" t="s">
        <v>109</v>
      </c>
      <c r="AQ1" s="64" t="s">
        <v>896</v>
      </c>
      <c r="AR1" s="64" t="s">
        <v>897</v>
      </c>
      <c r="AS1" s="64" t="s">
        <v>898</v>
      </c>
      <c r="AT1" s="64" t="s">
        <v>899</v>
      </c>
      <c r="AU1" s="64" t="s">
        <v>900</v>
      </c>
      <c r="AV1" s="64" t="s">
        <v>901</v>
      </c>
      <c r="AW1" s="64" t="s">
        <v>902</v>
      </c>
      <c r="AX1" s="64" t="s">
        <v>903</v>
      </c>
      <c r="AY1" s="64" t="s">
        <v>904</v>
      </c>
      <c r="AZ1" s="64" t="s">
        <v>905</v>
      </c>
      <c r="BA1" s="64" t="s">
        <v>906</v>
      </c>
      <c r="BB1" s="64" t="s">
        <v>907</v>
      </c>
      <c r="BC1" s="64" t="s">
        <v>908</v>
      </c>
      <c r="BD1" s="64" t="s">
        <v>909</v>
      </c>
      <c r="BE1" s="64" t="s">
        <v>910</v>
      </c>
      <c r="BF1" s="64" t="s">
        <v>911</v>
      </c>
      <c r="BG1" s="64" t="s">
        <v>912</v>
      </c>
      <c r="BH1" s="64" t="s">
        <v>913</v>
      </c>
      <c r="BI1" s="64" t="s">
        <v>914</v>
      </c>
      <c r="BJ1" s="64" t="s">
        <v>915</v>
      </c>
      <c r="BK1" s="64" t="s">
        <v>916</v>
      </c>
      <c r="BL1" s="64" t="s">
        <v>917</v>
      </c>
      <c r="BM1" s="64" t="s">
        <v>918</v>
      </c>
      <c r="BN1" s="64" t="s">
        <v>919</v>
      </c>
      <c r="BO1" s="64" t="s">
        <v>920</v>
      </c>
      <c r="BP1" s="64" t="s">
        <v>921</v>
      </c>
      <c r="BQ1" s="64" t="s">
        <v>922</v>
      </c>
      <c r="BR1" s="64" t="s">
        <v>923</v>
      </c>
      <c r="BS1" s="64" t="s">
        <v>924</v>
      </c>
      <c r="BT1" s="64" t="s">
        <v>925</v>
      </c>
      <c r="BU1" s="64" t="s">
        <v>926</v>
      </c>
      <c r="BV1" s="64" t="s">
        <v>927</v>
      </c>
      <c r="BW1" s="64" t="s">
        <v>928</v>
      </c>
      <c r="BX1" s="64" t="s">
        <v>929</v>
      </c>
      <c r="BY1" s="64" t="s">
        <v>930</v>
      </c>
      <c r="BZ1" s="64" t="s">
        <v>931</v>
      </c>
      <c r="CA1" s="64" t="s">
        <v>932</v>
      </c>
      <c r="CB1" s="64" t="s">
        <v>933</v>
      </c>
      <c r="CC1" s="64" t="s">
        <v>934</v>
      </c>
      <c r="CD1" s="64" t="s">
        <v>935</v>
      </c>
      <c r="CE1" s="64" t="s">
        <v>936</v>
      </c>
      <c r="CF1" s="64" t="s">
        <v>937</v>
      </c>
      <c r="CG1" s="64" t="s">
        <v>938</v>
      </c>
      <c r="CH1" s="64" t="s">
        <v>939</v>
      </c>
      <c r="CI1" s="64" t="s">
        <v>940</v>
      </c>
      <c r="CJ1" s="64" t="s">
        <v>941</v>
      </c>
      <c r="CK1" s="64" t="s">
        <v>942</v>
      </c>
      <c r="CL1" s="64" t="s">
        <v>943</v>
      </c>
      <c r="CM1" s="64" t="s">
        <v>944</v>
      </c>
      <c r="CN1" s="64" t="s">
        <v>945</v>
      </c>
      <c r="CO1" s="64" t="s">
        <v>946</v>
      </c>
      <c r="CP1" s="64" t="s">
        <v>947</v>
      </c>
      <c r="CQ1" s="64" t="s">
        <v>948</v>
      </c>
      <c r="CR1" s="64" t="s">
        <v>949</v>
      </c>
      <c r="CS1" s="64" t="s">
        <v>950</v>
      </c>
      <c r="CT1" s="64" t="s">
        <v>951</v>
      </c>
      <c r="CU1" s="64" t="s">
        <v>952</v>
      </c>
      <c r="CV1" s="64" t="s">
        <v>953</v>
      </c>
      <c r="CW1" s="64" t="s">
        <v>954</v>
      </c>
      <c r="CX1" s="64" t="s">
        <v>955</v>
      </c>
      <c r="CY1" s="64" t="s">
        <v>956</v>
      </c>
      <c r="CZ1" s="64" t="s">
        <v>957</v>
      </c>
      <c r="DA1" s="64" t="s">
        <v>958</v>
      </c>
      <c r="DB1" s="64" t="s">
        <v>959</v>
      </c>
      <c r="DC1" s="64" t="s">
        <v>960</v>
      </c>
      <c r="DD1" s="64" t="s">
        <v>961</v>
      </c>
      <c r="DE1" s="64" t="s">
        <v>962</v>
      </c>
      <c r="DF1" s="64" t="s">
        <v>963</v>
      </c>
      <c r="DG1" s="64" t="s">
        <v>964</v>
      </c>
      <c r="DH1" s="64" t="s">
        <v>965</v>
      </c>
      <c r="DI1" s="64" t="s">
        <v>966</v>
      </c>
      <c r="DJ1" s="64" t="s">
        <v>967</v>
      </c>
      <c r="DK1" s="64" t="s">
        <v>968</v>
      </c>
      <c r="DL1" s="64" t="s">
        <v>969</v>
      </c>
      <c r="DM1" s="64" t="s">
        <v>970</v>
      </c>
      <c r="DN1" s="64" t="s">
        <v>971</v>
      </c>
      <c r="DO1" s="64" t="s">
        <v>972</v>
      </c>
      <c r="DP1" s="64" t="s">
        <v>973</v>
      </c>
      <c r="DQ1" s="64" t="s">
        <v>974</v>
      </c>
      <c r="DR1" s="64" t="s">
        <v>975</v>
      </c>
      <c r="DS1" s="64" t="s">
        <v>976</v>
      </c>
      <c r="DT1" s="32" t="s">
        <v>60</v>
      </c>
      <c r="DU1" s="32"/>
      <c r="DV1" s="32"/>
      <c r="DY1" s="75" t="s">
        <v>977</v>
      </c>
      <c r="DZ1" s="75" t="s">
        <v>978</v>
      </c>
      <c r="EA1" s="75" t="s">
        <v>979</v>
      </c>
      <c r="EB1" s="75" t="s">
        <v>980</v>
      </c>
      <c r="EC1" s="75" t="s">
        <v>981</v>
      </c>
      <c r="ED1" s="75" t="s">
        <v>982</v>
      </c>
      <c r="EE1" s="75" t="s">
        <v>983</v>
      </c>
      <c r="EF1" s="75" t="s">
        <v>984</v>
      </c>
      <c r="EG1" s="75" t="s">
        <v>985</v>
      </c>
      <c r="EH1" s="75" t="s">
        <v>986</v>
      </c>
      <c r="EI1" s="75" t="s">
        <v>987</v>
      </c>
      <c r="EJ1" s="75" t="s">
        <v>988</v>
      </c>
      <c r="EK1" s="75" t="s">
        <v>989</v>
      </c>
      <c r="EL1" s="75" t="s">
        <v>990</v>
      </c>
      <c r="EM1" s="75" t="s">
        <v>991</v>
      </c>
      <c r="EN1" s="75" t="s">
        <v>992</v>
      </c>
      <c r="EO1" s="75" t="s">
        <v>993</v>
      </c>
      <c r="EP1" s="75" t="s">
        <v>994</v>
      </c>
      <c r="EQ1" s="75" t="s">
        <v>995</v>
      </c>
      <c r="ER1" s="75" t="s">
        <v>996</v>
      </c>
      <c r="ES1" s="75" t="s">
        <v>997</v>
      </c>
      <c r="ET1" s="75" t="s">
        <v>998</v>
      </c>
      <c r="EU1" s="75" t="s">
        <v>999</v>
      </c>
      <c r="EV1" s="75" t="s">
        <v>1000</v>
      </c>
      <c r="EW1" s="75" t="s">
        <v>1001</v>
      </c>
      <c r="EX1" s="75" t="s">
        <v>1002</v>
      </c>
      <c r="EY1" s="75" t="s">
        <v>1003</v>
      </c>
      <c r="EZ1" s="75" t="s">
        <v>1004</v>
      </c>
      <c r="FA1" s="75" t="s">
        <v>1005</v>
      </c>
      <c r="FB1" s="75" t="s">
        <v>1006</v>
      </c>
      <c r="FC1" s="75" t="s">
        <v>1007</v>
      </c>
      <c r="FD1" s="75" t="s">
        <v>1008</v>
      </c>
      <c r="FE1" s="75" t="s">
        <v>1009</v>
      </c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4</v>
      </c>
      <c r="CT2" s="62">
        <v>4</v>
      </c>
      <c r="CU2" s="62">
        <v>4</v>
      </c>
      <c r="CV2" s="62">
        <v>3</v>
      </c>
      <c r="CW2" s="62">
        <v>3</v>
      </c>
      <c r="CX2" s="62">
        <v>5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4</v>
      </c>
      <c r="DE2" s="62">
        <v>4</v>
      </c>
      <c r="DF2" s="62">
        <v>3</v>
      </c>
      <c r="DG2" s="62">
        <v>3</v>
      </c>
      <c r="DH2" s="62">
        <v>3</v>
      </c>
      <c r="DI2" s="62" t="s">
        <v>50</v>
      </c>
      <c r="DJ2" s="62" t="s">
        <v>50</v>
      </c>
      <c r="DK2" s="62" t="s">
        <v>50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21</v>
      </c>
      <c r="DY2" s="76">
        <v>4</v>
      </c>
      <c r="DZ2" s="76">
        <v>4</v>
      </c>
      <c r="EA2" s="76">
        <v>4</v>
      </c>
      <c r="EB2" s="76">
        <v>3</v>
      </c>
      <c r="EC2" s="76">
        <v>3</v>
      </c>
      <c r="ED2" s="76">
        <v>5</v>
      </c>
      <c r="EE2" s="76">
        <v>3</v>
      </c>
      <c r="EF2" s="76">
        <v>3</v>
      </c>
      <c r="EG2" s="76">
        <v>4</v>
      </c>
      <c r="EH2" s="76">
        <v>3</v>
      </c>
      <c r="EI2" s="76">
        <v>3</v>
      </c>
      <c r="EJ2" s="76">
        <v>4</v>
      </c>
      <c r="EK2" s="76">
        <v>4</v>
      </c>
      <c r="EL2" s="76">
        <v>3</v>
      </c>
      <c r="EM2" s="76">
        <v>3</v>
      </c>
      <c r="EN2" s="76">
        <v>3</v>
      </c>
      <c r="EO2" s="76">
        <v>4</v>
      </c>
      <c r="EP2" s="76">
        <v>4</v>
      </c>
      <c r="EQ2" s="76">
        <v>4</v>
      </c>
      <c r="ER2" s="76">
        <v>3</v>
      </c>
      <c r="ES2" s="76">
        <v>3</v>
      </c>
      <c r="ET2" s="76">
        <v>5</v>
      </c>
      <c r="EU2" s="76">
        <v>3</v>
      </c>
      <c r="EV2" s="76">
        <v>3</v>
      </c>
      <c r="EW2" s="76">
        <v>4</v>
      </c>
      <c r="EX2" s="76">
        <v>3</v>
      </c>
      <c r="EY2" s="76">
        <v>3</v>
      </c>
      <c r="EZ2" s="76">
        <v>4</v>
      </c>
      <c r="FA2" s="76">
        <v>4</v>
      </c>
      <c r="FB2" s="76">
        <v>3</v>
      </c>
      <c r="FC2" s="76">
        <v>3</v>
      </c>
      <c r="FD2" s="76">
        <v>3</v>
      </c>
      <c r="FE2" s="76">
        <v>3</v>
      </c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369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0</v>
      </c>
      <c r="EP3" s="76">
        <v>0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>
        <v>1</v>
      </c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40</v>
      </c>
      <c r="CT4" s="62">
        <v>34</v>
      </c>
      <c r="CU4" s="62">
        <v>19</v>
      </c>
      <c r="CV4" s="62">
        <v>60</v>
      </c>
      <c r="CW4" s="62">
        <v>51</v>
      </c>
      <c r="CX4" s="62">
        <v>37</v>
      </c>
      <c r="CY4" s="62">
        <v>51</v>
      </c>
      <c r="CZ4" s="62">
        <v>60</v>
      </c>
      <c r="DA4" s="62">
        <v>34</v>
      </c>
      <c r="DB4" s="62">
        <v>42</v>
      </c>
      <c r="DC4" s="62">
        <v>67</v>
      </c>
      <c r="DD4" s="62">
        <v>32</v>
      </c>
      <c r="DE4" s="62">
        <v>42</v>
      </c>
      <c r="DF4" s="62">
        <v>22</v>
      </c>
      <c r="DG4" s="62">
        <v>43</v>
      </c>
      <c r="DH4" s="62">
        <v>44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19</v>
      </c>
      <c r="DZ4" s="76">
        <v>14</v>
      </c>
      <c r="EA4" s="76">
        <v>7</v>
      </c>
      <c r="EB4" s="76">
        <v>32</v>
      </c>
      <c r="EC4" s="76">
        <v>24</v>
      </c>
      <c r="ED4" s="76">
        <v>19</v>
      </c>
      <c r="EE4" s="76">
        <v>25</v>
      </c>
      <c r="EF4" s="76">
        <v>30</v>
      </c>
      <c r="EG4" s="76">
        <v>17</v>
      </c>
      <c r="EH4" s="76">
        <v>17</v>
      </c>
      <c r="EI4" s="76">
        <v>36</v>
      </c>
      <c r="EJ4" s="76">
        <v>18</v>
      </c>
      <c r="EK4" s="76">
        <v>26</v>
      </c>
      <c r="EL4" s="76">
        <v>13</v>
      </c>
      <c r="EM4" s="76">
        <v>23</v>
      </c>
      <c r="EN4" s="76">
        <v>18</v>
      </c>
      <c r="EO4" s="76">
        <v>21</v>
      </c>
      <c r="EP4" s="76">
        <v>20</v>
      </c>
      <c r="EQ4" s="76">
        <v>12</v>
      </c>
      <c r="ER4" s="76">
        <v>28</v>
      </c>
      <c r="ES4" s="76">
        <v>27</v>
      </c>
      <c r="ET4" s="76">
        <v>18</v>
      </c>
      <c r="EU4" s="76">
        <v>26</v>
      </c>
      <c r="EV4" s="76">
        <v>30</v>
      </c>
      <c r="EW4" s="76">
        <v>17</v>
      </c>
      <c r="EX4" s="76">
        <v>25</v>
      </c>
      <c r="EY4" s="76">
        <v>31</v>
      </c>
      <c r="EZ4" s="76">
        <v>14</v>
      </c>
      <c r="FA4" s="76">
        <v>16</v>
      </c>
      <c r="FB4" s="76">
        <v>9</v>
      </c>
      <c r="FC4" s="76">
        <v>20</v>
      </c>
      <c r="FD4" s="76">
        <v>26</v>
      </c>
      <c r="FE4" s="76">
        <v>0</v>
      </c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218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219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1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1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220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1</v>
      </c>
      <c r="EL7" s="76">
        <v>0</v>
      </c>
      <c r="EM7" s="76">
        <v>0</v>
      </c>
      <c r="EN7" s="76">
        <v>0</v>
      </c>
      <c r="EO7" s="76">
        <v>1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22</v>
      </c>
      <c r="CT8" s="62">
        <v>19</v>
      </c>
      <c r="CU8" s="62">
        <v>3</v>
      </c>
      <c r="CV8" s="62">
        <v>17</v>
      </c>
      <c r="CW8" s="62">
        <v>10</v>
      </c>
      <c r="CX8" s="62">
        <v>18</v>
      </c>
      <c r="CY8" s="62">
        <v>11</v>
      </c>
      <c r="CZ8" s="62">
        <v>16</v>
      </c>
      <c r="DA8" s="62">
        <v>13</v>
      </c>
      <c r="DB8" s="62">
        <v>1</v>
      </c>
      <c r="DC8" s="62">
        <v>14</v>
      </c>
      <c r="DD8" s="62">
        <v>4</v>
      </c>
      <c r="DE8" s="62">
        <v>16</v>
      </c>
      <c r="DF8" s="62">
        <v>23</v>
      </c>
      <c r="DG8" s="62">
        <v>3</v>
      </c>
      <c r="DH8" s="62">
        <v>20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11</v>
      </c>
      <c r="DZ8" s="76">
        <v>14</v>
      </c>
      <c r="EA8" s="76">
        <v>2</v>
      </c>
      <c r="EB8" s="76">
        <v>7</v>
      </c>
      <c r="EC8" s="76">
        <v>5</v>
      </c>
      <c r="ED8" s="76">
        <v>9</v>
      </c>
      <c r="EE8" s="76">
        <v>6</v>
      </c>
      <c r="EF8" s="76">
        <v>9</v>
      </c>
      <c r="EG8" s="76">
        <v>8</v>
      </c>
      <c r="EH8" s="76">
        <v>1</v>
      </c>
      <c r="EI8" s="76">
        <v>8</v>
      </c>
      <c r="EJ8" s="76">
        <v>2</v>
      </c>
      <c r="EK8" s="76">
        <v>7</v>
      </c>
      <c r="EL8" s="76">
        <v>11</v>
      </c>
      <c r="EM8" s="76">
        <v>1</v>
      </c>
      <c r="EN8" s="76">
        <v>12</v>
      </c>
      <c r="EO8" s="76">
        <v>11</v>
      </c>
      <c r="EP8" s="76">
        <v>5</v>
      </c>
      <c r="EQ8" s="76">
        <v>1</v>
      </c>
      <c r="ER8" s="76">
        <v>10</v>
      </c>
      <c r="ES8" s="76">
        <v>5</v>
      </c>
      <c r="ET8" s="76">
        <v>9</v>
      </c>
      <c r="EU8" s="76">
        <v>5</v>
      </c>
      <c r="EV8" s="76">
        <v>7</v>
      </c>
      <c r="EW8" s="76">
        <v>5</v>
      </c>
      <c r="EX8" s="76">
        <v>0</v>
      </c>
      <c r="EY8" s="76">
        <v>6</v>
      </c>
      <c r="EZ8" s="76">
        <v>2</v>
      </c>
      <c r="FA8" s="76">
        <v>9</v>
      </c>
      <c r="FB8" s="76">
        <v>12</v>
      </c>
      <c r="FC8" s="76">
        <v>2</v>
      </c>
      <c r="FD8" s="76">
        <v>8</v>
      </c>
      <c r="FE8" s="76">
        <v>0</v>
      </c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1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1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1</v>
      </c>
      <c r="EL9" s="76">
        <v>0</v>
      </c>
      <c r="EM9" s="76">
        <v>0</v>
      </c>
      <c r="EN9" s="76">
        <v>0</v>
      </c>
      <c r="EO9" s="76">
        <v>1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14</v>
      </c>
      <c r="CT10" s="62">
        <v>25</v>
      </c>
      <c r="CU10" s="62">
        <v>43</v>
      </c>
      <c r="CV10" s="62">
        <v>15</v>
      </c>
      <c r="CW10" s="62">
        <v>29</v>
      </c>
      <c r="CX10" s="62">
        <v>22</v>
      </c>
      <c r="CY10" s="62">
        <v>27</v>
      </c>
      <c r="CZ10" s="62">
        <v>17</v>
      </c>
      <c r="DA10" s="62">
        <v>37</v>
      </c>
      <c r="DB10" s="62">
        <v>37</v>
      </c>
      <c r="DC10" s="62">
        <v>13</v>
      </c>
      <c r="DD10" s="62">
        <v>23</v>
      </c>
      <c r="DE10" s="62">
        <v>27</v>
      </c>
      <c r="DF10" s="62">
        <v>45</v>
      </c>
      <c r="DG10" s="62">
        <v>31</v>
      </c>
      <c r="DH10" s="62">
        <v>30</v>
      </c>
      <c r="DI10" s="62">
        <v>0</v>
      </c>
      <c r="DJ10" s="62">
        <v>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9</v>
      </c>
      <c r="DZ10" s="76">
        <v>13</v>
      </c>
      <c r="EA10" s="76">
        <v>23</v>
      </c>
      <c r="EB10" s="76">
        <v>6</v>
      </c>
      <c r="EC10" s="76">
        <v>17</v>
      </c>
      <c r="ED10" s="76">
        <v>12</v>
      </c>
      <c r="EE10" s="76">
        <v>16</v>
      </c>
      <c r="EF10" s="76">
        <v>7</v>
      </c>
      <c r="EG10" s="76">
        <v>19</v>
      </c>
      <c r="EH10" s="76">
        <v>22</v>
      </c>
      <c r="EI10" s="76">
        <v>5</v>
      </c>
      <c r="EJ10" s="76">
        <v>12</v>
      </c>
      <c r="EK10" s="76">
        <v>10</v>
      </c>
      <c r="EL10" s="76">
        <v>20</v>
      </c>
      <c r="EM10" s="76">
        <v>13</v>
      </c>
      <c r="EN10" s="76">
        <v>16</v>
      </c>
      <c r="EO10" s="76">
        <v>5</v>
      </c>
      <c r="EP10" s="76">
        <v>12</v>
      </c>
      <c r="EQ10" s="76">
        <v>20</v>
      </c>
      <c r="ER10" s="76">
        <v>9</v>
      </c>
      <c r="ES10" s="76">
        <v>12</v>
      </c>
      <c r="ET10" s="76">
        <v>10</v>
      </c>
      <c r="EU10" s="76">
        <v>10</v>
      </c>
      <c r="EV10" s="76">
        <v>10</v>
      </c>
      <c r="EW10" s="76">
        <v>18</v>
      </c>
      <c r="EX10" s="76">
        <v>15</v>
      </c>
      <c r="EY10" s="76">
        <v>8</v>
      </c>
      <c r="EZ10" s="76">
        <v>11</v>
      </c>
      <c r="FA10" s="76">
        <v>17</v>
      </c>
      <c r="FB10" s="76">
        <v>25</v>
      </c>
      <c r="FC10" s="76">
        <v>18</v>
      </c>
      <c r="FD10" s="76">
        <v>14</v>
      </c>
      <c r="FE10" s="76">
        <v>1</v>
      </c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20</v>
      </c>
      <c r="CT11" s="62">
        <v>18</v>
      </c>
      <c r="CU11" s="62">
        <v>32</v>
      </c>
      <c r="CV11" s="62">
        <v>5</v>
      </c>
      <c r="CW11" s="62">
        <v>7</v>
      </c>
      <c r="CX11" s="62">
        <v>19</v>
      </c>
      <c r="CY11" s="62">
        <v>10</v>
      </c>
      <c r="CZ11" s="62">
        <v>4</v>
      </c>
      <c r="DA11" s="62">
        <v>13</v>
      </c>
      <c r="DB11" s="62">
        <v>17</v>
      </c>
      <c r="DC11" s="62">
        <v>3</v>
      </c>
      <c r="DD11" s="62">
        <v>38</v>
      </c>
      <c r="DE11" s="62">
        <v>11</v>
      </c>
      <c r="DF11" s="62">
        <v>7</v>
      </c>
      <c r="DG11" s="62">
        <v>20</v>
      </c>
      <c r="DH11" s="62">
        <v>3</v>
      </c>
      <c r="DI11" s="62">
        <v>0</v>
      </c>
      <c r="DJ11" s="62">
        <v>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10</v>
      </c>
      <c r="DZ11" s="76">
        <v>7</v>
      </c>
      <c r="EA11" s="76">
        <v>17</v>
      </c>
      <c r="EB11" s="76">
        <v>4</v>
      </c>
      <c r="EC11" s="76">
        <v>3</v>
      </c>
      <c r="ED11" s="76">
        <v>9</v>
      </c>
      <c r="EE11" s="76">
        <v>2</v>
      </c>
      <c r="EF11" s="76">
        <v>3</v>
      </c>
      <c r="EG11" s="76">
        <v>5</v>
      </c>
      <c r="EH11" s="76">
        <v>9</v>
      </c>
      <c r="EI11" s="76">
        <v>0</v>
      </c>
      <c r="EJ11" s="76">
        <v>17</v>
      </c>
      <c r="EK11" s="76">
        <v>5</v>
      </c>
      <c r="EL11" s="76">
        <v>5</v>
      </c>
      <c r="EM11" s="76">
        <v>12</v>
      </c>
      <c r="EN11" s="76">
        <v>3</v>
      </c>
      <c r="EO11" s="76">
        <v>10</v>
      </c>
      <c r="EP11" s="76">
        <v>11</v>
      </c>
      <c r="EQ11" s="76">
        <v>15</v>
      </c>
      <c r="ER11" s="76">
        <v>1</v>
      </c>
      <c r="ES11" s="76">
        <v>4</v>
      </c>
      <c r="ET11" s="76">
        <v>10</v>
      </c>
      <c r="EU11" s="76">
        <v>7</v>
      </c>
      <c r="EV11" s="76">
        <v>1</v>
      </c>
      <c r="EW11" s="76">
        <v>8</v>
      </c>
      <c r="EX11" s="76">
        <v>8</v>
      </c>
      <c r="EY11" s="76">
        <v>3</v>
      </c>
      <c r="EZ11" s="76">
        <v>21</v>
      </c>
      <c r="FA11" s="76">
        <v>6</v>
      </c>
      <c r="FB11" s="76">
        <v>2</v>
      </c>
      <c r="FC11" s="76">
        <v>8</v>
      </c>
      <c r="FD11" s="76">
        <v>0</v>
      </c>
      <c r="FE11" s="76">
        <v>1</v>
      </c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12</v>
      </c>
      <c r="CT12" s="62">
        <v>13</v>
      </c>
      <c r="CU12" s="62">
        <v>21</v>
      </c>
      <c r="CV12" s="62">
        <v>5</v>
      </c>
      <c r="CW12" s="62">
        <v>6</v>
      </c>
      <c r="CX12" s="62">
        <v>13</v>
      </c>
      <c r="CY12" s="62">
        <v>9</v>
      </c>
      <c r="CZ12" s="62">
        <v>3</v>
      </c>
      <c r="DA12" s="62">
        <v>8</v>
      </c>
      <c r="DB12" s="62">
        <v>13</v>
      </c>
      <c r="DC12" s="62">
        <v>3</v>
      </c>
      <c r="DD12" s="62">
        <v>19</v>
      </c>
      <c r="DE12" s="62">
        <v>7</v>
      </c>
      <c r="DF12" s="62">
        <v>7</v>
      </c>
      <c r="DG12" s="62">
        <v>15</v>
      </c>
      <c r="DH12" s="62">
        <v>3</v>
      </c>
      <c r="DI12" s="62">
        <v>0</v>
      </c>
      <c r="DJ12" s="62">
        <v>0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98</v>
      </c>
      <c r="DY12" s="76">
        <v>8</v>
      </c>
      <c r="DZ12" s="76">
        <v>4</v>
      </c>
      <c r="EA12" s="76">
        <v>11</v>
      </c>
      <c r="EB12" s="76">
        <v>4</v>
      </c>
      <c r="EC12" s="76">
        <v>2</v>
      </c>
      <c r="ED12" s="76">
        <v>4</v>
      </c>
      <c r="EE12" s="76">
        <v>2</v>
      </c>
      <c r="EF12" s="76">
        <v>2</v>
      </c>
      <c r="EG12" s="76">
        <v>4</v>
      </c>
      <c r="EH12" s="76">
        <v>8</v>
      </c>
      <c r="EI12" s="76">
        <v>0</v>
      </c>
      <c r="EJ12" s="76">
        <v>11</v>
      </c>
      <c r="EK12" s="76">
        <v>3</v>
      </c>
      <c r="EL12" s="76">
        <v>5</v>
      </c>
      <c r="EM12" s="76">
        <v>8</v>
      </c>
      <c r="EN12" s="76">
        <v>3</v>
      </c>
      <c r="EO12" s="76">
        <v>4</v>
      </c>
      <c r="EP12" s="76">
        <v>9</v>
      </c>
      <c r="EQ12" s="76">
        <v>10</v>
      </c>
      <c r="ER12" s="76">
        <v>1</v>
      </c>
      <c r="ES12" s="76">
        <v>4</v>
      </c>
      <c r="ET12" s="76">
        <v>9</v>
      </c>
      <c r="EU12" s="76">
        <v>7</v>
      </c>
      <c r="EV12" s="76">
        <v>1</v>
      </c>
      <c r="EW12" s="76">
        <v>4</v>
      </c>
      <c r="EX12" s="76">
        <v>5</v>
      </c>
      <c r="EY12" s="76">
        <v>3</v>
      </c>
      <c r="EZ12" s="76">
        <v>8</v>
      </c>
      <c r="FA12" s="76">
        <v>4</v>
      </c>
      <c r="FB12" s="76">
        <v>2</v>
      </c>
      <c r="FC12" s="76">
        <v>7</v>
      </c>
      <c r="FD12" s="76">
        <v>0</v>
      </c>
      <c r="FE12" s="76">
        <v>0</v>
      </c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4</v>
      </c>
      <c r="CT13" s="62">
        <v>5</v>
      </c>
      <c r="CU13" s="62">
        <v>7</v>
      </c>
      <c r="CV13" s="62">
        <v>0</v>
      </c>
      <c r="CW13" s="62">
        <v>1</v>
      </c>
      <c r="CX13" s="62">
        <v>4</v>
      </c>
      <c r="CY13" s="62">
        <v>0</v>
      </c>
      <c r="CZ13" s="62">
        <v>1</v>
      </c>
      <c r="DA13" s="62">
        <v>4</v>
      </c>
      <c r="DB13" s="62">
        <v>4</v>
      </c>
      <c r="DC13" s="62">
        <v>0</v>
      </c>
      <c r="DD13" s="62">
        <v>11</v>
      </c>
      <c r="DE13" s="62">
        <v>4</v>
      </c>
      <c r="DF13" s="62">
        <v>0</v>
      </c>
      <c r="DG13" s="62">
        <v>4</v>
      </c>
      <c r="DH13" s="62">
        <v>0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99</v>
      </c>
      <c r="DY13" s="76">
        <v>0</v>
      </c>
      <c r="DZ13" s="76">
        <v>3</v>
      </c>
      <c r="EA13" s="76">
        <v>4</v>
      </c>
      <c r="EB13" s="76">
        <v>0</v>
      </c>
      <c r="EC13" s="76">
        <v>1</v>
      </c>
      <c r="ED13" s="76">
        <v>3</v>
      </c>
      <c r="EE13" s="76">
        <v>0</v>
      </c>
      <c r="EF13" s="76">
        <v>1</v>
      </c>
      <c r="EG13" s="76">
        <v>1</v>
      </c>
      <c r="EH13" s="76">
        <v>1</v>
      </c>
      <c r="EI13" s="76">
        <v>0</v>
      </c>
      <c r="EJ13" s="76">
        <v>6</v>
      </c>
      <c r="EK13" s="76">
        <v>2</v>
      </c>
      <c r="EL13" s="76">
        <v>0</v>
      </c>
      <c r="EM13" s="76">
        <v>3</v>
      </c>
      <c r="EN13" s="76">
        <v>0</v>
      </c>
      <c r="EO13" s="76">
        <v>4</v>
      </c>
      <c r="EP13" s="76">
        <v>2</v>
      </c>
      <c r="EQ13" s="76">
        <v>3</v>
      </c>
      <c r="ER13" s="76">
        <v>0</v>
      </c>
      <c r="ES13" s="76">
        <v>0</v>
      </c>
      <c r="ET13" s="76">
        <v>1</v>
      </c>
      <c r="EU13" s="76">
        <v>0</v>
      </c>
      <c r="EV13" s="76">
        <v>0</v>
      </c>
      <c r="EW13" s="76">
        <v>3</v>
      </c>
      <c r="EX13" s="76">
        <v>3</v>
      </c>
      <c r="EY13" s="76">
        <v>0</v>
      </c>
      <c r="EZ13" s="76">
        <v>5</v>
      </c>
      <c r="FA13" s="76">
        <v>2</v>
      </c>
      <c r="FB13" s="76">
        <v>0</v>
      </c>
      <c r="FC13" s="76">
        <v>1</v>
      </c>
      <c r="FD13" s="76">
        <v>0</v>
      </c>
      <c r="FE13" s="76">
        <v>0</v>
      </c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1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2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821</v>
      </c>
      <c r="DY14" s="76">
        <v>0</v>
      </c>
      <c r="DZ14" s="76">
        <v>0</v>
      </c>
      <c r="EA14" s="76">
        <v>0</v>
      </c>
      <c r="EB14" s="76">
        <v>0</v>
      </c>
      <c r="EC14" s="76">
        <v>1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1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1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1</v>
      </c>
      <c r="CV15" s="62">
        <v>0</v>
      </c>
      <c r="CW15" s="62">
        <v>0</v>
      </c>
      <c r="CX15" s="62">
        <v>1</v>
      </c>
      <c r="CY15" s="62">
        <v>0</v>
      </c>
      <c r="CZ15" s="62">
        <v>0</v>
      </c>
      <c r="DA15" s="62">
        <v>2</v>
      </c>
      <c r="DB15" s="62">
        <v>0</v>
      </c>
      <c r="DC15" s="62">
        <v>0</v>
      </c>
      <c r="DD15" s="62">
        <v>1</v>
      </c>
      <c r="DE15" s="62">
        <v>0</v>
      </c>
      <c r="DF15" s="62">
        <v>0</v>
      </c>
      <c r="DG15" s="62">
        <v>1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848</v>
      </c>
      <c r="DY15" s="76">
        <v>0</v>
      </c>
      <c r="DZ15" s="76">
        <v>0</v>
      </c>
      <c r="EA15" s="76">
        <v>1</v>
      </c>
      <c r="EB15" s="76">
        <v>0</v>
      </c>
      <c r="EC15" s="76">
        <v>0</v>
      </c>
      <c r="ED15" s="76">
        <v>1</v>
      </c>
      <c r="EE15" s="76">
        <v>0</v>
      </c>
      <c r="EF15" s="76">
        <v>0</v>
      </c>
      <c r="EG15" s="76">
        <v>1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1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1</v>
      </c>
      <c r="EX15" s="76">
        <v>0</v>
      </c>
      <c r="EY15" s="76">
        <v>0</v>
      </c>
      <c r="EZ15" s="76">
        <v>1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4</v>
      </c>
      <c r="CT16" s="62">
        <v>0</v>
      </c>
      <c r="CU16" s="62">
        <v>4</v>
      </c>
      <c r="CV16" s="62">
        <v>0</v>
      </c>
      <c r="CW16" s="62">
        <v>0</v>
      </c>
      <c r="CX16" s="62">
        <v>2</v>
      </c>
      <c r="CY16" s="62">
        <v>0</v>
      </c>
      <c r="CZ16" s="62">
        <v>0</v>
      </c>
      <c r="DA16" s="62">
        <v>1</v>
      </c>
      <c r="DB16" s="62">
        <v>0</v>
      </c>
      <c r="DC16" s="62">
        <v>0</v>
      </c>
      <c r="DD16" s="62">
        <v>8</v>
      </c>
      <c r="DE16" s="62">
        <v>0</v>
      </c>
      <c r="DF16" s="62">
        <v>0</v>
      </c>
      <c r="DG16" s="62">
        <v>1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100</v>
      </c>
      <c r="DY16" s="76">
        <v>2</v>
      </c>
      <c r="DZ16" s="76">
        <v>0</v>
      </c>
      <c r="EA16" s="76">
        <v>2</v>
      </c>
      <c r="EB16" s="76">
        <v>0</v>
      </c>
      <c r="EC16" s="76">
        <v>0</v>
      </c>
      <c r="ED16" s="76">
        <v>2</v>
      </c>
      <c r="EE16" s="76">
        <v>0</v>
      </c>
      <c r="EF16" s="76">
        <v>0</v>
      </c>
      <c r="EG16" s="76">
        <v>0</v>
      </c>
      <c r="EH16" s="76">
        <v>0</v>
      </c>
      <c r="EI16" s="76">
        <v>0</v>
      </c>
      <c r="EJ16" s="76">
        <v>0</v>
      </c>
      <c r="EK16" s="76">
        <v>0</v>
      </c>
      <c r="EL16" s="76">
        <v>0</v>
      </c>
      <c r="EM16" s="76">
        <v>1</v>
      </c>
      <c r="EN16" s="76">
        <v>0</v>
      </c>
      <c r="EO16" s="76">
        <v>2</v>
      </c>
      <c r="EP16" s="76">
        <v>0</v>
      </c>
      <c r="EQ16" s="76">
        <v>2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1</v>
      </c>
      <c r="EX16" s="76">
        <v>0</v>
      </c>
      <c r="EY16" s="76">
        <v>0</v>
      </c>
      <c r="EZ16" s="76">
        <v>8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1010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1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857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1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33</v>
      </c>
      <c r="CT19" s="62">
        <v>30</v>
      </c>
      <c r="CU19" s="62">
        <v>18</v>
      </c>
      <c r="CV19" s="62">
        <v>54</v>
      </c>
      <c r="CW19" s="62">
        <v>46</v>
      </c>
      <c r="CX19" s="62">
        <v>35</v>
      </c>
      <c r="CY19" s="62">
        <v>48</v>
      </c>
      <c r="CZ19" s="62">
        <v>52</v>
      </c>
      <c r="DA19" s="62">
        <v>30</v>
      </c>
      <c r="DB19" s="62">
        <v>41</v>
      </c>
      <c r="DC19" s="62">
        <v>58</v>
      </c>
      <c r="DD19" s="62">
        <v>30</v>
      </c>
      <c r="DE19" s="62">
        <v>38</v>
      </c>
      <c r="DF19" s="62">
        <v>17</v>
      </c>
      <c r="DG19" s="62">
        <v>41</v>
      </c>
      <c r="DH19" s="62">
        <v>40</v>
      </c>
      <c r="DI19" s="62">
        <v>0</v>
      </c>
      <c r="DJ19" s="62">
        <v>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85</v>
      </c>
      <c r="DY19" s="76">
        <v>16</v>
      </c>
      <c r="DZ19" s="76">
        <v>12</v>
      </c>
      <c r="EA19" s="76">
        <v>7</v>
      </c>
      <c r="EB19" s="76">
        <v>30</v>
      </c>
      <c r="EC19" s="76">
        <v>22</v>
      </c>
      <c r="ED19" s="76">
        <v>18</v>
      </c>
      <c r="EE19" s="76">
        <v>24</v>
      </c>
      <c r="EF19" s="76">
        <v>26</v>
      </c>
      <c r="EG19" s="76">
        <v>15</v>
      </c>
      <c r="EH19" s="76">
        <v>17</v>
      </c>
      <c r="EI19" s="76">
        <v>31</v>
      </c>
      <c r="EJ19" s="76">
        <v>16</v>
      </c>
      <c r="EK19" s="76">
        <v>24</v>
      </c>
      <c r="EL19" s="76">
        <v>9</v>
      </c>
      <c r="EM19" s="76">
        <v>22</v>
      </c>
      <c r="EN19" s="76">
        <v>17</v>
      </c>
      <c r="EO19" s="76">
        <v>17</v>
      </c>
      <c r="EP19" s="76">
        <v>18</v>
      </c>
      <c r="EQ19" s="76">
        <v>11</v>
      </c>
      <c r="ER19" s="76">
        <v>24</v>
      </c>
      <c r="ES19" s="76">
        <v>24</v>
      </c>
      <c r="ET19" s="76">
        <v>17</v>
      </c>
      <c r="EU19" s="76">
        <v>24</v>
      </c>
      <c r="EV19" s="76">
        <v>26</v>
      </c>
      <c r="EW19" s="76">
        <v>15</v>
      </c>
      <c r="EX19" s="76">
        <v>24</v>
      </c>
      <c r="EY19" s="76">
        <v>27</v>
      </c>
      <c r="EZ19" s="76">
        <v>14</v>
      </c>
      <c r="FA19" s="76">
        <v>14</v>
      </c>
      <c r="FB19" s="76">
        <v>8</v>
      </c>
      <c r="FC19" s="76">
        <v>19</v>
      </c>
      <c r="FD19" s="76">
        <v>23</v>
      </c>
      <c r="FE19" s="76">
        <v>0</v>
      </c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22</v>
      </c>
      <c r="CT20" s="62">
        <v>18</v>
      </c>
      <c r="CU20" s="62">
        <v>3</v>
      </c>
      <c r="CV20" s="62">
        <v>17</v>
      </c>
      <c r="CW20" s="62">
        <v>10</v>
      </c>
      <c r="CX20" s="62">
        <v>18</v>
      </c>
      <c r="CY20" s="62">
        <v>11</v>
      </c>
      <c r="CZ20" s="62">
        <v>15</v>
      </c>
      <c r="DA20" s="62">
        <v>13</v>
      </c>
      <c r="DB20" s="62">
        <v>1</v>
      </c>
      <c r="DC20" s="62">
        <v>13</v>
      </c>
      <c r="DD20" s="62">
        <v>4</v>
      </c>
      <c r="DE20" s="62">
        <v>15</v>
      </c>
      <c r="DF20" s="62">
        <v>22</v>
      </c>
      <c r="DG20" s="62">
        <v>3</v>
      </c>
      <c r="DH20" s="62">
        <v>19</v>
      </c>
      <c r="DI20" s="62">
        <v>0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86</v>
      </c>
      <c r="DY20" s="76">
        <v>11</v>
      </c>
      <c r="DZ20" s="76">
        <v>14</v>
      </c>
      <c r="EA20" s="76">
        <v>2</v>
      </c>
      <c r="EB20" s="76">
        <v>7</v>
      </c>
      <c r="EC20" s="76">
        <v>5</v>
      </c>
      <c r="ED20" s="76">
        <v>9</v>
      </c>
      <c r="EE20" s="76">
        <v>6</v>
      </c>
      <c r="EF20" s="76">
        <v>8</v>
      </c>
      <c r="EG20" s="76">
        <v>8</v>
      </c>
      <c r="EH20" s="76">
        <v>1</v>
      </c>
      <c r="EI20" s="76">
        <v>8</v>
      </c>
      <c r="EJ20" s="76">
        <v>2</v>
      </c>
      <c r="EK20" s="76">
        <v>7</v>
      </c>
      <c r="EL20" s="76">
        <v>11</v>
      </c>
      <c r="EM20" s="76">
        <v>1</v>
      </c>
      <c r="EN20" s="76">
        <v>11</v>
      </c>
      <c r="EO20" s="76">
        <v>11</v>
      </c>
      <c r="EP20" s="76">
        <v>4</v>
      </c>
      <c r="EQ20" s="76">
        <v>1</v>
      </c>
      <c r="ER20" s="76">
        <v>10</v>
      </c>
      <c r="ES20" s="76">
        <v>5</v>
      </c>
      <c r="ET20" s="76">
        <v>9</v>
      </c>
      <c r="EU20" s="76">
        <v>5</v>
      </c>
      <c r="EV20" s="76">
        <v>7</v>
      </c>
      <c r="EW20" s="76">
        <v>5</v>
      </c>
      <c r="EX20" s="76">
        <v>0</v>
      </c>
      <c r="EY20" s="76">
        <v>5</v>
      </c>
      <c r="EZ20" s="76">
        <v>2</v>
      </c>
      <c r="FA20" s="76">
        <v>8</v>
      </c>
      <c r="FB20" s="76">
        <v>11</v>
      </c>
      <c r="FC20" s="76">
        <v>2</v>
      </c>
      <c r="FD20" s="76">
        <v>8</v>
      </c>
      <c r="FE20" s="76">
        <v>0</v>
      </c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1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1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87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1</v>
      </c>
      <c r="EL21" s="76">
        <v>0</v>
      </c>
      <c r="EM21" s="76">
        <v>0</v>
      </c>
      <c r="EN21" s="76">
        <v>0</v>
      </c>
      <c r="EO21" s="76">
        <v>1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14</v>
      </c>
      <c r="CT22" s="62">
        <v>19</v>
      </c>
      <c r="CU22" s="62">
        <v>36</v>
      </c>
      <c r="CV22" s="62">
        <v>9</v>
      </c>
      <c r="CW22" s="62">
        <v>24</v>
      </c>
      <c r="CX22" s="62">
        <v>18</v>
      </c>
      <c r="CY22" s="62">
        <v>18</v>
      </c>
      <c r="CZ22" s="62">
        <v>13</v>
      </c>
      <c r="DA22" s="62">
        <v>33</v>
      </c>
      <c r="DB22" s="62">
        <v>28</v>
      </c>
      <c r="DC22" s="62">
        <v>10</v>
      </c>
      <c r="DD22" s="62">
        <v>19</v>
      </c>
      <c r="DE22" s="62">
        <v>22</v>
      </c>
      <c r="DF22" s="62">
        <v>40</v>
      </c>
      <c r="DG22" s="62">
        <v>26</v>
      </c>
      <c r="DH22" s="62">
        <v>22</v>
      </c>
      <c r="DI22" s="62">
        <v>0</v>
      </c>
      <c r="DJ22" s="62">
        <v>0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88</v>
      </c>
      <c r="DY22" s="76">
        <v>9</v>
      </c>
      <c r="DZ22" s="76">
        <v>9</v>
      </c>
      <c r="EA22" s="76">
        <v>19</v>
      </c>
      <c r="EB22" s="76">
        <v>3</v>
      </c>
      <c r="EC22" s="76">
        <v>14</v>
      </c>
      <c r="ED22" s="76">
        <v>9</v>
      </c>
      <c r="EE22" s="76">
        <v>11</v>
      </c>
      <c r="EF22" s="76">
        <v>6</v>
      </c>
      <c r="EG22" s="76">
        <v>16</v>
      </c>
      <c r="EH22" s="76">
        <v>18</v>
      </c>
      <c r="EI22" s="76">
        <v>3</v>
      </c>
      <c r="EJ22" s="76">
        <v>11</v>
      </c>
      <c r="EK22" s="76">
        <v>7</v>
      </c>
      <c r="EL22" s="76">
        <v>18</v>
      </c>
      <c r="EM22" s="76">
        <v>11</v>
      </c>
      <c r="EN22" s="76">
        <v>12</v>
      </c>
      <c r="EO22" s="76">
        <v>5</v>
      </c>
      <c r="EP22" s="76">
        <v>10</v>
      </c>
      <c r="EQ22" s="76">
        <v>17</v>
      </c>
      <c r="ER22" s="76">
        <v>6</v>
      </c>
      <c r="ES22" s="76">
        <v>10</v>
      </c>
      <c r="ET22" s="76">
        <v>9</v>
      </c>
      <c r="EU22" s="76">
        <v>7</v>
      </c>
      <c r="EV22" s="76">
        <v>7</v>
      </c>
      <c r="EW22" s="76">
        <v>17</v>
      </c>
      <c r="EX22" s="76">
        <v>10</v>
      </c>
      <c r="EY22" s="76">
        <v>7</v>
      </c>
      <c r="EZ22" s="76">
        <v>8</v>
      </c>
      <c r="FA22" s="76">
        <v>15</v>
      </c>
      <c r="FB22" s="76">
        <v>22</v>
      </c>
      <c r="FC22" s="76">
        <v>15</v>
      </c>
      <c r="FD22" s="76">
        <v>10</v>
      </c>
      <c r="FE22" s="76">
        <v>0</v>
      </c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8</v>
      </c>
      <c r="CT23" s="62">
        <v>10</v>
      </c>
      <c r="CU23" s="62">
        <v>18</v>
      </c>
      <c r="CV23" s="62">
        <v>3</v>
      </c>
      <c r="CW23" s="62">
        <v>2</v>
      </c>
      <c r="CX23" s="62">
        <v>7</v>
      </c>
      <c r="CY23" s="62">
        <v>6</v>
      </c>
      <c r="CZ23" s="62">
        <v>2</v>
      </c>
      <c r="DA23" s="62">
        <v>6</v>
      </c>
      <c r="DB23" s="62">
        <v>9</v>
      </c>
      <c r="DC23" s="62">
        <v>2</v>
      </c>
      <c r="DD23" s="62">
        <v>17</v>
      </c>
      <c r="DE23" s="62">
        <v>5</v>
      </c>
      <c r="DF23" s="62">
        <v>4</v>
      </c>
      <c r="DG23" s="62">
        <v>12</v>
      </c>
      <c r="DH23" s="62">
        <v>2</v>
      </c>
      <c r="DI23" s="62">
        <v>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102</v>
      </c>
      <c r="DY23" s="76">
        <v>5</v>
      </c>
      <c r="DZ23" s="76">
        <v>3</v>
      </c>
      <c r="EA23" s="76">
        <v>11</v>
      </c>
      <c r="EB23" s="76">
        <v>2</v>
      </c>
      <c r="EC23" s="76">
        <v>0</v>
      </c>
      <c r="ED23" s="76">
        <v>3</v>
      </c>
      <c r="EE23" s="76">
        <v>1</v>
      </c>
      <c r="EF23" s="76">
        <v>1</v>
      </c>
      <c r="EG23" s="76">
        <v>3</v>
      </c>
      <c r="EH23" s="76">
        <v>5</v>
      </c>
      <c r="EI23" s="76">
        <v>0</v>
      </c>
      <c r="EJ23" s="76">
        <v>9</v>
      </c>
      <c r="EK23" s="76">
        <v>2</v>
      </c>
      <c r="EL23" s="76">
        <v>4</v>
      </c>
      <c r="EM23" s="76">
        <v>7</v>
      </c>
      <c r="EN23" s="76">
        <v>2</v>
      </c>
      <c r="EO23" s="76">
        <v>3</v>
      </c>
      <c r="EP23" s="76">
        <v>7</v>
      </c>
      <c r="EQ23" s="76">
        <v>7</v>
      </c>
      <c r="ER23" s="76">
        <v>1</v>
      </c>
      <c r="ES23" s="76">
        <v>2</v>
      </c>
      <c r="ET23" s="76">
        <v>4</v>
      </c>
      <c r="EU23" s="76">
        <v>5</v>
      </c>
      <c r="EV23" s="76">
        <v>1</v>
      </c>
      <c r="EW23" s="76">
        <v>3</v>
      </c>
      <c r="EX23" s="76">
        <v>4</v>
      </c>
      <c r="EY23" s="76">
        <v>2</v>
      </c>
      <c r="EZ23" s="76">
        <v>8</v>
      </c>
      <c r="FA23" s="76">
        <v>3</v>
      </c>
      <c r="FB23" s="76">
        <v>0</v>
      </c>
      <c r="FC23" s="76">
        <v>5</v>
      </c>
      <c r="FD23" s="76">
        <v>0</v>
      </c>
      <c r="FE23" s="76">
        <v>0</v>
      </c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13</v>
      </c>
      <c r="CT24" s="62">
        <v>15</v>
      </c>
      <c r="CU24" s="62">
        <v>26</v>
      </c>
      <c r="CV24" s="62">
        <v>3</v>
      </c>
      <c r="CW24" s="62">
        <v>3</v>
      </c>
      <c r="CX24" s="62">
        <v>11</v>
      </c>
      <c r="CY24" s="62">
        <v>6</v>
      </c>
      <c r="CZ24" s="62">
        <v>3</v>
      </c>
      <c r="DA24" s="62">
        <v>7</v>
      </c>
      <c r="DB24" s="62">
        <v>13</v>
      </c>
      <c r="DC24" s="62">
        <v>2</v>
      </c>
      <c r="DD24" s="62">
        <v>30</v>
      </c>
      <c r="DE24" s="62">
        <v>7</v>
      </c>
      <c r="DF24" s="62">
        <v>4</v>
      </c>
      <c r="DG24" s="62">
        <v>13</v>
      </c>
      <c r="DH24" s="62">
        <v>2</v>
      </c>
      <c r="DI24" s="62">
        <v>0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89</v>
      </c>
      <c r="DY24" s="76">
        <v>6</v>
      </c>
      <c r="DZ24" s="76">
        <v>6</v>
      </c>
      <c r="EA24" s="76">
        <v>14</v>
      </c>
      <c r="EB24" s="76">
        <v>2</v>
      </c>
      <c r="EC24" s="76">
        <v>1</v>
      </c>
      <c r="ED24" s="76">
        <v>6</v>
      </c>
      <c r="EE24" s="76">
        <v>1</v>
      </c>
      <c r="EF24" s="76">
        <v>2</v>
      </c>
      <c r="EG24" s="76">
        <v>3</v>
      </c>
      <c r="EH24" s="76">
        <v>6</v>
      </c>
      <c r="EI24" s="76">
        <v>0</v>
      </c>
      <c r="EJ24" s="76">
        <v>13</v>
      </c>
      <c r="EK24" s="76">
        <v>3</v>
      </c>
      <c r="EL24" s="76">
        <v>4</v>
      </c>
      <c r="EM24" s="76">
        <v>8</v>
      </c>
      <c r="EN24" s="76">
        <v>2</v>
      </c>
      <c r="EO24" s="76">
        <v>7</v>
      </c>
      <c r="EP24" s="76">
        <v>9</v>
      </c>
      <c r="EQ24" s="76">
        <v>12</v>
      </c>
      <c r="ER24" s="76">
        <v>1</v>
      </c>
      <c r="ES24" s="76">
        <v>2</v>
      </c>
      <c r="ET24" s="76">
        <v>5</v>
      </c>
      <c r="EU24" s="76">
        <v>5</v>
      </c>
      <c r="EV24" s="76">
        <v>1</v>
      </c>
      <c r="EW24" s="76">
        <v>4</v>
      </c>
      <c r="EX24" s="76">
        <v>7</v>
      </c>
      <c r="EY24" s="76">
        <v>2</v>
      </c>
      <c r="EZ24" s="76">
        <v>17</v>
      </c>
      <c r="FA24" s="76">
        <v>4</v>
      </c>
      <c r="FB24" s="76">
        <v>0</v>
      </c>
      <c r="FC24" s="76">
        <v>5</v>
      </c>
      <c r="FD24" s="76">
        <v>0</v>
      </c>
      <c r="FE24" s="76">
        <v>0</v>
      </c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4</v>
      </c>
      <c r="CT25" s="62">
        <v>5</v>
      </c>
      <c r="CU25" s="62">
        <v>5</v>
      </c>
      <c r="CV25" s="62">
        <v>0</v>
      </c>
      <c r="CW25" s="62">
        <v>1</v>
      </c>
      <c r="CX25" s="62">
        <v>3</v>
      </c>
      <c r="CY25" s="62">
        <v>0</v>
      </c>
      <c r="CZ25" s="62">
        <v>1</v>
      </c>
      <c r="DA25" s="62">
        <v>1</v>
      </c>
      <c r="DB25" s="62">
        <v>4</v>
      </c>
      <c r="DC25" s="62">
        <v>0</v>
      </c>
      <c r="DD25" s="62">
        <v>8</v>
      </c>
      <c r="DE25" s="62">
        <v>2</v>
      </c>
      <c r="DF25" s="62">
        <v>0</v>
      </c>
      <c r="DG25" s="62">
        <v>0</v>
      </c>
      <c r="DH25" s="62">
        <v>0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101</v>
      </c>
      <c r="DY25" s="76">
        <v>0</v>
      </c>
      <c r="DZ25" s="76">
        <v>3</v>
      </c>
      <c r="EA25" s="76">
        <v>2</v>
      </c>
      <c r="EB25" s="76">
        <v>0</v>
      </c>
      <c r="EC25" s="76">
        <v>1</v>
      </c>
      <c r="ED25" s="76">
        <v>2</v>
      </c>
      <c r="EE25" s="76">
        <v>0</v>
      </c>
      <c r="EF25" s="76">
        <v>1</v>
      </c>
      <c r="EG25" s="76">
        <v>0</v>
      </c>
      <c r="EH25" s="76">
        <v>1</v>
      </c>
      <c r="EI25" s="76">
        <v>0</v>
      </c>
      <c r="EJ25" s="76">
        <v>4</v>
      </c>
      <c r="EK25" s="76">
        <v>1</v>
      </c>
      <c r="EL25" s="76">
        <v>0</v>
      </c>
      <c r="EM25" s="76">
        <v>0</v>
      </c>
      <c r="EN25" s="76">
        <v>0</v>
      </c>
      <c r="EO25" s="76">
        <v>4</v>
      </c>
      <c r="EP25" s="76">
        <v>2</v>
      </c>
      <c r="EQ25" s="76">
        <v>3</v>
      </c>
      <c r="ER25" s="76">
        <v>0</v>
      </c>
      <c r="ES25" s="76">
        <v>0</v>
      </c>
      <c r="ET25" s="76">
        <v>1</v>
      </c>
      <c r="EU25" s="76">
        <v>0</v>
      </c>
      <c r="EV25" s="76">
        <v>0</v>
      </c>
      <c r="EW25" s="76">
        <v>1</v>
      </c>
      <c r="EX25" s="76">
        <v>3</v>
      </c>
      <c r="EY25" s="76">
        <v>0</v>
      </c>
      <c r="EZ25" s="76">
        <v>4</v>
      </c>
      <c r="FA25" s="76">
        <v>1</v>
      </c>
      <c r="FB25" s="76">
        <v>0</v>
      </c>
      <c r="FC25" s="76">
        <v>0</v>
      </c>
      <c r="FD25" s="76">
        <v>0</v>
      </c>
      <c r="FE25" s="76">
        <v>0</v>
      </c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1</v>
      </c>
      <c r="CT26" s="62">
        <v>0</v>
      </c>
      <c r="CU26" s="62">
        <v>3</v>
      </c>
      <c r="CV26" s="62">
        <v>0</v>
      </c>
      <c r="CW26" s="62">
        <v>0</v>
      </c>
      <c r="CX26" s="62">
        <v>1</v>
      </c>
      <c r="CY26" s="62">
        <v>0</v>
      </c>
      <c r="CZ26" s="62">
        <v>0</v>
      </c>
      <c r="DA26" s="62">
        <v>0</v>
      </c>
      <c r="DB26" s="62">
        <v>0</v>
      </c>
      <c r="DC26" s="62">
        <v>0</v>
      </c>
      <c r="DD26" s="62">
        <v>5</v>
      </c>
      <c r="DE26" s="62">
        <v>0</v>
      </c>
      <c r="DF26" s="62">
        <v>0</v>
      </c>
      <c r="DG26" s="62">
        <v>1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103</v>
      </c>
      <c r="DY26" s="76">
        <v>1</v>
      </c>
      <c r="DZ26" s="76">
        <v>0</v>
      </c>
      <c r="EA26" s="76">
        <v>1</v>
      </c>
      <c r="EB26" s="76">
        <v>0</v>
      </c>
      <c r="EC26" s="76">
        <v>0</v>
      </c>
      <c r="ED26" s="76">
        <v>1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1</v>
      </c>
      <c r="EN26" s="76">
        <v>0</v>
      </c>
      <c r="EO26" s="76">
        <v>0</v>
      </c>
      <c r="EP26" s="76">
        <v>0</v>
      </c>
      <c r="EQ26" s="76">
        <v>2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5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7</v>
      </c>
      <c r="CT27" s="62">
        <v>4</v>
      </c>
      <c r="CU27" s="62">
        <v>1</v>
      </c>
      <c r="CV27" s="62">
        <v>6</v>
      </c>
      <c r="CW27" s="62">
        <v>5</v>
      </c>
      <c r="CX27" s="62">
        <v>2</v>
      </c>
      <c r="CY27" s="62">
        <v>3</v>
      </c>
      <c r="CZ27" s="62">
        <v>8</v>
      </c>
      <c r="DA27" s="62">
        <v>4</v>
      </c>
      <c r="DB27" s="62">
        <v>1</v>
      </c>
      <c r="DC27" s="62">
        <v>9</v>
      </c>
      <c r="DD27" s="62">
        <v>2</v>
      </c>
      <c r="DE27" s="62">
        <v>4</v>
      </c>
      <c r="DF27" s="62">
        <v>5</v>
      </c>
      <c r="DG27" s="62">
        <v>2</v>
      </c>
      <c r="DH27" s="62">
        <v>4</v>
      </c>
      <c r="DI27" s="62">
        <v>0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90</v>
      </c>
      <c r="DY27" s="76">
        <v>3</v>
      </c>
      <c r="DZ27" s="76">
        <v>2</v>
      </c>
      <c r="EA27" s="76">
        <v>0</v>
      </c>
      <c r="EB27" s="76">
        <v>2</v>
      </c>
      <c r="EC27" s="76">
        <v>2</v>
      </c>
      <c r="ED27" s="76">
        <v>1</v>
      </c>
      <c r="EE27" s="76">
        <v>1</v>
      </c>
      <c r="EF27" s="76">
        <v>4</v>
      </c>
      <c r="EG27" s="76">
        <v>2</v>
      </c>
      <c r="EH27" s="76">
        <v>0</v>
      </c>
      <c r="EI27" s="76">
        <v>5</v>
      </c>
      <c r="EJ27" s="76">
        <v>2</v>
      </c>
      <c r="EK27" s="76">
        <v>2</v>
      </c>
      <c r="EL27" s="76">
        <v>4</v>
      </c>
      <c r="EM27" s="76">
        <v>1</v>
      </c>
      <c r="EN27" s="76">
        <v>1</v>
      </c>
      <c r="EO27" s="76">
        <v>4</v>
      </c>
      <c r="EP27" s="76">
        <v>2</v>
      </c>
      <c r="EQ27" s="76">
        <v>1</v>
      </c>
      <c r="ER27" s="76">
        <v>4</v>
      </c>
      <c r="ES27" s="76">
        <v>3</v>
      </c>
      <c r="ET27" s="76">
        <v>1</v>
      </c>
      <c r="EU27" s="76">
        <v>2</v>
      </c>
      <c r="EV27" s="76">
        <v>4</v>
      </c>
      <c r="EW27" s="76">
        <v>2</v>
      </c>
      <c r="EX27" s="76">
        <v>1</v>
      </c>
      <c r="EY27" s="76">
        <v>4</v>
      </c>
      <c r="EZ27" s="76">
        <v>0</v>
      </c>
      <c r="FA27" s="76">
        <v>2</v>
      </c>
      <c r="FB27" s="76">
        <v>1</v>
      </c>
      <c r="FC27" s="76">
        <v>1</v>
      </c>
      <c r="FD27" s="76">
        <v>3</v>
      </c>
      <c r="FE27" s="76">
        <v>0</v>
      </c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1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1</v>
      </c>
      <c r="DA28" s="62">
        <v>0</v>
      </c>
      <c r="DB28" s="62">
        <v>0</v>
      </c>
      <c r="DC28" s="62">
        <v>1</v>
      </c>
      <c r="DD28" s="62">
        <v>0</v>
      </c>
      <c r="DE28" s="62">
        <v>1</v>
      </c>
      <c r="DF28" s="62">
        <v>1</v>
      </c>
      <c r="DG28" s="62">
        <v>0</v>
      </c>
      <c r="DH28" s="62">
        <v>1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91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1</v>
      </c>
      <c r="EG28" s="76">
        <v>0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1</v>
      </c>
      <c r="EO28" s="76">
        <v>0</v>
      </c>
      <c r="EP28" s="76">
        <v>1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1</v>
      </c>
      <c r="EZ28" s="76">
        <v>0</v>
      </c>
      <c r="FA28" s="76">
        <v>1</v>
      </c>
      <c r="FB28" s="76">
        <v>1</v>
      </c>
      <c r="FC28" s="76">
        <v>0</v>
      </c>
      <c r="FD28" s="76">
        <v>0</v>
      </c>
      <c r="FE28" s="76">
        <v>0</v>
      </c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92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0</v>
      </c>
      <c r="CT30" s="62">
        <v>6</v>
      </c>
      <c r="CU30" s="62">
        <v>7</v>
      </c>
      <c r="CV30" s="62">
        <v>6</v>
      </c>
      <c r="CW30" s="62">
        <v>5</v>
      </c>
      <c r="CX30" s="62">
        <v>4</v>
      </c>
      <c r="CY30" s="62">
        <v>9</v>
      </c>
      <c r="CZ30" s="62">
        <v>4</v>
      </c>
      <c r="DA30" s="62">
        <v>4</v>
      </c>
      <c r="DB30" s="62">
        <v>9</v>
      </c>
      <c r="DC30" s="62">
        <v>3</v>
      </c>
      <c r="DD30" s="62">
        <v>4</v>
      </c>
      <c r="DE30" s="62">
        <v>5</v>
      </c>
      <c r="DF30" s="62">
        <v>5</v>
      </c>
      <c r="DG30" s="62">
        <v>5</v>
      </c>
      <c r="DH30" s="62">
        <v>8</v>
      </c>
      <c r="DI30" s="62">
        <v>0</v>
      </c>
      <c r="DJ30" s="62">
        <v>0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93</v>
      </c>
      <c r="DY30" s="76">
        <v>0</v>
      </c>
      <c r="DZ30" s="76">
        <v>4</v>
      </c>
      <c r="EA30" s="76">
        <v>4</v>
      </c>
      <c r="EB30" s="76">
        <v>3</v>
      </c>
      <c r="EC30" s="76">
        <v>3</v>
      </c>
      <c r="ED30" s="76">
        <v>3</v>
      </c>
      <c r="EE30" s="76">
        <v>5</v>
      </c>
      <c r="EF30" s="76">
        <v>1</v>
      </c>
      <c r="EG30" s="76">
        <v>3</v>
      </c>
      <c r="EH30" s="76">
        <v>4</v>
      </c>
      <c r="EI30" s="76">
        <v>2</v>
      </c>
      <c r="EJ30" s="76">
        <v>1</v>
      </c>
      <c r="EK30" s="76">
        <v>3</v>
      </c>
      <c r="EL30" s="76">
        <v>2</v>
      </c>
      <c r="EM30" s="76">
        <v>2</v>
      </c>
      <c r="EN30" s="76">
        <v>4</v>
      </c>
      <c r="EO30" s="76">
        <v>0</v>
      </c>
      <c r="EP30" s="76">
        <v>2</v>
      </c>
      <c r="EQ30" s="76">
        <v>3</v>
      </c>
      <c r="ER30" s="76">
        <v>3</v>
      </c>
      <c r="ES30" s="76">
        <v>2</v>
      </c>
      <c r="ET30" s="76">
        <v>1</v>
      </c>
      <c r="EU30" s="76">
        <v>3</v>
      </c>
      <c r="EV30" s="76">
        <v>3</v>
      </c>
      <c r="EW30" s="76">
        <v>1</v>
      </c>
      <c r="EX30" s="76">
        <v>5</v>
      </c>
      <c r="EY30" s="76">
        <v>1</v>
      </c>
      <c r="EZ30" s="76">
        <v>3</v>
      </c>
      <c r="FA30" s="76">
        <v>2</v>
      </c>
      <c r="FB30" s="76">
        <v>3</v>
      </c>
      <c r="FC30" s="76">
        <v>3</v>
      </c>
      <c r="FD30" s="76">
        <v>4</v>
      </c>
      <c r="FE30" s="76">
        <v>1</v>
      </c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4</v>
      </c>
      <c r="CT31" s="62">
        <v>3</v>
      </c>
      <c r="CU31" s="62">
        <v>3</v>
      </c>
      <c r="CV31" s="62">
        <v>2</v>
      </c>
      <c r="CW31" s="62">
        <v>4</v>
      </c>
      <c r="CX31" s="62">
        <v>6</v>
      </c>
      <c r="CY31" s="62">
        <v>3</v>
      </c>
      <c r="CZ31" s="62">
        <v>1</v>
      </c>
      <c r="DA31" s="62">
        <v>2</v>
      </c>
      <c r="DB31" s="62">
        <v>4</v>
      </c>
      <c r="DC31" s="62">
        <v>1</v>
      </c>
      <c r="DD31" s="62">
        <v>2</v>
      </c>
      <c r="DE31" s="62">
        <v>2</v>
      </c>
      <c r="DF31" s="62">
        <v>3</v>
      </c>
      <c r="DG31" s="62">
        <v>3</v>
      </c>
      <c r="DH31" s="62">
        <v>1</v>
      </c>
      <c r="DI31" s="62">
        <v>0</v>
      </c>
      <c r="DJ31" s="62">
        <v>0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104</v>
      </c>
      <c r="DY31" s="76">
        <v>3</v>
      </c>
      <c r="DZ31" s="76">
        <v>1</v>
      </c>
      <c r="EA31" s="76">
        <v>0</v>
      </c>
      <c r="EB31" s="76">
        <v>2</v>
      </c>
      <c r="EC31" s="76">
        <v>2</v>
      </c>
      <c r="ED31" s="76">
        <v>1</v>
      </c>
      <c r="EE31" s="76">
        <v>1</v>
      </c>
      <c r="EF31" s="76">
        <v>1</v>
      </c>
      <c r="EG31" s="76">
        <v>1</v>
      </c>
      <c r="EH31" s="76">
        <v>3</v>
      </c>
      <c r="EI31" s="76">
        <v>0</v>
      </c>
      <c r="EJ31" s="76">
        <v>2</v>
      </c>
      <c r="EK31" s="76">
        <v>1</v>
      </c>
      <c r="EL31" s="76">
        <v>1</v>
      </c>
      <c r="EM31" s="76">
        <v>1</v>
      </c>
      <c r="EN31" s="76">
        <v>1</v>
      </c>
      <c r="EO31" s="76">
        <v>1</v>
      </c>
      <c r="EP31" s="76">
        <v>2</v>
      </c>
      <c r="EQ31" s="76">
        <v>3</v>
      </c>
      <c r="ER31" s="76">
        <v>0</v>
      </c>
      <c r="ES31" s="76">
        <v>2</v>
      </c>
      <c r="ET31" s="76">
        <v>5</v>
      </c>
      <c r="EU31" s="76">
        <v>2</v>
      </c>
      <c r="EV31" s="76">
        <v>0</v>
      </c>
      <c r="EW31" s="76">
        <v>1</v>
      </c>
      <c r="EX31" s="76">
        <v>1</v>
      </c>
      <c r="EY31" s="76">
        <v>1</v>
      </c>
      <c r="EZ31" s="76">
        <v>0</v>
      </c>
      <c r="FA31" s="76">
        <v>1</v>
      </c>
      <c r="FB31" s="76">
        <v>2</v>
      </c>
      <c r="FC31" s="76">
        <v>2</v>
      </c>
      <c r="FD31" s="76">
        <v>0</v>
      </c>
      <c r="FE31" s="76">
        <v>0</v>
      </c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7</v>
      </c>
      <c r="CT32" s="62">
        <v>3</v>
      </c>
      <c r="CU32" s="62">
        <v>6</v>
      </c>
      <c r="CV32" s="62">
        <v>2</v>
      </c>
      <c r="CW32" s="62">
        <v>4</v>
      </c>
      <c r="CX32" s="62">
        <v>8</v>
      </c>
      <c r="CY32" s="62">
        <v>4</v>
      </c>
      <c r="CZ32" s="62">
        <v>1</v>
      </c>
      <c r="DA32" s="62">
        <v>6</v>
      </c>
      <c r="DB32" s="62">
        <v>4</v>
      </c>
      <c r="DC32" s="62">
        <v>1</v>
      </c>
      <c r="DD32" s="62">
        <v>8</v>
      </c>
      <c r="DE32" s="62">
        <v>4</v>
      </c>
      <c r="DF32" s="62">
        <v>3</v>
      </c>
      <c r="DG32" s="62">
        <v>7</v>
      </c>
      <c r="DH32" s="62">
        <v>1</v>
      </c>
      <c r="DI32" s="62">
        <v>0</v>
      </c>
      <c r="DJ32" s="62">
        <v>0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94</v>
      </c>
      <c r="DY32" s="76">
        <v>4</v>
      </c>
      <c r="DZ32" s="76">
        <v>1</v>
      </c>
      <c r="EA32" s="76">
        <v>3</v>
      </c>
      <c r="EB32" s="76">
        <v>2</v>
      </c>
      <c r="EC32" s="76">
        <v>2</v>
      </c>
      <c r="ED32" s="76">
        <v>3</v>
      </c>
      <c r="EE32" s="76">
        <v>1</v>
      </c>
      <c r="EF32" s="76">
        <v>1</v>
      </c>
      <c r="EG32" s="76">
        <v>2</v>
      </c>
      <c r="EH32" s="76">
        <v>3</v>
      </c>
      <c r="EI32" s="76">
        <v>0</v>
      </c>
      <c r="EJ32" s="76">
        <v>4</v>
      </c>
      <c r="EK32" s="76">
        <v>2</v>
      </c>
      <c r="EL32" s="76">
        <v>1</v>
      </c>
      <c r="EM32" s="76">
        <v>4</v>
      </c>
      <c r="EN32" s="76">
        <v>1</v>
      </c>
      <c r="EO32" s="76">
        <v>3</v>
      </c>
      <c r="EP32" s="76">
        <v>2</v>
      </c>
      <c r="EQ32" s="76">
        <v>3</v>
      </c>
      <c r="ER32" s="76">
        <v>0</v>
      </c>
      <c r="ES32" s="76">
        <v>2</v>
      </c>
      <c r="ET32" s="76">
        <v>5</v>
      </c>
      <c r="EU32" s="76">
        <v>2</v>
      </c>
      <c r="EV32" s="76">
        <v>0</v>
      </c>
      <c r="EW32" s="76">
        <v>4</v>
      </c>
      <c r="EX32" s="76">
        <v>1</v>
      </c>
      <c r="EY32" s="76">
        <v>1</v>
      </c>
      <c r="EZ32" s="76">
        <v>4</v>
      </c>
      <c r="FA32" s="76">
        <v>2</v>
      </c>
      <c r="FB32" s="76">
        <v>2</v>
      </c>
      <c r="FC32" s="76">
        <v>3</v>
      </c>
      <c r="FD32" s="76">
        <v>0</v>
      </c>
      <c r="FE32" s="76">
        <v>1</v>
      </c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2</v>
      </c>
      <c r="CV33" s="62">
        <v>0</v>
      </c>
      <c r="CW33" s="62">
        <v>0</v>
      </c>
      <c r="CX33" s="62">
        <v>1</v>
      </c>
      <c r="CY33" s="62">
        <v>0</v>
      </c>
      <c r="CZ33" s="62">
        <v>0</v>
      </c>
      <c r="DA33" s="62">
        <v>3</v>
      </c>
      <c r="DB33" s="62">
        <v>0</v>
      </c>
      <c r="DC33" s="62">
        <v>0</v>
      </c>
      <c r="DD33" s="62">
        <v>3</v>
      </c>
      <c r="DE33" s="62">
        <v>2</v>
      </c>
      <c r="DF33" s="62">
        <v>0</v>
      </c>
      <c r="DG33" s="62">
        <v>4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106</v>
      </c>
      <c r="DY33" s="76">
        <v>0</v>
      </c>
      <c r="DZ33" s="76">
        <v>0</v>
      </c>
      <c r="EA33" s="76">
        <v>2</v>
      </c>
      <c r="EB33" s="76">
        <v>0</v>
      </c>
      <c r="EC33" s="76">
        <v>0</v>
      </c>
      <c r="ED33" s="76">
        <v>1</v>
      </c>
      <c r="EE33" s="76">
        <v>0</v>
      </c>
      <c r="EF33" s="76">
        <v>0</v>
      </c>
      <c r="EG33" s="76">
        <v>1</v>
      </c>
      <c r="EH33" s="76">
        <v>0</v>
      </c>
      <c r="EI33" s="76">
        <v>0</v>
      </c>
      <c r="EJ33" s="76">
        <v>2</v>
      </c>
      <c r="EK33" s="76">
        <v>1</v>
      </c>
      <c r="EL33" s="76">
        <v>0</v>
      </c>
      <c r="EM33" s="76">
        <v>3</v>
      </c>
      <c r="EN33" s="76">
        <v>0</v>
      </c>
      <c r="EO33" s="76">
        <v>0</v>
      </c>
      <c r="EP33" s="76">
        <v>0</v>
      </c>
      <c r="EQ33" s="76">
        <v>0</v>
      </c>
      <c r="ER33" s="76">
        <v>0</v>
      </c>
      <c r="ES33" s="76">
        <v>0</v>
      </c>
      <c r="ET33" s="76">
        <v>0</v>
      </c>
      <c r="EU33" s="76">
        <v>0</v>
      </c>
      <c r="EV33" s="76">
        <v>0</v>
      </c>
      <c r="EW33" s="76">
        <v>2</v>
      </c>
      <c r="EX33" s="76">
        <v>0</v>
      </c>
      <c r="EY33" s="76">
        <v>0</v>
      </c>
      <c r="EZ33" s="76">
        <v>1</v>
      </c>
      <c r="FA33" s="76">
        <v>1</v>
      </c>
      <c r="FB33" s="76">
        <v>0</v>
      </c>
      <c r="FC33" s="76">
        <v>1</v>
      </c>
      <c r="FD33" s="76">
        <v>0</v>
      </c>
      <c r="FE33" s="76">
        <v>0</v>
      </c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3</v>
      </c>
      <c r="CT34" s="62">
        <v>0</v>
      </c>
      <c r="CU34" s="62">
        <v>1</v>
      </c>
      <c r="CV34" s="62">
        <v>0</v>
      </c>
      <c r="CW34" s="62">
        <v>0</v>
      </c>
      <c r="CX34" s="62">
        <v>1</v>
      </c>
      <c r="CY34" s="62">
        <v>0</v>
      </c>
      <c r="CZ34" s="62">
        <v>0</v>
      </c>
      <c r="DA34" s="62">
        <v>1</v>
      </c>
      <c r="DB34" s="62">
        <v>0</v>
      </c>
      <c r="DC34" s="62">
        <v>0</v>
      </c>
      <c r="DD34" s="62">
        <v>3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105</v>
      </c>
      <c r="DY34" s="76">
        <v>1</v>
      </c>
      <c r="DZ34" s="76">
        <v>0</v>
      </c>
      <c r="EA34" s="76">
        <v>1</v>
      </c>
      <c r="EB34" s="76">
        <v>0</v>
      </c>
      <c r="EC34" s="76">
        <v>0</v>
      </c>
      <c r="ED34" s="76">
        <v>1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2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1</v>
      </c>
      <c r="EX34" s="76">
        <v>0</v>
      </c>
      <c r="EY34" s="76">
        <v>0</v>
      </c>
      <c r="EZ34" s="76">
        <v>3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433</v>
      </c>
      <c r="CT35" s="62">
        <v>215.5</v>
      </c>
      <c r="CU35" s="62">
        <v>254</v>
      </c>
      <c r="CV35" s="62">
        <v>299</v>
      </c>
      <c r="CW35" s="62">
        <v>325</v>
      </c>
      <c r="CX35" s="62">
        <v>531</v>
      </c>
      <c r="CY35" s="62">
        <v>332.01</v>
      </c>
      <c r="CZ35" s="62">
        <v>301</v>
      </c>
      <c r="DA35" s="62">
        <v>444</v>
      </c>
      <c r="DB35" s="62">
        <v>365</v>
      </c>
      <c r="DC35" s="62">
        <v>296</v>
      </c>
      <c r="DD35" s="62">
        <v>514</v>
      </c>
      <c r="DE35" s="62">
        <v>423</v>
      </c>
      <c r="DF35" s="62">
        <v>327</v>
      </c>
      <c r="DG35" s="62">
        <v>365</v>
      </c>
      <c r="DH35" s="62">
        <v>307</v>
      </c>
      <c r="DI35" s="62">
        <v>0</v>
      </c>
      <c r="DJ35" s="62">
        <v>0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219</v>
      </c>
      <c r="DZ35" s="76">
        <v>208</v>
      </c>
      <c r="EA35" s="76">
        <v>259</v>
      </c>
      <c r="EB35" s="76">
        <v>154</v>
      </c>
      <c r="EC35" s="76">
        <v>166</v>
      </c>
      <c r="ED35" s="76">
        <v>274</v>
      </c>
      <c r="EE35" s="76">
        <v>161</v>
      </c>
      <c r="EF35" s="76">
        <v>152</v>
      </c>
      <c r="EG35" s="76">
        <v>218</v>
      </c>
      <c r="EH35" s="76">
        <v>187</v>
      </c>
      <c r="EI35" s="76">
        <v>144</v>
      </c>
      <c r="EJ35" s="76">
        <v>246</v>
      </c>
      <c r="EK35" s="76">
        <v>209</v>
      </c>
      <c r="EL35" s="76">
        <v>166</v>
      </c>
      <c r="EM35" s="76">
        <v>188</v>
      </c>
      <c r="EN35" s="76">
        <v>157</v>
      </c>
      <c r="EO35" s="76">
        <v>214</v>
      </c>
      <c r="EP35" s="76">
        <v>223</v>
      </c>
      <c r="EQ35" s="76">
        <v>249</v>
      </c>
      <c r="ER35" s="76">
        <v>145</v>
      </c>
      <c r="ES35" s="76">
        <v>159</v>
      </c>
      <c r="ET35" s="76">
        <v>257</v>
      </c>
      <c r="EU35" s="76">
        <v>163</v>
      </c>
      <c r="EV35" s="76">
        <v>149</v>
      </c>
      <c r="EW35" s="76">
        <v>226</v>
      </c>
      <c r="EX35" s="76">
        <v>178</v>
      </c>
      <c r="EY35" s="76">
        <v>152</v>
      </c>
      <c r="EZ35" s="76">
        <v>268</v>
      </c>
      <c r="FA35" s="76">
        <v>214</v>
      </c>
      <c r="FB35" s="76">
        <v>161</v>
      </c>
      <c r="FC35" s="76">
        <v>177</v>
      </c>
      <c r="FD35" s="76">
        <v>150</v>
      </c>
      <c r="FE35" s="76">
        <v>8.01</v>
      </c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97</v>
      </c>
      <c r="CT36" s="62">
        <v>48</v>
      </c>
      <c r="CU36" s="62">
        <v>48.5</v>
      </c>
      <c r="CV36" s="62">
        <v>97</v>
      </c>
      <c r="CW36" s="62">
        <v>97</v>
      </c>
      <c r="CX36" s="62">
        <v>96</v>
      </c>
      <c r="CY36" s="62">
        <v>99</v>
      </c>
      <c r="CZ36" s="62">
        <v>97</v>
      </c>
      <c r="DA36" s="62">
        <v>97</v>
      </c>
      <c r="DB36" s="62">
        <v>97</v>
      </c>
      <c r="DC36" s="62">
        <v>97</v>
      </c>
      <c r="DD36" s="62">
        <v>97</v>
      </c>
      <c r="DE36" s="62">
        <v>97</v>
      </c>
      <c r="DF36" s="62">
        <v>97</v>
      </c>
      <c r="DG36" s="62">
        <v>97</v>
      </c>
      <c r="DH36" s="62">
        <v>97</v>
      </c>
      <c r="DI36" s="62">
        <v>0</v>
      </c>
      <c r="DJ36" s="62">
        <v>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49</v>
      </c>
      <c r="DZ36" s="76">
        <v>48</v>
      </c>
      <c r="EA36" s="76">
        <v>49</v>
      </c>
      <c r="EB36" s="76">
        <v>49</v>
      </c>
      <c r="EC36" s="76">
        <v>49</v>
      </c>
      <c r="ED36" s="76">
        <v>49</v>
      </c>
      <c r="EE36" s="76">
        <v>49</v>
      </c>
      <c r="EF36" s="76">
        <v>49</v>
      </c>
      <c r="EG36" s="76">
        <v>49</v>
      </c>
      <c r="EH36" s="76">
        <v>49</v>
      </c>
      <c r="EI36" s="76">
        <v>49</v>
      </c>
      <c r="EJ36" s="76">
        <v>49</v>
      </c>
      <c r="EK36" s="76">
        <v>49</v>
      </c>
      <c r="EL36" s="76">
        <v>49</v>
      </c>
      <c r="EM36" s="76">
        <v>49</v>
      </c>
      <c r="EN36" s="76">
        <v>49</v>
      </c>
      <c r="EO36" s="76">
        <v>48</v>
      </c>
      <c r="EP36" s="76">
        <v>48</v>
      </c>
      <c r="EQ36" s="76">
        <v>48</v>
      </c>
      <c r="ER36" s="76">
        <v>48</v>
      </c>
      <c r="ES36" s="76">
        <v>48</v>
      </c>
      <c r="ET36" s="76">
        <v>47</v>
      </c>
      <c r="EU36" s="76">
        <v>48</v>
      </c>
      <c r="EV36" s="76">
        <v>48</v>
      </c>
      <c r="EW36" s="76">
        <v>48</v>
      </c>
      <c r="EX36" s="76">
        <v>48</v>
      </c>
      <c r="EY36" s="76">
        <v>48</v>
      </c>
      <c r="EZ36" s="76">
        <v>48</v>
      </c>
      <c r="FA36" s="76">
        <v>48</v>
      </c>
      <c r="FB36" s="76">
        <v>48</v>
      </c>
      <c r="FC36" s="76">
        <v>48</v>
      </c>
      <c r="FD36" s="76">
        <v>48</v>
      </c>
      <c r="FE36" s="76">
        <v>2</v>
      </c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4.463917525773196</v>
      </c>
      <c r="CT37" s="62">
        <v>4.489583333333333</v>
      </c>
      <c r="CU37" s="62">
        <v>5.2371134020618557</v>
      </c>
      <c r="CV37" s="62">
        <v>3.0824742268041239</v>
      </c>
      <c r="CW37" s="62">
        <v>3.3505154639175259</v>
      </c>
      <c r="CX37" s="62">
        <v>5.53125</v>
      </c>
      <c r="CY37" s="62">
        <v>3.3536363636363635</v>
      </c>
      <c r="CZ37" s="62">
        <v>3.1030927835051547</v>
      </c>
      <c r="DA37" s="62">
        <v>4.5773195876288657</v>
      </c>
      <c r="DB37" s="62">
        <v>3.7628865979381443</v>
      </c>
      <c r="DC37" s="62">
        <v>3.0515463917525771</v>
      </c>
      <c r="DD37" s="62">
        <v>5.2989690721649483</v>
      </c>
      <c r="DE37" s="62">
        <v>4.3608247422680408</v>
      </c>
      <c r="DF37" s="62">
        <v>3.3711340206185567</v>
      </c>
      <c r="DG37" s="62">
        <v>3.7628865979381443</v>
      </c>
      <c r="DH37" s="62">
        <v>3.1649484536082473</v>
      </c>
      <c r="DI37" s="62" t="e">
        <v>#DIV/0!</v>
      </c>
      <c r="DJ37" s="62" t="e">
        <v>#DIV/0!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4.4693877551020407</v>
      </c>
      <c r="DZ37" s="76">
        <v>4.333333333333333</v>
      </c>
      <c r="EA37" s="76">
        <v>5.2857142857142856</v>
      </c>
      <c r="EB37" s="76">
        <v>3.1428571428571428</v>
      </c>
      <c r="EC37" s="76">
        <v>3.3877551020408165</v>
      </c>
      <c r="ED37" s="76">
        <v>5.591836734693878</v>
      </c>
      <c r="EE37" s="76">
        <v>3.2857142857142856</v>
      </c>
      <c r="EF37" s="76">
        <v>3.1020408163265305</v>
      </c>
      <c r="EG37" s="76">
        <v>4.4489795918367347</v>
      </c>
      <c r="EH37" s="76">
        <v>3.8163265306122449</v>
      </c>
      <c r="EI37" s="76">
        <v>2.9387755102040818</v>
      </c>
      <c r="EJ37" s="76">
        <v>5.0204081632653059</v>
      </c>
      <c r="EK37" s="76">
        <v>4.2653061224489797</v>
      </c>
      <c r="EL37" s="76">
        <v>3.3877551020408165</v>
      </c>
      <c r="EM37" s="76">
        <v>3.8367346938775508</v>
      </c>
      <c r="EN37" s="76">
        <v>3.204081632653061</v>
      </c>
      <c r="EO37" s="76">
        <v>4.458333333333333</v>
      </c>
      <c r="EP37" s="76">
        <v>4.645833333333333</v>
      </c>
      <c r="EQ37" s="76">
        <v>5.1875</v>
      </c>
      <c r="ER37" s="76">
        <v>3.0208333333333335</v>
      </c>
      <c r="ES37" s="76">
        <v>3.3125</v>
      </c>
      <c r="ET37" s="76">
        <v>5.4680851063829783</v>
      </c>
      <c r="EU37" s="76">
        <v>3.3958333333333335</v>
      </c>
      <c r="EV37" s="76">
        <v>3.1041666666666665</v>
      </c>
      <c r="EW37" s="76">
        <v>4.708333333333333</v>
      </c>
      <c r="EX37" s="76">
        <v>3.7083333333333335</v>
      </c>
      <c r="EY37" s="76">
        <v>3.1666666666666665</v>
      </c>
      <c r="EZ37" s="76">
        <v>5.583333333333333</v>
      </c>
      <c r="FA37" s="76">
        <v>4.458333333333333</v>
      </c>
      <c r="FB37" s="76">
        <v>3.3541666666666665</v>
      </c>
      <c r="FC37" s="76">
        <v>3.6875</v>
      </c>
      <c r="FD37" s="76">
        <v>3.125</v>
      </c>
      <c r="FE37" s="76">
        <v>4.0049999999999999</v>
      </c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14</v>
      </c>
      <c r="CT38" s="62">
        <v>16</v>
      </c>
      <c r="CU38" s="62">
        <v>20</v>
      </c>
      <c r="CV38" s="62">
        <v>11</v>
      </c>
      <c r="CW38" s="62">
        <v>13</v>
      </c>
      <c r="CX38" s="62">
        <v>22</v>
      </c>
      <c r="CY38" s="62">
        <v>16</v>
      </c>
      <c r="CZ38" s="62">
        <v>12</v>
      </c>
      <c r="DA38" s="62">
        <v>20</v>
      </c>
      <c r="DB38" s="62">
        <v>15</v>
      </c>
      <c r="DC38" s="62">
        <v>12</v>
      </c>
      <c r="DD38" s="62">
        <v>18</v>
      </c>
      <c r="DE38" s="62">
        <v>13</v>
      </c>
      <c r="DF38" s="62">
        <v>11</v>
      </c>
      <c r="DG38" s="62">
        <v>13</v>
      </c>
      <c r="DH38" s="62">
        <v>11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7</v>
      </c>
      <c r="DZ38" s="76">
        <v>7</v>
      </c>
      <c r="EA38" s="76">
        <v>10</v>
      </c>
      <c r="EB38" s="76">
        <v>6</v>
      </c>
      <c r="EC38" s="76">
        <v>6</v>
      </c>
      <c r="ED38" s="76">
        <v>12</v>
      </c>
      <c r="EE38" s="76">
        <v>7</v>
      </c>
      <c r="EF38" s="76">
        <v>6</v>
      </c>
      <c r="EG38" s="76">
        <v>11</v>
      </c>
      <c r="EH38" s="76">
        <v>7</v>
      </c>
      <c r="EI38" s="76">
        <v>6</v>
      </c>
      <c r="EJ38" s="76">
        <v>9</v>
      </c>
      <c r="EK38" s="76">
        <v>6</v>
      </c>
      <c r="EL38" s="76">
        <v>5</v>
      </c>
      <c r="EM38" s="76">
        <v>6</v>
      </c>
      <c r="EN38" s="76">
        <v>5</v>
      </c>
      <c r="EO38" s="76">
        <v>7</v>
      </c>
      <c r="EP38" s="76">
        <v>9</v>
      </c>
      <c r="EQ38" s="76">
        <v>10</v>
      </c>
      <c r="ER38" s="76">
        <v>5</v>
      </c>
      <c r="ES38" s="76">
        <v>7</v>
      </c>
      <c r="ET38" s="76">
        <v>10</v>
      </c>
      <c r="EU38" s="76">
        <v>5</v>
      </c>
      <c r="EV38" s="76">
        <v>6</v>
      </c>
      <c r="EW38" s="76">
        <v>9</v>
      </c>
      <c r="EX38" s="76">
        <v>8</v>
      </c>
      <c r="EY38" s="76">
        <v>6</v>
      </c>
      <c r="EZ38" s="76">
        <v>9</v>
      </c>
      <c r="FA38" s="76">
        <v>7</v>
      </c>
      <c r="FB38" s="76">
        <v>6</v>
      </c>
      <c r="FC38" s="76">
        <v>7</v>
      </c>
      <c r="FD38" s="76">
        <v>6</v>
      </c>
      <c r="FE38" s="76">
        <v>4</v>
      </c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5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4</v>
      </c>
      <c r="DH39" s="62">
        <v>4</v>
      </c>
      <c r="DI39" s="62">
        <v>0</v>
      </c>
      <c r="DJ39" s="62">
        <v>0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1</v>
      </c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3.5</v>
      </c>
      <c r="CT40" s="62">
        <v>4</v>
      </c>
      <c r="CU40" s="62">
        <v>5</v>
      </c>
      <c r="CV40" s="62">
        <v>2.75</v>
      </c>
      <c r="CW40" s="62">
        <v>3.25</v>
      </c>
      <c r="CX40" s="62">
        <v>5.5</v>
      </c>
      <c r="CY40" s="62">
        <v>3.2</v>
      </c>
      <c r="CZ40" s="62">
        <v>3</v>
      </c>
      <c r="DA40" s="62">
        <v>5</v>
      </c>
      <c r="DB40" s="62">
        <v>3.75</v>
      </c>
      <c r="DC40" s="62">
        <v>3</v>
      </c>
      <c r="DD40" s="62">
        <v>4.5</v>
      </c>
      <c r="DE40" s="62">
        <v>3.25</v>
      </c>
      <c r="DF40" s="62">
        <v>2.75</v>
      </c>
      <c r="DG40" s="62">
        <v>3.25</v>
      </c>
      <c r="DH40" s="62">
        <v>2.75</v>
      </c>
      <c r="DI40" s="62" t="e">
        <v>#DIV/0!</v>
      </c>
      <c r="DJ40" s="62" t="e">
        <v>#DIV/0!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3.5</v>
      </c>
      <c r="DZ40" s="76">
        <v>3.5</v>
      </c>
      <c r="EA40" s="76">
        <v>5</v>
      </c>
      <c r="EB40" s="76">
        <v>3</v>
      </c>
      <c r="EC40" s="76">
        <v>3</v>
      </c>
      <c r="ED40" s="76">
        <v>6</v>
      </c>
      <c r="EE40" s="76">
        <v>3.5</v>
      </c>
      <c r="EF40" s="76">
        <v>3</v>
      </c>
      <c r="EG40" s="76">
        <v>5.5</v>
      </c>
      <c r="EH40" s="76">
        <v>3.5</v>
      </c>
      <c r="EI40" s="76">
        <v>3</v>
      </c>
      <c r="EJ40" s="76">
        <v>4.5</v>
      </c>
      <c r="EK40" s="76">
        <v>3</v>
      </c>
      <c r="EL40" s="76">
        <v>2.5</v>
      </c>
      <c r="EM40" s="76">
        <v>3</v>
      </c>
      <c r="EN40" s="76">
        <v>2.5</v>
      </c>
      <c r="EO40" s="76">
        <v>3.5</v>
      </c>
      <c r="EP40" s="76">
        <v>4.5</v>
      </c>
      <c r="EQ40" s="76">
        <v>5</v>
      </c>
      <c r="ER40" s="76">
        <v>2.5</v>
      </c>
      <c r="ES40" s="76">
        <v>3.5</v>
      </c>
      <c r="ET40" s="76">
        <v>5</v>
      </c>
      <c r="EU40" s="76">
        <v>2.5</v>
      </c>
      <c r="EV40" s="76">
        <v>3</v>
      </c>
      <c r="EW40" s="76">
        <v>4.5</v>
      </c>
      <c r="EX40" s="76">
        <v>4</v>
      </c>
      <c r="EY40" s="76">
        <v>3</v>
      </c>
      <c r="EZ40" s="76">
        <v>4.5</v>
      </c>
      <c r="FA40" s="76">
        <v>3.5</v>
      </c>
      <c r="FB40" s="76">
        <v>3</v>
      </c>
      <c r="FC40" s="76">
        <v>3.5</v>
      </c>
      <c r="FD40" s="76">
        <v>3</v>
      </c>
      <c r="FE40" s="76">
        <v>4</v>
      </c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84</v>
      </c>
      <c r="CT41" s="62">
        <v>81</v>
      </c>
      <c r="CU41" s="62">
        <v>99</v>
      </c>
      <c r="CV41" s="62">
        <v>62</v>
      </c>
      <c r="CW41" s="62">
        <v>65</v>
      </c>
      <c r="CX41" s="62">
        <v>110</v>
      </c>
      <c r="CY41" s="62">
        <v>71.010000000000005</v>
      </c>
      <c r="CZ41" s="62">
        <v>59</v>
      </c>
      <c r="DA41" s="62">
        <v>88</v>
      </c>
      <c r="DB41" s="62">
        <v>72</v>
      </c>
      <c r="DC41" s="62">
        <v>61</v>
      </c>
      <c r="DD41" s="62">
        <v>98</v>
      </c>
      <c r="DE41" s="62">
        <v>81</v>
      </c>
      <c r="DF41" s="62">
        <v>63</v>
      </c>
      <c r="DG41" s="62">
        <v>75</v>
      </c>
      <c r="DH41" s="62">
        <v>60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43</v>
      </c>
      <c r="DZ41" s="76">
        <v>38</v>
      </c>
      <c r="EA41" s="76">
        <v>50</v>
      </c>
      <c r="EB41" s="76">
        <v>33</v>
      </c>
      <c r="EC41" s="76">
        <v>32</v>
      </c>
      <c r="ED41" s="76">
        <v>57</v>
      </c>
      <c r="EE41" s="76">
        <v>31</v>
      </c>
      <c r="EF41" s="76">
        <v>28</v>
      </c>
      <c r="EG41" s="76">
        <v>43</v>
      </c>
      <c r="EH41" s="76">
        <v>36</v>
      </c>
      <c r="EI41" s="76">
        <v>32</v>
      </c>
      <c r="EJ41" s="76">
        <v>48</v>
      </c>
      <c r="EK41" s="76">
        <v>42</v>
      </c>
      <c r="EL41" s="76">
        <v>28</v>
      </c>
      <c r="EM41" s="76">
        <v>40</v>
      </c>
      <c r="EN41" s="76">
        <v>30</v>
      </c>
      <c r="EO41" s="76">
        <v>41</v>
      </c>
      <c r="EP41" s="76">
        <v>43</v>
      </c>
      <c r="EQ41" s="76">
        <v>49</v>
      </c>
      <c r="ER41" s="76">
        <v>29</v>
      </c>
      <c r="ES41" s="76">
        <v>33</v>
      </c>
      <c r="ET41" s="76">
        <v>53</v>
      </c>
      <c r="EU41" s="76">
        <v>32</v>
      </c>
      <c r="EV41" s="76">
        <v>31</v>
      </c>
      <c r="EW41" s="76">
        <v>45</v>
      </c>
      <c r="EX41" s="76">
        <v>36</v>
      </c>
      <c r="EY41" s="76">
        <v>29</v>
      </c>
      <c r="EZ41" s="76">
        <v>50</v>
      </c>
      <c r="FA41" s="76">
        <v>39</v>
      </c>
      <c r="FB41" s="76">
        <v>35</v>
      </c>
      <c r="FC41" s="76">
        <v>35</v>
      </c>
      <c r="FD41" s="76">
        <v>30</v>
      </c>
      <c r="FE41" s="76">
        <v>8.01</v>
      </c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20</v>
      </c>
      <c r="CT42" s="62">
        <v>20</v>
      </c>
      <c r="CU42" s="62">
        <v>20</v>
      </c>
      <c r="CV42" s="62">
        <v>20</v>
      </c>
      <c r="CW42" s="62">
        <v>20</v>
      </c>
      <c r="CX42" s="62">
        <v>20</v>
      </c>
      <c r="CY42" s="62">
        <v>22</v>
      </c>
      <c r="CZ42" s="62">
        <v>20</v>
      </c>
      <c r="DA42" s="62">
        <v>20</v>
      </c>
      <c r="DB42" s="62">
        <v>20</v>
      </c>
      <c r="DC42" s="62">
        <v>20</v>
      </c>
      <c r="DD42" s="62">
        <v>20</v>
      </c>
      <c r="DE42" s="62">
        <v>20</v>
      </c>
      <c r="DF42" s="62">
        <v>20</v>
      </c>
      <c r="DG42" s="62">
        <v>20</v>
      </c>
      <c r="DH42" s="62">
        <v>20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2</v>
      </c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4.2</v>
      </c>
      <c r="CT43" s="62">
        <v>4.05</v>
      </c>
      <c r="CU43" s="62">
        <v>4.95</v>
      </c>
      <c r="CV43" s="62">
        <v>3.1</v>
      </c>
      <c r="CW43" s="62">
        <v>3.25</v>
      </c>
      <c r="CX43" s="62">
        <v>5.5</v>
      </c>
      <c r="CY43" s="62">
        <v>3.227727272727273</v>
      </c>
      <c r="CZ43" s="62">
        <v>2.95</v>
      </c>
      <c r="DA43" s="62">
        <v>4.4000000000000004</v>
      </c>
      <c r="DB43" s="62">
        <v>3.6</v>
      </c>
      <c r="DC43" s="62">
        <v>3.05</v>
      </c>
      <c r="DD43" s="62">
        <v>4.9000000000000004</v>
      </c>
      <c r="DE43" s="62">
        <v>4.05</v>
      </c>
      <c r="DF43" s="62">
        <v>3.15</v>
      </c>
      <c r="DG43" s="62">
        <v>3.75</v>
      </c>
      <c r="DH43" s="62">
        <v>3</v>
      </c>
      <c r="DI43" s="62" t="e">
        <v>#DIV/0!</v>
      </c>
      <c r="DJ43" s="62" t="e">
        <v>#DIV/0!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4.3</v>
      </c>
      <c r="DZ43" s="76">
        <v>3.8</v>
      </c>
      <c r="EA43" s="76">
        <v>5</v>
      </c>
      <c r="EB43" s="76">
        <v>3.3</v>
      </c>
      <c r="EC43" s="76">
        <v>3.2</v>
      </c>
      <c r="ED43" s="76">
        <v>5.7</v>
      </c>
      <c r="EE43" s="76">
        <v>3.1</v>
      </c>
      <c r="EF43" s="76">
        <v>2.8</v>
      </c>
      <c r="EG43" s="76">
        <v>4.3</v>
      </c>
      <c r="EH43" s="76">
        <v>3.6</v>
      </c>
      <c r="EI43" s="76">
        <v>3.2</v>
      </c>
      <c r="EJ43" s="76">
        <v>4.8</v>
      </c>
      <c r="EK43" s="76">
        <v>4.2</v>
      </c>
      <c r="EL43" s="76">
        <v>2.8</v>
      </c>
      <c r="EM43" s="76">
        <v>4</v>
      </c>
      <c r="EN43" s="76">
        <v>3</v>
      </c>
      <c r="EO43" s="76">
        <v>4.0999999999999996</v>
      </c>
      <c r="EP43" s="76">
        <v>4.3</v>
      </c>
      <c r="EQ43" s="76">
        <v>4.9000000000000004</v>
      </c>
      <c r="ER43" s="76">
        <v>2.9</v>
      </c>
      <c r="ES43" s="76">
        <v>3.3</v>
      </c>
      <c r="ET43" s="76">
        <v>5.3</v>
      </c>
      <c r="EU43" s="76">
        <v>3.2</v>
      </c>
      <c r="EV43" s="76">
        <v>3.1</v>
      </c>
      <c r="EW43" s="76">
        <v>4.5</v>
      </c>
      <c r="EX43" s="76">
        <v>3.6</v>
      </c>
      <c r="EY43" s="76">
        <v>2.9</v>
      </c>
      <c r="EZ43" s="76">
        <v>5</v>
      </c>
      <c r="FA43" s="76">
        <v>3.9</v>
      </c>
      <c r="FB43" s="76">
        <v>3.5</v>
      </c>
      <c r="FC43" s="76">
        <v>3.5</v>
      </c>
      <c r="FD43" s="76">
        <v>3</v>
      </c>
      <c r="FE43" s="76">
        <v>4.0049999999999999</v>
      </c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148</v>
      </c>
      <c r="CT44" s="62">
        <v>140</v>
      </c>
      <c r="CU44" s="62">
        <v>172</v>
      </c>
      <c r="CV44" s="62">
        <v>105</v>
      </c>
      <c r="CW44" s="62">
        <v>113</v>
      </c>
      <c r="CX44" s="62">
        <v>186</v>
      </c>
      <c r="CY44" s="62">
        <v>116.01</v>
      </c>
      <c r="CZ44" s="62">
        <v>104</v>
      </c>
      <c r="DA44" s="62">
        <v>148</v>
      </c>
      <c r="DB44" s="62">
        <v>125</v>
      </c>
      <c r="DC44" s="62">
        <v>105</v>
      </c>
      <c r="DD44" s="62">
        <v>175</v>
      </c>
      <c r="DE44" s="62">
        <v>143</v>
      </c>
      <c r="DF44" s="62">
        <v>109</v>
      </c>
      <c r="DG44" s="62">
        <v>128</v>
      </c>
      <c r="DH44" s="62">
        <v>106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124</v>
      </c>
      <c r="DY44" s="76">
        <v>73</v>
      </c>
      <c r="DZ44" s="76">
        <v>66</v>
      </c>
      <c r="EA44" s="76">
        <v>88</v>
      </c>
      <c r="EB44" s="76">
        <v>55</v>
      </c>
      <c r="EC44" s="76">
        <v>57</v>
      </c>
      <c r="ED44" s="76">
        <v>96</v>
      </c>
      <c r="EE44" s="76">
        <v>52</v>
      </c>
      <c r="EF44" s="76">
        <v>51</v>
      </c>
      <c r="EG44" s="76">
        <v>70</v>
      </c>
      <c r="EH44" s="76">
        <v>63</v>
      </c>
      <c r="EI44" s="76">
        <v>52</v>
      </c>
      <c r="EJ44" s="76">
        <v>84</v>
      </c>
      <c r="EK44" s="76">
        <v>71</v>
      </c>
      <c r="EL44" s="76">
        <v>50</v>
      </c>
      <c r="EM44" s="76">
        <v>66</v>
      </c>
      <c r="EN44" s="76">
        <v>50</v>
      </c>
      <c r="EO44" s="76">
        <v>75</v>
      </c>
      <c r="EP44" s="76">
        <v>74</v>
      </c>
      <c r="EQ44" s="76">
        <v>84</v>
      </c>
      <c r="ER44" s="76">
        <v>50</v>
      </c>
      <c r="ES44" s="76">
        <v>56</v>
      </c>
      <c r="ET44" s="76">
        <v>90</v>
      </c>
      <c r="EU44" s="76">
        <v>56</v>
      </c>
      <c r="EV44" s="76">
        <v>53</v>
      </c>
      <c r="EW44" s="76">
        <v>78</v>
      </c>
      <c r="EX44" s="76">
        <v>62</v>
      </c>
      <c r="EY44" s="76">
        <v>53</v>
      </c>
      <c r="EZ44" s="76">
        <v>91</v>
      </c>
      <c r="FA44" s="76">
        <v>72</v>
      </c>
      <c r="FB44" s="76">
        <v>59</v>
      </c>
      <c r="FC44" s="76">
        <v>62</v>
      </c>
      <c r="FD44" s="76">
        <v>56</v>
      </c>
      <c r="FE44" s="76">
        <v>8.01</v>
      </c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34</v>
      </c>
      <c r="CT45" s="62">
        <v>34</v>
      </c>
      <c r="CU45" s="62">
        <v>34</v>
      </c>
      <c r="CV45" s="62">
        <v>34</v>
      </c>
      <c r="CW45" s="62">
        <v>34</v>
      </c>
      <c r="CX45" s="62">
        <v>34</v>
      </c>
      <c r="CY45" s="62">
        <v>36</v>
      </c>
      <c r="CZ45" s="62">
        <v>34</v>
      </c>
      <c r="DA45" s="62">
        <v>34</v>
      </c>
      <c r="DB45" s="62">
        <v>34</v>
      </c>
      <c r="DC45" s="62">
        <v>34</v>
      </c>
      <c r="DD45" s="62">
        <v>34</v>
      </c>
      <c r="DE45" s="62">
        <v>34</v>
      </c>
      <c r="DF45" s="62">
        <v>34</v>
      </c>
      <c r="DG45" s="62">
        <v>34</v>
      </c>
      <c r="DH45" s="62">
        <v>34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125</v>
      </c>
      <c r="DY45" s="76">
        <v>17</v>
      </c>
      <c r="DZ45" s="76">
        <v>17</v>
      </c>
      <c r="EA45" s="76">
        <v>17</v>
      </c>
      <c r="EB45" s="76">
        <v>17</v>
      </c>
      <c r="EC45" s="76">
        <v>17</v>
      </c>
      <c r="ED45" s="76">
        <v>17</v>
      </c>
      <c r="EE45" s="76">
        <v>17</v>
      </c>
      <c r="EF45" s="76">
        <v>17</v>
      </c>
      <c r="EG45" s="76">
        <v>17</v>
      </c>
      <c r="EH45" s="76">
        <v>17</v>
      </c>
      <c r="EI45" s="76">
        <v>17</v>
      </c>
      <c r="EJ45" s="76">
        <v>17</v>
      </c>
      <c r="EK45" s="76">
        <v>17</v>
      </c>
      <c r="EL45" s="76">
        <v>17</v>
      </c>
      <c r="EM45" s="76">
        <v>17</v>
      </c>
      <c r="EN45" s="76">
        <v>17</v>
      </c>
      <c r="EO45" s="76">
        <v>17</v>
      </c>
      <c r="EP45" s="76">
        <v>17</v>
      </c>
      <c r="EQ45" s="76">
        <v>17</v>
      </c>
      <c r="ER45" s="76">
        <v>17</v>
      </c>
      <c r="ES45" s="76">
        <v>17</v>
      </c>
      <c r="ET45" s="76">
        <v>17</v>
      </c>
      <c r="EU45" s="76">
        <v>17</v>
      </c>
      <c r="EV45" s="76">
        <v>17</v>
      </c>
      <c r="EW45" s="76">
        <v>17</v>
      </c>
      <c r="EX45" s="76">
        <v>17</v>
      </c>
      <c r="EY45" s="76">
        <v>17</v>
      </c>
      <c r="EZ45" s="76">
        <v>17</v>
      </c>
      <c r="FA45" s="76">
        <v>17</v>
      </c>
      <c r="FB45" s="76">
        <v>17</v>
      </c>
      <c r="FC45" s="76">
        <v>17</v>
      </c>
      <c r="FD45" s="76">
        <v>17</v>
      </c>
      <c r="FE45" s="76">
        <v>2</v>
      </c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4.3529411764705879</v>
      </c>
      <c r="CT46" s="62">
        <v>4.117647058823529</v>
      </c>
      <c r="CU46" s="62">
        <v>5.0588235294117645</v>
      </c>
      <c r="CV46" s="62">
        <v>3.0882352941176472</v>
      </c>
      <c r="CW46" s="62">
        <v>3.3235294117647061</v>
      </c>
      <c r="CX46" s="62">
        <v>5.4705882352941178</v>
      </c>
      <c r="CY46" s="62">
        <v>3.2225000000000001</v>
      </c>
      <c r="CZ46" s="62">
        <v>3.0588235294117645</v>
      </c>
      <c r="DA46" s="62">
        <v>4.3529411764705879</v>
      </c>
      <c r="DB46" s="62">
        <v>3.6764705882352939</v>
      </c>
      <c r="DC46" s="62">
        <v>3.0882352941176472</v>
      </c>
      <c r="DD46" s="62">
        <v>5.1470588235294121</v>
      </c>
      <c r="DE46" s="62">
        <v>4.2058823529411766</v>
      </c>
      <c r="DF46" s="62">
        <v>3.2058823529411766</v>
      </c>
      <c r="DG46" s="62">
        <v>3.7647058823529411</v>
      </c>
      <c r="DH46" s="62">
        <v>3.1176470588235294</v>
      </c>
      <c r="DI46" s="62" t="e">
        <v>#DIV/0!</v>
      </c>
      <c r="DJ46" s="62" t="e">
        <v>#DIV/0!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126</v>
      </c>
      <c r="DY46" s="76">
        <v>4.2941176470588234</v>
      </c>
      <c r="DZ46" s="76">
        <v>3.8823529411764706</v>
      </c>
      <c r="EA46" s="76">
        <v>5.1764705882352944</v>
      </c>
      <c r="EB46" s="76">
        <v>3.2352941176470589</v>
      </c>
      <c r="EC46" s="76">
        <v>3.3529411764705883</v>
      </c>
      <c r="ED46" s="76">
        <v>5.6470588235294121</v>
      </c>
      <c r="EE46" s="76">
        <v>3.0588235294117645</v>
      </c>
      <c r="EF46" s="76">
        <v>3</v>
      </c>
      <c r="EG46" s="76">
        <v>4.117647058823529</v>
      </c>
      <c r="EH46" s="76">
        <v>3.7058823529411766</v>
      </c>
      <c r="EI46" s="76">
        <v>3.0588235294117645</v>
      </c>
      <c r="EJ46" s="76">
        <v>4.9411764705882355</v>
      </c>
      <c r="EK46" s="76">
        <v>4.1764705882352944</v>
      </c>
      <c r="EL46" s="76">
        <v>2.9411764705882355</v>
      </c>
      <c r="EM46" s="76">
        <v>3.8823529411764706</v>
      </c>
      <c r="EN46" s="76">
        <v>2.9411764705882355</v>
      </c>
      <c r="EO46" s="76">
        <v>4.4117647058823533</v>
      </c>
      <c r="EP46" s="76">
        <v>4.3529411764705879</v>
      </c>
      <c r="EQ46" s="76">
        <v>4.9411764705882355</v>
      </c>
      <c r="ER46" s="76">
        <v>2.9411764705882355</v>
      </c>
      <c r="ES46" s="76">
        <v>3.2941176470588234</v>
      </c>
      <c r="ET46" s="76">
        <v>5.2941176470588234</v>
      </c>
      <c r="EU46" s="76">
        <v>3.2941176470588234</v>
      </c>
      <c r="EV46" s="76">
        <v>3.1176470588235294</v>
      </c>
      <c r="EW46" s="76">
        <v>4.5882352941176467</v>
      </c>
      <c r="EX46" s="76">
        <v>3.6470588235294117</v>
      </c>
      <c r="EY46" s="76">
        <v>3.1176470588235294</v>
      </c>
      <c r="EZ46" s="76">
        <v>5.3529411764705879</v>
      </c>
      <c r="FA46" s="76">
        <v>4.2352941176470589</v>
      </c>
      <c r="FB46" s="76">
        <v>3.4705882352941178</v>
      </c>
      <c r="FC46" s="76">
        <v>3.6470588235294117</v>
      </c>
      <c r="FD46" s="76">
        <v>3.2941176470588234</v>
      </c>
      <c r="FE46" s="76">
        <v>4.0049999999999999</v>
      </c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239</v>
      </c>
      <c r="CT47" s="62">
        <v>231</v>
      </c>
      <c r="CU47" s="62">
        <v>271</v>
      </c>
      <c r="CV47" s="62">
        <v>166</v>
      </c>
      <c r="CW47" s="62">
        <v>183</v>
      </c>
      <c r="CX47" s="62">
        <v>295</v>
      </c>
      <c r="CY47" s="62">
        <v>185.01</v>
      </c>
      <c r="CZ47" s="62">
        <v>167</v>
      </c>
      <c r="DA47" s="62">
        <v>239</v>
      </c>
      <c r="DB47" s="62">
        <v>202</v>
      </c>
      <c r="DC47" s="62">
        <v>168</v>
      </c>
      <c r="DD47" s="62">
        <v>278</v>
      </c>
      <c r="DE47" s="62">
        <v>231</v>
      </c>
      <c r="DF47" s="62">
        <v>180</v>
      </c>
      <c r="DG47" s="62">
        <v>206</v>
      </c>
      <c r="DH47" s="62">
        <v>174</v>
      </c>
      <c r="DI47" s="62">
        <v>0</v>
      </c>
      <c r="DJ47" s="62">
        <v>0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127</v>
      </c>
      <c r="DY47" s="76">
        <v>121</v>
      </c>
      <c r="DZ47" s="76">
        <v>111</v>
      </c>
      <c r="EA47" s="76">
        <v>139</v>
      </c>
      <c r="EB47" s="76">
        <v>85</v>
      </c>
      <c r="EC47" s="76">
        <v>94</v>
      </c>
      <c r="ED47" s="76">
        <v>151</v>
      </c>
      <c r="EE47" s="76">
        <v>87</v>
      </c>
      <c r="EF47" s="76">
        <v>85</v>
      </c>
      <c r="EG47" s="76">
        <v>114</v>
      </c>
      <c r="EH47" s="76">
        <v>105</v>
      </c>
      <c r="EI47" s="76">
        <v>84</v>
      </c>
      <c r="EJ47" s="76">
        <v>134</v>
      </c>
      <c r="EK47" s="76">
        <v>114</v>
      </c>
      <c r="EL47" s="76">
        <v>85</v>
      </c>
      <c r="EM47" s="76">
        <v>108</v>
      </c>
      <c r="EN47" s="76">
        <v>85</v>
      </c>
      <c r="EO47" s="76">
        <v>118</v>
      </c>
      <c r="EP47" s="76">
        <v>120</v>
      </c>
      <c r="EQ47" s="76">
        <v>132</v>
      </c>
      <c r="ER47" s="76">
        <v>81</v>
      </c>
      <c r="ES47" s="76">
        <v>89</v>
      </c>
      <c r="ET47" s="76">
        <v>144</v>
      </c>
      <c r="EU47" s="76">
        <v>90</v>
      </c>
      <c r="EV47" s="76">
        <v>82</v>
      </c>
      <c r="EW47" s="76">
        <v>125</v>
      </c>
      <c r="EX47" s="76">
        <v>97</v>
      </c>
      <c r="EY47" s="76">
        <v>84</v>
      </c>
      <c r="EZ47" s="76">
        <v>144</v>
      </c>
      <c r="FA47" s="76">
        <v>117</v>
      </c>
      <c r="FB47" s="76">
        <v>95</v>
      </c>
      <c r="FC47" s="76">
        <v>98</v>
      </c>
      <c r="FD47" s="76">
        <v>89</v>
      </c>
      <c r="FE47" s="76">
        <v>8.01</v>
      </c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56</v>
      </c>
      <c r="CT48" s="62">
        <v>56</v>
      </c>
      <c r="CU48" s="62">
        <v>56</v>
      </c>
      <c r="CV48" s="62">
        <v>56</v>
      </c>
      <c r="CW48" s="62">
        <v>56</v>
      </c>
      <c r="CX48" s="62">
        <v>56</v>
      </c>
      <c r="CY48" s="62">
        <v>58</v>
      </c>
      <c r="CZ48" s="62">
        <v>56</v>
      </c>
      <c r="DA48" s="62">
        <v>56</v>
      </c>
      <c r="DB48" s="62">
        <v>56</v>
      </c>
      <c r="DC48" s="62">
        <v>56</v>
      </c>
      <c r="DD48" s="62">
        <v>56</v>
      </c>
      <c r="DE48" s="62">
        <v>56</v>
      </c>
      <c r="DF48" s="62">
        <v>56</v>
      </c>
      <c r="DG48" s="62">
        <v>56</v>
      </c>
      <c r="DH48" s="62">
        <v>56</v>
      </c>
      <c r="DI48" s="62">
        <v>0</v>
      </c>
      <c r="DJ48" s="62">
        <v>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128</v>
      </c>
      <c r="DY48" s="76">
        <v>28</v>
      </c>
      <c r="DZ48" s="76">
        <v>28</v>
      </c>
      <c r="EA48" s="76">
        <v>28</v>
      </c>
      <c r="EB48" s="76">
        <v>28</v>
      </c>
      <c r="EC48" s="76">
        <v>28</v>
      </c>
      <c r="ED48" s="76">
        <v>28</v>
      </c>
      <c r="EE48" s="76">
        <v>28</v>
      </c>
      <c r="EF48" s="76">
        <v>28</v>
      </c>
      <c r="EG48" s="76">
        <v>28</v>
      </c>
      <c r="EH48" s="76">
        <v>28</v>
      </c>
      <c r="EI48" s="76">
        <v>28</v>
      </c>
      <c r="EJ48" s="76">
        <v>28</v>
      </c>
      <c r="EK48" s="76">
        <v>28</v>
      </c>
      <c r="EL48" s="76">
        <v>28</v>
      </c>
      <c r="EM48" s="76">
        <v>28</v>
      </c>
      <c r="EN48" s="76">
        <v>28</v>
      </c>
      <c r="EO48" s="76">
        <v>28</v>
      </c>
      <c r="EP48" s="76">
        <v>28</v>
      </c>
      <c r="EQ48" s="76">
        <v>28</v>
      </c>
      <c r="ER48" s="76">
        <v>28</v>
      </c>
      <c r="ES48" s="76">
        <v>28</v>
      </c>
      <c r="ET48" s="76">
        <v>28</v>
      </c>
      <c r="EU48" s="76">
        <v>28</v>
      </c>
      <c r="EV48" s="76">
        <v>28</v>
      </c>
      <c r="EW48" s="76">
        <v>28</v>
      </c>
      <c r="EX48" s="76">
        <v>28</v>
      </c>
      <c r="EY48" s="76">
        <v>28</v>
      </c>
      <c r="EZ48" s="76">
        <v>28</v>
      </c>
      <c r="FA48" s="76">
        <v>28</v>
      </c>
      <c r="FB48" s="76">
        <v>28</v>
      </c>
      <c r="FC48" s="76">
        <v>28</v>
      </c>
      <c r="FD48" s="76">
        <v>28</v>
      </c>
      <c r="FE48" s="76">
        <v>2</v>
      </c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4.2678571428571432</v>
      </c>
      <c r="CT49" s="62">
        <v>4.125</v>
      </c>
      <c r="CU49" s="62">
        <v>4.8392857142857144</v>
      </c>
      <c r="CV49" s="62">
        <v>2.9642857142857144</v>
      </c>
      <c r="CW49" s="62">
        <v>3.2678571428571428</v>
      </c>
      <c r="CX49" s="62">
        <v>5.2678571428571432</v>
      </c>
      <c r="CY49" s="62">
        <v>3.1898275862068965</v>
      </c>
      <c r="CZ49" s="62">
        <v>2.9821428571428572</v>
      </c>
      <c r="DA49" s="62">
        <v>4.2678571428571432</v>
      </c>
      <c r="DB49" s="62">
        <v>3.6071428571428572</v>
      </c>
      <c r="DC49" s="62">
        <v>3</v>
      </c>
      <c r="DD49" s="62">
        <v>4.9642857142857144</v>
      </c>
      <c r="DE49" s="62">
        <v>4.125</v>
      </c>
      <c r="DF49" s="62">
        <v>3.2142857142857144</v>
      </c>
      <c r="DG49" s="62">
        <v>3.6785714285714284</v>
      </c>
      <c r="DH49" s="62">
        <v>3.1071428571428572</v>
      </c>
      <c r="DI49" s="62" t="e">
        <v>#DIV/0!</v>
      </c>
      <c r="DJ49" s="62" t="e">
        <v>#DIV/0!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129</v>
      </c>
      <c r="DY49" s="76">
        <v>4.3214285714285712</v>
      </c>
      <c r="DZ49" s="76">
        <v>3.9642857142857144</v>
      </c>
      <c r="EA49" s="76">
        <v>4.9642857142857144</v>
      </c>
      <c r="EB49" s="76">
        <v>3.0357142857142856</v>
      </c>
      <c r="EC49" s="76">
        <v>3.3571428571428572</v>
      </c>
      <c r="ED49" s="76">
        <v>5.3928571428571432</v>
      </c>
      <c r="EE49" s="76">
        <v>3.1071428571428572</v>
      </c>
      <c r="EF49" s="76">
        <v>3.0357142857142856</v>
      </c>
      <c r="EG49" s="76">
        <v>4.0714285714285712</v>
      </c>
      <c r="EH49" s="76">
        <v>3.75</v>
      </c>
      <c r="EI49" s="76">
        <v>3</v>
      </c>
      <c r="EJ49" s="76">
        <v>4.7857142857142856</v>
      </c>
      <c r="EK49" s="76">
        <v>4.0714285714285712</v>
      </c>
      <c r="EL49" s="76">
        <v>3.0357142857142856</v>
      </c>
      <c r="EM49" s="76">
        <v>3.8571428571428572</v>
      </c>
      <c r="EN49" s="76">
        <v>3.0357142857142856</v>
      </c>
      <c r="EO49" s="76">
        <v>4.2142857142857144</v>
      </c>
      <c r="EP49" s="76">
        <v>4.2857142857142856</v>
      </c>
      <c r="EQ49" s="76">
        <v>4.7142857142857144</v>
      </c>
      <c r="ER49" s="76">
        <v>2.8928571428571428</v>
      </c>
      <c r="ES49" s="76">
        <v>3.1785714285714284</v>
      </c>
      <c r="ET49" s="76">
        <v>5.1428571428571432</v>
      </c>
      <c r="EU49" s="76">
        <v>3.2142857142857144</v>
      </c>
      <c r="EV49" s="76">
        <v>2.9285714285714284</v>
      </c>
      <c r="EW49" s="76">
        <v>4.4642857142857144</v>
      </c>
      <c r="EX49" s="76">
        <v>3.4642857142857144</v>
      </c>
      <c r="EY49" s="76">
        <v>3</v>
      </c>
      <c r="EZ49" s="76">
        <v>5.1428571428571432</v>
      </c>
      <c r="FA49" s="76">
        <v>4.1785714285714288</v>
      </c>
      <c r="FB49" s="76">
        <v>3.3928571428571428</v>
      </c>
      <c r="FC49" s="76">
        <v>3.5</v>
      </c>
      <c r="FD49" s="76">
        <v>3.1785714285714284</v>
      </c>
      <c r="FE49" s="76">
        <v>4.0049999999999999</v>
      </c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312</v>
      </c>
      <c r="CT50" s="62">
        <v>312</v>
      </c>
      <c r="CU50" s="62">
        <v>363</v>
      </c>
      <c r="CV50" s="62">
        <v>223</v>
      </c>
      <c r="CW50" s="62">
        <v>241</v>
      </c>
      <c r="CX50" s="62">
        <v>389</v>
      </c>
      <c r="CY50" s="62">
        <v>251.01</v>
      </c>
      <c r="CZ50" s="62">
        <v>225</v>
      </c>
      <c r="DA50" s="62">
        <v>325</v>
      </c>
      <c r="DB50" s="62">
        <v>265</v>
      </c>
      <c r="DC50" s="62">
        <v>220</v>
      </c>
      <c r="DD50" s="62">
        <v>373</v>
      </c>
      <c r="DE50" s="62">
        <v>310</v>
      </c>
      <c r="DF50" s="62">
        <v>242</v>
      </c>
      <c r="DG50" s="62">
        <v>273</v>
      </c>
      <c r="DH50" s="62">
        <v>231</v>
      </c>
      <c r="DI50" s="62">
        <v>0</v>
      </c>
      <c r="DJ50" s="62">
        <v>0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130</v>
      </c>
      <c r="DY50" s="76">
        <v>158</v>
      </c>
      <c r="DZ50" s="76">
        <v>148</v>
      </c>
      <c r="EA50" s="76">
        <v>186</v>
      </c>
      <c r="EB50" s="76">
        <v>114</v>
      </c>
      <c r="EC50" s="76">
        <v>123</v>
      </c>
      <c r="ED50" s="76">
        <v>195</v>
      </c>
      <c r="EE50" s="76">
        <v>118</v>
      </c>
      <c r="EF50" s="76">
        <v>114</v>
      </c>
      <c r="EG50" s="76">
        <v>158</v>
      </c>
      <c r="EH50" s="76">
        <v>135</v>
      </c>
      <c r="EI50" s="76">
        <v>110</v>
      </c>
      <c r="EJ50" s="76">
        <v>181</v>
      </c>
      <c r="EK50" s="76">
        <v>154</v>
      </c>
      <c r="EL50" s="76">
        <v>118</v>
      </c>
      <c r="EM50" s="76">
        <v>140</v>
      </c>
      <c r="EN50" s="76">
        <v>116</v>
      </c>
      <c r="EO50" s="76">
        <v>154</v>
      </c>
      <c r="EP50" s="76">
        <v>164</v>
      </c>
      <c r="EQ50" s="76">
        <v>177</v>
      </c>
      <c r="ER50" s="76">
        <v>109</v>
      </c>
      <c r="ES50" s="76">
        <v>118</v>
      </c>
      <c r="ET50" s="76">
        <v>194</v>
      </c>
      <c r="EU50" s="76">
        <v>125</v>
      </c>
      <c r="EV50" s="76">
        <v>111</v>
      </c>
      <c r="EW50" s="76">
        <v>167</v>
      </c>
      <c r="EX50" s="76">
        <v>130</v>
      </c>
      <c r="EY50" s="76">
        <v>110</v>
      </c>
      <c r="EZ50" s="76">
        <v>192</v>
      </c>
      <c r="FA50" s="76">
        <v>156</v>
      </c>
      <c r="FB50" s="76">
        <v>124</v>
      </c>
      <c r="FC50" s="76">
        <v>133</v>
      </c>
      <c r="FD50" s="76">
        <v>115</v>
      </c>
      <c r="FE50" s="76">
        <v>8.01</v>
      </c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74</v>
      </c>
      <c r="CT51" s="62">
        <v>74</v>
      </c>
      <c r="CU51" s="62">
        <v>74</v>
      </c>
      <c r="CV51" s="62">
        <v>74</v>
      </c>
      <c r="CW51" s="62">
        <v>74</v>
      </c>
      <c r="CX51" s="62">
        <v>74</v>
      </c>
      <c r="CY51" s="62">
        <v>76</v>
      </c>
      <c r="CZ51" s="62">
        <v>74</v>
      </c>
      <c r="DA51" s="62">
        <v>74</v>
      </c>
      <c r="DB51" s="62">
        <v>74</v>
      </c>
      <c r="DC51" s="62">
        <v>74</v>
      </c>
      <c r="DD51" s="62">
        <v>74</v>
      </c>
      <c r="DE51" s="62">
        <v>74</v>
      </c>
      <c r="DF51" s="62">
        <v>74</v>
      </c>
      <c r="DG51" s="62">
        <v>74</v>
      </c>
      <c r="DH51" s="62">
        <v>74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131</v>
      </c>
      <c r="DY51" s="76">
        <v>37</v>
      </c>
      <c r="DZ51" s="76">
        <v>37</v>
      </c>
      <c r="EA51" s="76">
        <v>37</v>
      </c>
      <c r="EB51" s="76">
        <v>37</v>
      </c>
      <c r="EC51" s="76">
        <v>37</v>
      </c>
      <c r="ED51" s="76">
        <v>37</v>
      </c>
      <c r="EE51" s="76">
        <v>37</v>
      </c>
      <c r="EF51" s="76">
        <v>37</v>
      </c>
      <c r="EG51" s="76">
        <v>37</v>
      </c>
      <c r="EH51" s="76">
        <v>37</v>
      </c>
      <c r="EI51" s="76">
        <v>37</v>
      </c>
      <c r="EJ51" s="76">
        <v>37</v>
      </c>
      <c r="EK51" s="76">
        <v>37</v>
      </c>
      <c r="EL51" s="76">
        <v>37</v>
      </c>
      <c r="EM51" s="76">
        <v>37</v>
      </c>
      <c r="EN51" s="76">
        <v>37</v>
      </c>
      <c r="EO51" s="76">
        <v>37</v>
      </c>
      <c r="EP51" s="76">
        <v>37</v>
      </c>
      <c r="EQ51" s="76">
        <v>37</v>
      </c>
      <c r="ER51" s="76">
        <v>37</v>
      </c>
      <c r="ES51" s="76">
        <v>37</v>
      </c>
      <c r="ET51" s="76">
        <v>37</v>
      </c>
      <c r="EU51" s="76">
        <v>37</v>
      </c>
      <c r="EV51" s="76">
        <v>37</v>
      </c>
      <c r="EW51" s="76">
        <v>37</v>
      </c>
      <c r="EX51" s="76">
        <v>37</v>
      </c>
      <c r="EY51" s="76">
        <v>37</v>
      </c>
      <c r="EZ51" s="76">
        <v>37</v>
      </c>
      <c r="FA51" s="76">
        <v>37</v>
      </c>
      <c r="FB51" s="76">
        <v>37</v>
      </c>
      <c r="FC51" s="76">
        <v>37</v>
      </c>
      <c r="FD51" s="76">
        <v>37</v>
      </c>
      <c r="FE51" s="76">
        <v>2</v>
      </c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4.2162162162162158</v>
      </c>
      <c r="CT52" s="62">
        <v>4.2162162162162158</v>
      </c>
      <c r="CU52" s="62">
        <v>4.9054054054054053</v>
      </c>
      <c r="CV52" s="62">
        <v>3.0135135135135136</v>
      </c>
      <c r="CW52" s="62">
        <v>3.2567567567567566</v>
      </c>
      <c r="CX52" s="62">
        <v>5.256756756756757</v>
      </c>
      <c r="CY52" s="62">
        <v>3.3027631578947365</v>
      </c>
      <c r="CZ52" s="62">
        <v>3.0405405405405403</v>
      </c>
      <c r="DA52" s="62">
        <v>4.3918918918918921</v>
      </c>
      <c r="DB52" s="62">
        <v>3.5810810810810811</v>
      </c>
      <c r="DC52" s="62">
        <v>2.9729729729729728</v>
      </c>
      <c r="DD52" s="62">
        <v>5.0405405405405403</v>
      </c>
      <c r="DE52" s="62">
        <v>4.1891891891891895</v>
      </c>
      <c r="DF52" s="62">
        <v>3.2702702702702702</v>
      </c>
      <c r="DG52" s="62">
        <v>3.689189189189189</v>
      </c>
      <c r="DH52" s="62">
        <v>3.1216216216216215</v>
      </c>
      <c r="DI52" s="62" t="e">
        <v>#DIV/0!</v>
      </c>
      <c r="DJ52" s="62" t="e">
        <v>#DIV/0!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132</v>
      </c>
      <c r="DY52" s="76">
        <v>4.2702702702702702</v>
      </c>
      <c r="DZ52" s="76">
        <v>4</v>
      </c>
      <c r="EA52" s="76">
        <v>5.0270270270270272</v>
      </c>
      <c r="EB52" s="76">
        <v>3.0810810810810811</v>
      </c>
      <c r="EC52" s="76">
        <v>3.3243243243243241</v>
      </c>
      <c r="ED52" s="76">
        <v>5.2702702702702702</v>
      </c>
      <c r="EE52" s="76">
        <v>3.189189189189189</v>
      </c>
      <c r="EF52" s="76">
        <v>3.0810810810810811</v>
      </c>
      <c r="EG52" s="76">
        <v>4.2702702702702702</v>
      </c>
      <c r="EH52" s="76">
        <v>3.6486486486486487</v>
      </c>
      <c r="EI52" s="76">
        <v>2.9729729729729728</v>
      </c>
      <c r="EJ52" s="76">
        <v>4.8918918918918921</v>
      </c>
      <c r="EK52" s="76">
        <v>4.1621621621621623</v>
      </c>
      <c r="EL52" s="76">
        <v>3.189189189189189</v>
      </c>
      <c r="EM52" s="76">
        <v>3.7837837837837838</v>
      </c>
      <c r="EN52" s="76">
        <v>3.1351351351351351</v>
      </c>
      <c r="EO52" s="76">
        <v>4.1621621621621623</v>
      </c>
      <c r="EP52" s="76">
        <v>4.4324324324324325</v>
      </c>
      <c r="EQ52" s="76">
        <v>4.7837837837837842</v>
      </c>
      <c r="ER52" s="76">
        <v>2.9459459459459461</v>
      </c>
      <c r="ES52" s="76">
        <v>3.189189189189189</v>
      </c>
      <c r="ET52" s="76">
        <v>5.243243243243243</v>
      </c>
      <c r="EU52" s="76">
        <v>3.3783783783783785</v>
      </c>
      <c r="EV52" s="76">
        <v>3</v>
      </c>
      <c r="EW52" s="76">
        <v>4.5135135135135132</v>
      </c>
      <c r="EX52" s="76">
        <v>3.5135135135135136</v>
      </c>
      <c r="EY52" s="76">
        <v>2.9729729729729728</v>
      </c>
      <c r="EZ52" s="76">
        <v>5.1891891891891895</v>
      </c>
      <c r="FA52" s="76">
        <v>4.2162162162162158</v>
      </c>
      <c r="FB52" s="76">
        <v>3.3513513513513513</v>
      </c>
      <c r="FC52" s="76">
        <v>3.5945945945945947</v>
      </c>
      <c r="FD52" s="76">
        <v>3.1081081081081079</v>
      </c>
      <c r="FE52" s="76">
        <v>4.0049999999999999</v>
      </c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354</v>
      </c>
      <c r="CT53" s="62">
        <v>364</v>
      </c>
      <c r="CU53" s="62">
        <v>429</v>
      </c>
      <c r="CV53" s="62">
        <v>247</v>
      </c>
      <c r="CW53" s="62">
        <v>270</v>
      </c>
      <c r="CX53" s="62">
        <v>437</v>
      </c>
      <c r="CY53" s="62">
        <v>268</v>
      </c>
      <c r="CZ53" s="62">
        <v>254</v>
      </c>
      <c r="DA53" s="62">
        <v>367</v>
      </c>
      <c r="DB53" s="62">
        <v>306</v>
      </c>
      <c r="DC53" s="62">
        <v>250</v>
      </c>
      <c r="DD53" s="62">
        <v>428</v>
      </c>
      <c r="DE53" s="62">
        <v>353</v>
      </c>
      <c r="DF53" s="62">
        <v>275</v>
      </c>
      <c r="DG53" s="62">
        <v>300</v>
      </c>
      <c r="DH53" s="62">
        <v>256</v>
      </c>
      <c r="DI53" s="62">
        <v>0</v>
      </c>
      <c r="DJ53" s="62">
        <v>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77</v>
      </c>
      <c r="DY53" s="76">
        <v>180</v>
      </c>
      <c r="DZ53" s="76">
        <v>174</v>
      </c>
      <c r="EA53" s="76">
        <v>217</v>
      </c>
      <c r="EB53" s="76">
        <v>126</v>
      </c>
      <c r="EC53" s="76">
        <v>138</v>
      </c>
      <c r="ED53" s="76">
        <v>226</v>
      </c>
      <c r="EE53" s="76">
        <v>133</v>
      </c>
      <c r="EF53" s="76">
        <v>129</v>
      </c>
      <c r="EG53" s="76">
        <v>182</v>
      </c>
      <c r="EH53" s="76">
        <v>156</v>
      </c>
      <c r="EI53" s="76">
        <v>121</v>
      </c>
      <c r="EJ53" s="76">
        <v>207</v>
      </c>
      <c r="EK53" s="76">
        <v>173</v>
      </c>
      <c r="EL53" s="76">
        <v>141</v>
      </c>
      <c r="EM53" s="76">
        <v>154</v>
      </c>
      <c r="EN53" s="76">
        <v>131</v>
      </c>
      <c r="EO53" s="76">
        <v>174</v>
      </c>
      <c r="EP53" s="76">
        <v>190</v>
      </c>
      <c r="EQ53" s="76">
        <v>212</v>
      </c>
      <c r="ER53" s="76">
        <v>121</v>
      </c>
      <c r="ES53" s="76">
        <v>132</v>
      </c>
      <c r="ET53" s="76">
        <v>211</v>
      </c>
      <c r="EU53" s="76">
        <v>135</v>
      </c>
      <c r="EV53" s="76">
        <v>125</v>
      </c>
      <c r="EW53" s="76">
        <v>185</v>
      </c>
      <c r="EX53" s="76">
        <v>150</v>
      </c>
      <c r="EY53" s="76">
        <v>129</v>
      </c>
      <c r="EZ53" s="76">
        <v>221</v>
      </c>
      <c r="FA53" s="76">
        <v>180</v>
      </c>
      <c r="FB53" s="76">
        <v>134</v>
      </c>
      <c r="FC53" s="76">
        <v>146</v>
      </c>
      <c r="FD53" s="76">
        <v>125</v>
      </c>
      <c r="FE53" s="76">
        <v>0</v>
      </c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83</v>
      </c>
      <c r="CT54" s="62">
        <v>82</v>
      </c>
      <c r="CU54" s="62">
        <v>83</v>
      </c>
      <c r="CV54" s="62">
        <v>83</v>
      </c>
      <c r="CW54" s="62">
        <v>83</v>
      </c>
      <c r="CX54" s="62">
        <v>82</v>
      </c>
      <c r="CY54" s="62">
        <v>83</v>
      </c>
      <c r="CZ54" s="62">
        <v>83</v>
      </c>
      <c r="DA54" s="62">
        <v>83</v>
      </c>
      <c r="DB54" s="62">
        <v>83</v>
      </c>
      <c r="DC54" s="62">
        <v>83</v>
      </c>
      <c r="DD54" s="62">
        <v>83</v>
      </c>
      <c r="DE54" s="62">
        <v>83</v>
      </c>
      <c r="DF54" s="62">
        <v>83</v>
      </c>
      <c r="DG54" s="62">
        <v>83</v>
      </c>
      <c r="DH54" s="62">
        <v>83</v>
      </c>
      <c r="DI54" s="62">
        <v>0</v>
      </c>
      <c r="DJ54" s="62">
        <v>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78</v>
      </c>
      <c r="DY54" s="76">
        <v>42</v>
      </c>
      <c r="DZ54" s="76">
        <v>41</v>
      </c>
      <c r="EA54" s="76">
        <v>42</v>
      </c>
      <c r="EB54" s="76">
        <v>42</v>
      </c>
      <c r="EC54" s="76">
        <v>42</v>
      </c>
      <c r="ED54" s="76">
        <v>42</v>
      </c>
      <c r="EE54" s="76">
        <v>42</v>
      </c>
      <c r="EF54" s="76">
        <v>42</v>
      </c>
      <c r="EG54" s="76">
        <v>42</v>
      </c>
      <c r="EH54" s="76">
        <v>42</v>
      </c>
      <c r="EI54" s="76">
        <v>42</v>
      </c>
      <c r="EJ54" s="76">
        <v>42</v>
      </c>
      <c r="EK54" s="76">
        <v>42</v>
      </c>
      <c r="EL54" s="76">
        <v>42</v>
      </c>
      <c r="EM54" s="76">
        <v>42</v>
      </c>
      <c r="EN54" s="76">
        <v>42</v>
      </c>
      <c r="EO54" s="76">
        <v>41</v>
      </c>
      <c r="EP54" s="76">
        <v>41</v>
      </c>
      <c r="EQ54" s="76">
        <v>41</v>
      </c>
      <c r="ER54" s="76">
        <v>41</v>
      </c>
      <c r="ES54" s="76">
        <v>41</v>
      </c>
      <c r="ET54" s="76">
        <v>40</v>
      </c>
      <c r="EU54" s="76">
        <v>41</v>
      </c>
      <c r="EV54" s="76">
        <v>41</v>
      </c>
      <c r="EW54" s="76">
        <v>41</v>
      </c>
      <c r="EX54" s="76">
        <v>41</v>
      </c>
      <c r="EY54" s="76">
        <v>41</v>
      </c>
      <c r="EZ54" s="76">
        <v>41</v>
      </c>
      <c r="FA54" s="76">
        <v>41</v>
      </c>
      <c r="FB54" s="76">
        <v>41</v>
      </c>
      <c r="FC54" s="76">
        <v>41</v>
      </c>
      <c r="FD54" s="76">
        <v>41</v>
      </c>
      <c r="FE54" s="76">
        <v>0</v>
      </c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4.2650602409638552</v>
      </c>
      <c r="CT55" s="62">
        <v>4.4390243902439028</v>
      </c>
      <c r="CU55" s="62">
        <v>5.168674698795181</v>
      </c>
      <c r="CV55" s="62">
        <v>2.9759036144578315</v>
      </c>
      <c r="CW55" s="62">
        <v>3.2530120481927711</v>
      </c>
      <c r="CX55" s="62">
        <v>5.3292682926829267</v>
      </c>
      <c r="CY55" s="62">
        <v>3.2289156626506026</v>
      </c>
      <c r="CZ55" s="62">
        <v>3.0602409638554215</v>
      </c>
      <c r="DA55" s="62">
        <v>4.4216867469879517</v>
      </c>
      <c r="DB55" s="62">
        <v>3.6867469879518073</v>
      </c>
      <c r="DC55" s="62">
        <v>3.0120481927710845</v>
      </c>
      <c r="DD55" s="62">
        <v>5.1566265060240966</v>
      </c>
      <c r="DE55" s="62">
        <v>4.2530120481927707</v>
      </c>
      <c r="DF55" s="62">
        <v>3.3132530120481927</v>
      </c>
      <c r="DG55" s="62">
        <v>3.6144578313253013</v>
      </c>
      <c r="DH55" s="62">
        <v>3.0843373493975905</v>
      </c>
      <c r="DI55" s="62" t="e">
        <v>#DIV/0!</v>
      </c>
      <c r="DJ55" s="62" t="e">
        <v>#DIV/0!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79</v>
      </c>
      <c r="DY55" s="76">
        <v>4.2857142857142856</v>
      </c>
      <c r="DZ55" s="76">
        <v>4.2439024390243905</v>
      </c>
      <c r="EA55" s="76">
        <v>5.166666666666667</v>
      </c>
      <c r="EB55" s="76">
        <v>3</v>
      </c>
      <c r="EC55" s="76">
        <v>3.2857142857142856</v>
      </c>
      <c r="ED55" s="76">
        <v>5.3809523809523814</v>
      </c>
      <c r="EE55" s="76">
        <v>3.1666666666666665</v>
      </c>
      <c r="EF55" s="76">
        <v>3.0714285714285716</v>
      </c>
      <c r="EG55" s="76">
        <v>4.333333333333333</v>
      </c>
      <c r="EH55" s="76">
        <v>3.7142857142857144</v>
      </c>
      <c r="EI55" s="76">
        <v>2.8809523809523809</v>
      </c>
      <c r="EJ55" s="76">
        <v>4.9285714285714288</v>
      </c>
      <c r="EK55" s="76">
        <v>4.1190476190476186</v>
      </c>
      <c r="EL55" s="76">
        <v>3.3571428571428572</v>
      </c>
      <c r="EM55" s="76">
        <v>3.6666666666666665</v>
      </c>
      <c r="EN55" s="76">
        <v>3.1190476190476191</v>
      </c>
      <c r="EO55" s="76">
        <v>4.2439024390243905</v>
      </c>
      <c r="EP55" s="76">
        <v>4.6341463414634143</v>
      </c>
      <c r="EQ55" s="76">
        <v>5.1707317073170733</v>
      </c>
      <c r="ER55" s="76">
        <v>2.9512195121951219</v>
      </c>
      <c r="ES55" s="76">
        <v>3.2195121951219514</v>
      </c>
      <c r="ET55" s="76">
        <v>5.2750000000000004</v>
      </c>
      <c r="EU55" s="76">
        <v>3.2926829268292681</v>
      </c>
      <c r="EV55" s="76">
        <v>3.0487804878048781</v>
      </c>
      <c r="EW55" s="76">
        <v>4.5121951219512191</v>
      </c>
      <c r="EX55" s="76">
        <v>3.6585365853658538</v>
      </c>
      <c r="EY55" s="76">
        <v>3.1463414634146343</v>
      </c>
      <c r="EZ55" s="76">
        <v>5.3902439024390247</v>
      </c>
      <c r="FA55" s="76">
        <v>4.3902439024390247</v>
      </c>
      <c r="FB55" s="76">
        <v>3.2682926829268291</v>
      </c>
      <c r="FC55" s="76">
        <v>3.5609756097560976</v>
      </c>
      <c r="FD55" s="76">
        <v>3.0487804878048781</v>
      </c>
      <c r="FE55" s="76">
        <v>0</v>
      </c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79</v>
      </c>
      <c r="CT56" s="62">
        <v>67</v>
      </c>
      <c r="CU56" s="62">
        <v>79</v>
      </c>
      <c r="CV56" s="62">
        <v>52</v>
      </c>
      <c r="CW56" s="62">
        <v>55</v>
      </c>
      <c r="CX56" s="62">
        <v>94</v>
      </c>
      <c r="CY56" s="62">
        <v>64.010000000000005</v>
      </c>
      <c r="CZ56" s="62">
        <v>47</v>
      </c>
      <c r="DA56" s="62">
        <v>77</v>
      </c>
      <c r="DB56" s="62">
        <v>59</v>
      </c>
      <c r="DC56" s="62">
        <v>46</v>
      </c>
      <c r="DD56" s="62">
        <v>86</v>
      </c>
      <c r="DE56" s="62">
        <v>70</v>
      </c>
      <c r="DF56" s="62">
        <v>52</v>
      </c>
      <c r="DG56" s="62">
        <v>65</v>
      </c>
      <c r="DH56" s="62">
        <v>51</v>
      </c>
      <c r="DI56" s="62">
        <v>0</v>
      </c>
      <c r="DJ56" s="62">
        <v>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80</v>
      </c>
      <c r="DY56" s="76">
        <v>39</v>
      </c>
      <c r="DZ56" s="76">
        <v>34</v>
      </c>
      <c r="EA56" s="76">
        <v>42</v>
      </c>
      <c r="EB56" s="76">
        <v>28</v>
      </c>
      <c r="EC56" s="76">
        <v>28</v>
      </c>
      <c r="ED56" s="76">
        <v>48</v>
      </c>
      <c r="EE56" s="76">
        <v>28</v>
      </c>
      <c r="EF56" s="76">
        <v>23</v>
      </c>
      <c r="EG56" s="76">
        <v>36</v>
      </c>
      <c r="EH56" s="76">
        <v>31</v>
      </c>
      <c r="EI56" s="76">
        <v>23</v>
      </c>
      <c r="EJ56" s="76">
        <v>39</v>
      </c>
      <c r="EK56" s="76">
        <v>36</v>
      </c>
      <c r="EL56" s="76">
        <v>25</v>
      </c>
      <c r="EM56" s="76">
        <v>34</v>
      </c>
      <c r="EN56" s="76">
        <v>26</v>
      </c>
      <c r="EO56" s="76">
        <v>40</v>
      </c>
      <c r="EP56" s="76">
        <v>33</v>
      </c>
      <c r="EQ56" s="76">
        <v>37</v>
      </c>
      <c r="ER56" s="76">
        <v>24</v>
      </c>
      <c r="ES56" s="76">
        <v>27</v>
      </c>
      <c r="ET56" s="76">
        <v>46</v>
      </c>
      <c r="EU56" s="76">
        <v>28</v>
      </c>
      <c r="EV56" s="76">
        <v>24</v>
      </c>
      <c r="EW56" s="76">
        <v>41</v>
      </c>
      <c r="EX56" s="76">
        <v>28</v>
      </c>
      <c r="EY56" s="76">
        <v>23</v>
      </c>
      <c r="EZ56" s="76">
        <v>47</v>
      </c>
      <c r="FA56" s="76">
        <v>34</v>
      </c>
      <c r="FB56" s="76">
        <v>27</v>
      </c>
      <c r="FC56" s="76">
        <v>31</v>
      </c>
      <c r="FD56" s="76">
        <v>25</v>
      </c>
      <c r="FE56" s="76">
        <v>8.01</v>
      </c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14</v>
      </c>
      <c r="CT57" s="62">
        <v>14</v>
      </c>
      <c r="CU57" s="62">
        <v>14</v>
      </c>
      <c r="CV57" s="62">
        <v>14</v>
      </c>
      <c r="CW57" s="62">
        <v>14</v>
      </c>
      <c r="CX57" s="62">
        <v>14</v>
      </c>
      <c r="CY57" s="62">
        <v>16</v>
      </c>
      <c r="CZ57" s="62">
        <v>14</v>
      </c>
      <c r="DA57" s="62">
        <v>14</v>
      </c>
      <c r="DB57" s="62">
        <v>14</v>
      </c>
      <c r="DC57" s="62">
        <v>14</v>
      </c>
      <c r="DD57" s="62">
        <v>14</v>
      </c>
      <c r="DE57" s="62">
        <v>14</v>
      </c>
      <c r="DF57" s="62">
        <v>14</v>
      </c>
      <c r="DG57" s="62">
        <v>14</v>
      </c>
      <c r="DH57" s="62">
        <v>14</v>
      </c>
      <c r="DI57" s="62">
        <v>0</v>
      </c>
      <c r="DJ57" s="62">
        <v>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81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7</v>
      </c>
      <c r="EU57" s="76">
        <v>7</v>
      </c>
      <c r="EV57" s="76">
        <v>7</v>
      </c>
      <c r="EW57" s="76">
        <v>7</v>
      </c>
      <c r="EX57" s="76">
        <v>7</v>
      </c>
      <c r="EY57" s="76">
        <v>7</v>
      </c>
      <c r="EZ57" s="76">
        <v>7</v>
      </c>
      <c r="FA57" s="76">
        <v>7</v>
      </c>
      <c r="FB57" s="76">
        <v>7</v>
      </c>
      <c r="FC57" s="76">
        <v>7</v>
      </c>
      <c r="FD57" s="76">
        <v>7</v>
      </c>
      <c r="FE57" s="76">
        <v>2</v>
      </c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5.6428571428571432</v>
      </c>
      <c r="CT58" s="62">
        <v>4.7857142857142856</v>
      </c>
      <c r="CU58" s="62">
        <v>5.6428571428571432</v>
      </c>
      <c r="CV58" s="62">
        <v>3.7142857142857144</v>
      </c>
      <c r="CW58" s="62">
        <v>3.9285714285714284</v>
      </c>
      <c r="CX58" s="62">
        <v>6.7142857142857144</v>
      </c>
      <c r="CY58" s="62">
        <v>4.0006250000000003</v>
      </c>
      <c r="CZ58" s="62">
        <v>3.3571428571428572</v>
      </c>
      <c r="DA58" s="62">
        <v>5.5</v>
      </c>
      <c r="DB58" s="62">
        <v>4.2142857142857144</v>
      </c>
      <c r="DC58" s="62">
        <v>3.2857142857142856</v>
      </c>
      <c r="DD58" s="62">
        <v>6.1428571428571432</v>
      </c>
      <c r="DE58" s="62">
        <v>5</v>
      </c>
      <c r="DF58" s="62">
        <v>3.7142857142857144</v>
      </c>
      <c r="DG58" s="62">
        <v>4.6428571428571432</v>
      </c>
      <c r="DH58" s="62">
        <v>3.6428571428571428</v>
      </c>
      <c r="DI58" s="62" t="e">
        <v>#DIV/0!</v>
      </c>
      <c r="DJ58" s="62" t="e">
        <v>#DIV/0!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82</v>
      </c>
      <c r="DY58" s="76">
        <v>5.5714285714285712</v>
      </c>
      <c r="DZ58" s="76">
        <v>4.8571428571428568</v>
      </c>
      <c r="EA58" s="76">
        <v>6</v>
      </c>
      <c r="EB58" s="76">
        <v>4</v>
      </c>
      <c r="EC58" s="76">
        <v>4</v>
      </c>
      <c r="ED58" s="76">
        <v>6.8571428571428568</v>
      </c>
      <c r="EE58" s="76">
        <v>4</v>
      </c>
      <c r="EF58" s="76">
        <v>3.2857142857142856</v>
      </c>
      <c r="EG58" s="76">
        <v>5.1428571428571432</v>
      </c>
      <c r="EH58" s="76">
        <v>4.4285714285714288</v>
      </c>
      <c r="EI58" s="76">
        <v>3.2857142857142856</v>
      </c>
      <c r="EJ58" s="76">
        <v>5.5714285714285712</v>
      </c>
      <c r="EK58" s="76">
        <v>5.1428571428571432</v>
      </c>
      <c r="EL58" s="76">
        <v>3.5714285714285716</v>
      </c>
      <c r="EM58" s="76">
        <v>4.8571428571428568</v>
      </c>
      <c r="EN58" s="76">
        <v>3.7142857142857144</v>
      </c>
      <c r="EO58" s="76">
        <v>5.7142857142857144</v>
      </c>
      <c r="EP58" s="76">
        <v>4.7142857142857144</v>
      </c>
      <c r="EQ58" s="76">
        <v>5.2857142857142856</v>
      </c>
      <c r="ER58" s="76">
        <v>3.4285714285714284</v>
      </c>
      <c r="ES58" s="76">
        <v>3.8571428571428572</v>
      </c>
      <c r="ET58" s="76">
        <v>6.5714285714285712</v>
      </c>
      <c r="EU58" s="76">
        <v>4</v>
      </c>
      <c r="EV58" s="76">
        <v>3.4285714285714284</v>
      </c>
      <c r="EW58" s="76">
        <v>5.8571428571428568</v>
      </c>
      <c r="EX58" s="76">
        <v>4</v>
      </c>
      <c r="EY58" s="76">
        <v>3.2857142857142856</v>
      </c>
      <c r="EZ58" s="76">
        <v>6.7142857142857144</v>
      </c>
      <c r="FA58" s="76">
        <v>4.8571428571428568</v>
      </c>
      <c r="FB58" s="76">
        <v>3.8571428571428572</v>
      </c>
      <c r="FC58" s="76">
        <v>4.4285714285714288</v>
      </c>
      <c r="FD58" s="76">
        <v>3.5714285714285716</v>
      </c>
      <c r="FE58" s="76">
        <v>4.0049999999999999</v>
      </c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6</v>
      </c>
      <c r="CT59" s="62">
        <v>8</v>
      </c>
      <c r="CU59" s="62">
        <v>10</v>
      </c>
      <c r="CV59" s="62">
        <v>4</v>
      </c>
      <c r="CW59" s="62">
        <v>4</v>
      </c>
      <c r="CX59" s="62">
        <v>10</v>
      </c>
      <c r="CY59" s="62">
        <v>5</v>
      </c>
      <c r="CZ59" s="62">
        <v>6</v>
      </c>
      <c r="DA59" s="62">
        <v>8</v>
      </c>
      <c r="DB59" s="62">
        <v>7</v>
      </c>
      <c r="DC59" s="62">
        <v>6</v>
      </c>
      <c r="DD59" s="62">
        <v>7</v>
      </c>
      <c r="DE59" s="62">
        <v>5</v>
      </c>
      <c r="DF59" s="62">
        <v>6</v>
      </c>
      <c r="DG59" s="62">
        <v>7</v>
      </c>
      <c r="DH59" s="62">
        <v>5</v>
      </c>
      <c r="DI59" s="62">
        <v>0</v>
      </c>
      <c r="DJ59" s="62">
        <v>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153</v>
      </c>
      <c r="DY59" s="76">
        <v>3</v>
      </c>
      <c r="DZ59" s="76">
        <v>3</v>
      </c>
      <c r="EA59" s="76">
        <v>5</v>
      </c>
      <c r="EB59" s="76">
        <v>2</v>
      </c>
      <c r="EC59" s="76">
        <v>2</v>
      </c>
      <c r="ED59" s="76">
        <v>6</v>
      </c>
      <c r="EE59" s="76">
        <v>3</v>
      </c>
      <c r="EF59" s="76">
        <v>3</v>
      </c>
      <c r="EG59" s="76">
        <v>4</v>
      </c>
      <c r="EH59" s="76">
        <v>3</v>
      </c>
      <c r="EI59" s="76">
        <v>3</v>
      </c>
      <c r="EJ59" s="76">
        <v>3</v>
      </c>
      <c r="EK59" s="76">
        <v>2</v>
      </c>
      <c r="EL59" s="76">
        <v>2</v>
      </c>
      <c r="EM59" s="76">
        <v>3</v>
      </c>
      <c r="EN59" s="76">
        <v>2</v>
      </c>
      <c r="EO59" s="76">
        <v>3</v>
      </c>
      <c r="EP59" s="76">
        <v>5</v>
      </c>
      <c r="EQ59" s="76">
        <v>5</v>
      </c>
      <c r="ER59" s="76">
        <v>2</v>
      </c>
      <c r="ES59" s="76">
        <v>2</v>
      </c>
      <c r="ET59" s="76">
        <v>4</v>
      </c>
      <c r="EU59" s="76">
        <v>2</v>
      </c>
      <c r="EV59" s="76">
        <v>3</v>
      </c>
      <c r="EW59" s="76">
        <v>4</v>
      </c>
      <c r="EX59" s="76">
        <v>4</v>
      </c>
      <c r="EY59" s="76">
        <v>3</v>
      </c>
      <c r="EZ59" s="76">
        <v>4</v>
      </c>
      <c r="FA59" s="76">
        <v>3</v>
      </c>
      <c r="FB59" s="76">
        <v>4</v>
      </c>
      <c r="FC59" s="76">
        <v>4</v>
      </c>
      <c r="FD59" s="76">
        <v>3</v>
      </c>
      <c r="FE59" s="76">
        <v>0</v>
      </c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2</v>
      </c>
      <c r="DH60" s="62">
        <v>2</v>
      </c>
      <c r="DI60" s="62">
        <v>0</v>
      </c>
      <c r="DJ60" s="62">
        <v>0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154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0</v>
      </c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4</v>
      </c>
      <c r="CU61" s="62">
        <v>5</v>
      </c>
      <c r="CV61" s="62">
        <v>2</v>
      </c>
      <c r="CW61" s="62">
        <v>2</v>
      </c>
      <c r="CX61" s="62">
        <v>5</v>
      </c>
      <c r="CY61" s="62">
        <v>2.5</v>
      </c>
      <c r="CZ61" s="62">
        <v>3</v>
      </c>
      <c r="DA61" s="62">
        <v>4</v>
      </c>
      <c r="DB61" s="62">
        <v>3.5</v>
      </c>
      <c r="DC61" s="62">
        <v>3</v>
      </c>
      <c r="DD61" s="62">
        <v>3.5</v>
      </c>
      <c r="DE61" s="62">
        <v>2.5</v>
      </c>
      <c r="DF61" s="62">
        <v>3</v>
      </c>
      <c r="DG61" s="62">
        <v>3.5</v>
      </c>
      <c r="DH61" s="62">
        <v>2.5</v>
      </c>
      <c r="DI61" s="62" t="e">
        <v>#DIV/0!</v>
      </c>
      <c r="DJ61" s="62" t="e">
        <v>#DIV/0!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188</v>
      </c>
      <c r="DY61" s="76">
        <v>3</v>
      </c>
      <c r="DZ61" s="76">
        <v>3</v>
      </c>
      <c r="EA61" s="76">
        <v>5</v>
      </c>
      <c r="EB61" s="76">
        <v>2</v>
      </c>
      <c r="EC61" s="76">
        <v>2</v>
      </c>
      <c r="ED61" s="76">
        <v>6</v>
      </c>
      <c r="EE61" s="76">
        <v>3</v>
      </c>
      <c r="EF61" s="76">
        <v>3</v>
      </c>
      <c r="EG61" s="76">
        <v>4</v>
      </c>
      <c r="EH61" s="76">
        <v>3</v>
      </c>
      <c r="EI61" s="76">
        <v>3</v>
      </c>
      <c r="EJ61" s="76">
        <v>3</v>
      </c>
      <c r="EK61" s="76">
        <v>2</v>
      </c>
      <c r="EL61" s="76">
        <v>2</v>
      </c>
      <c r="EM61" s="76">
        <v>3</v>
      </c>
      <c r="EN61" s="76">
        <v>2</v>
      </c>
      <c r="EO61" s="76">
        <v>3</v>
      </c>
      <c r="EP61" s="76">
        <v>5</v>
      </c>
      <c r="EQ61" s="76">
        <v>5</v>
      </c>
      <c r="ER61" s="76">
        <v>2</v>
      </c>
      <c r="ES61" s="76">
        <v>2</v>
      </c>
      <c r="ET61" s="76">
        <v>4</v>
      </c>
      <c r="EU61" s="76">
        <v>2</v>
      </c>
      <c r="EV61" s="76">
        <v>3</v>
      </c>
      <c r="EW61" s="76">
        <v>4</v>
      </c>
      <c r="EX61" s="76">
        <v>4</v>
      </c>
      <c r="EY61" s="76">
        <v>3</v>
      </c>
      <c r="EZ61" s="76">
        <v>4</v>
      </c>
      <c r="FA61" s="76">
        <v>3</v>
      </c>
      <c r="FB61" s="76">
        <v>4</v>
      </c>
      <c r="FC61" s="76">
        <v>4</v>
      </c>
      <c r="FD61" s="76">
        <v>3</v>
      </c>
      <c r="FE61" s="76">
        <v>0</v>
      </c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34</v>
      </c>
      <c r="CT62" s="62">
        <v>37</v>
      </c>
      <c r="CU62" s="62">
        <v>46</v>
      </c>
      <c r="CV62" s="62">
        <v>26</v>
      </c>
      <c r="CW62" s="62">
        <v>26</v>
      </c>
      <c r="CX62" s="62">
        <v>45</v>
      </c>
      <c r="CY62" s="62">
        <v>25</v>
      </c>
      <c r="CZ62" s="62">
        <v>28</v>
      </c>
      <c r="DA62" s="62">
        <v>37</v>
      </c>
      <c r="DB62" s="62">
        <v>32</v>
      </c>
      <c r="DC62" s="62">
        <v>30</v>
      </c>
      <c r="DD62" s="62">
        <v>42</v>
      </c>
      <c r="DE62" s="62">
        <v>34</v>
      </c>
      <c r="DF62" s="62">
        <v>28</v>
      </c>
      <c r="DG62" s="62">
        <v>33</v>
      </c>
      <c r="DH62" s="62">
        <v>26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17</v>
      </c>
      <c r="DZ62" s="76">
        <v>15</v>
      </c>
      <c r="EA62" s="76">
        <v>23</v>
      </c>
      <c r="EB62" s="76">
        <v>13</v>
      </c>
      <c r="EC62" s="76">
        <v>13</v>
      </c>
      <c r="ED62" s="76">
        <v>24</v>
      </c>
      <c r="EE62" s="76">
        <v>12</v>
      </c>
      <c r="EF62" s="76">
        <v>13</v>
      </c>
      <c r="EG62" s="76">
        <v>18</v>
      </c>
      <c r="EH62" s="76">
        <v>15</v>
      </c>
      <c r="EI62" s="76">
        <v>16</v>
      </c>
      <c r="EJ62" s="76">
        <v>22</v>
      </c>
      <c r="EK62" s="76">
        <v>16</v>
      </c>
      <c r="EL62" s="76">
        <v>12</v>
      </c>
      <c r="EM62" s="76">
        <v>18</v>
      </c>
      <c r="EN62" s="76">
        <v>13</v>
      </c>
      <c r="EO62" s="76">
        <v>17</v>
      </c>
      <c r="EP62" s="76">
        <v>22</v>
      </c>
      <c r="EQ62" s="76">
        <v>23</v>
      </c>
      <c r="ER62" s="76">
        <v>13</v>
      </c>
      <c r="ES62" s="76">
        <v>13</v>
      </c>
      <c r="ET62" s="76">
        <v>21</v>
      </c>
      <c r="EU62" s="76">
        <v>13</v>
      </c>
      <c r="EV62" s="76">
        <v>15</v>
      </c>
      <c r="EW62" s="76">
        <v>19</v>
      </c>
      <c r="EX62" s="76">
        <v>17</v>
      </c>
      <c r="EY62" s="76">
        <v>14</v>
      </c>
      <c r="EZ62" s="76">
        <v>20</v>
      </c>
      <c r="FA62" s="76">
        <v>18</v>
      </c>
      <c r="FB62" s="76">
        <v>16</v>
      </c>
      <c r="FC62" s="76">
        <v>15</v>
      </c>
      <c r="FD62" s="76">
        <v>13</v>
      </c>
      <c r="FE62" s="76">
        <v>0</v>
      </c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10</v>
      </c>
      <c r="CT63" s="62">
        <v>10</v>
      </c>
      <c r="CU63" s="62">
        <v>10</v>
      </c>
      <c r="CV63" s="62">
        <v>10</v>
      </c>
      <c r="CW63" s="62">
        <v>10</v>
      </c>
      <c r="CX63" s="62">
        <v>10</v>
      </c>
      <c r="CY63" s="62">
        <v>10</v>
      </c>
      <c r="CZ63" s="62">
        <v>10</v>
      </c>
      <c r="DA63" s="62">
        <v>10</v>
      </c>
      <c r="DB63" s="62">
        <v>10</v>
      </c>
      <c r="DC63" s="62">
        <v>10</v>
      </c>
      <c r="DD63" s="62">
        <v>10</v>
      </c>
      <c r="DE63" s="62">
        <v>10</v>
      </c>
      <c r="DF63" s="62">
        <v>10</v>
      </c>
      <c r="DG63" s="62">
        <v>10</v>
      </c>
      <c r="DH63" s="62">
        <v>10</v>
      </c>
      <c r="DI63" s="62">
        <v>0</v>
      </c>
      <c r="DJ63" s="62">
        <v>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0</v>
      </c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3.4</v>
      </c>
      <c r="CT64" s="62">
        <v>3.7</v>
      </c>
      <c r="CU64" s="62">
        <v>4.5999999999999996</v>
      </c>
      <c r="CV64" s="62">
        <v>2.6</v>
      </c>
      <c r="CW64" s="62">
        <v>2.6</v>
      </c>
      <c r="CX64" s="62">
        <v>4.5</v>
      </c>
      <c r="CY64" s="62">
        <v>2.5</v>
      </c>
      <c r="CZ64" s="62">
        <v>2.8</v>
      </c>
      <c r="DA64" s="62">
        <v>3.7</v>
      </c>
      <c r="DB64" s="62">
        <v>3.2</v>
      </c>
      <c r="DC64" s="62">
        <v>3</v>
      </c>
      <c r="DD64" s="62">
        <v>4.2</v>
      </c>
      <c r="DE64" s="62">
        <v>3.4</v>
      </c>
      <c r="DF64" s="62">
        <v>2.8</v>
      </c>
      <c r="DG64" s="62">
        <v>3.3</v>
      </c>
      <c r="DH64" s="62">
        <v>2.6</v>
      </c>
      <c r="DI64" s="62" t="e">
        <v>#DIV/0!</v>
      </c>
      <c r="DJ64" s="62" t="e">
        <v>#DIV/0!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3.4</v>
      </c>
      <c r="DZ64" s="76">
        <v>3</v>
      </c>
      <c r="EA64" s="76">
        <v>4.5999999999999996</v>
      </c>
      <c r="EB64" s="76">
        <v>2.6</v>
      </c>
      <c r="EC64" s="76">
        <v>2.6</v>
      </c>
      <c r="ED64" s="76">
        <v>4.8</v>
      </c>
      <c r="EE64" s="76">
        <v>2.4</v>
      </c>
      <c r="EF64" s="76">
        <v>2.6</v>
      </c>
      <c r="EG64" s="76">
        <v>3.6</v>
      </c>
      <c r="EH64" s="76">
        <v>3</v>
      </c>
      <c r="EI64" s="76">
        <v>3.2</v>
      </c>
      <c r="EJ64" s="76">
        <v>4.4000000000000004</v>
      </c>
      <c r="EK64" s="76">
        <v>3.2</v>
      </c>
      <c r="EL64" s="76">
        <v>2.4</v>
      </c>
      <c r="EM64" s="76">
        <v>3.6</v>
      </c>
      <c r="EN64" s="76">
        <v>2.6</v>
      </c>
      <c r="EO64" s="76">
        <v>3.4</v>
      </c>
      <c r="EP64" s="76">
        <v>4.4000000000000004</v>
      </c>
      <c r="EQ64" s="76">
        <v>4.5999999999999996</v>
      </c>
      <c r="ER64" s="76">
        <v>2.6</v>
      </c>
      <c r="ES64" s="76">
        <v>2.6</v>
      </c>
      <c r="ET64" s="76">
        <v>4.2</v>
      </c>
      <c r="EU64" s="76">
        <v>2.6</v>
      </c>
      <c r="EV64" s="76">
        <v>3</v>
      </c>
      <c r="EW64" s="76">
        <v>3.8</v>
      </c>
      <c r="EX64" s="76">
        <v>3.4</v>
      </c>
      <c r="EY64" s="76">
        <v>2.8</v>
      </c>
      <c r="EZ64" s="76">
        <v>4</v>
      </c>
      <c r="FA64" s="76">
        <v>3.6</v>
      </c>
      <c r="FB64" s="76">
        <v>3.2</v>
      </c>
      <c r="FC64" s="76">
        <v>3</v>
      </c>
      <c r="FD64" s="76">
        <v>2.6</v>
      </c>
      <c r="FE64" s="76">
        <v>0</v>
      </c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69</v>
      </c>
      <c r="CT65" s="62">
        <v>73</v>
      </c>
      <c r="CU65" s="62">
        <v>93</v>
      </c>
      <c r="CV65" s="62">
        <v>53</v>
      </c>
      <c r="CW65" s="62">
        <v>58</v>
      </c>
      <c r="CX65" s="62">
        <v>92</v>
      </c>
      <c r="CY65" s="62">
        <v>52</v>
      </c>
      <c r="CZ65" s="62">
        <v>57</v>
      </c>
      <c r="DA65" s="62">
        <v>71</v>
      </c>
      <c r="DB65" s="62">
        <v>66</v>
      </c>
      <c r="DC65" s="62">
        <v>59</v>
      </c>
      <c r="DD65" s="62">
        <v>89</v>
      </c>
      <c r="DE65" s="62">
        <v>73</v>
      </c>
      <c r="DF65" s="62">
        <v>57</v>
      </c>
      <c r="DG65" s="62">
        <v>63</v>
      </c>
      <c r="DH65" s="62">
        <v>55</v>
      </c>
      <c r="DI65" s="62">
        <v>0</v>
      </c>
      <c r="DJ65" s="62">
        <v>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133</v>
      </c>
      <c r="DY65" s="76">
        <v>34</v>
      </c>
      <c r="DZ65" s="76">
        <v>32</v>
      </c>
      <c r="EA65" s="76">
        <v>46</v>
      </c>
      <c r="EB65" s="76">
        <v>27</v>
      </c>
      <c r="EC65" s="76">
        <v>29</v>
      </c>
      <c r="ED65" s="76">
        <v>48</v>
      </c>
      <c r="EE65" s="76">
        <v>24</v>
      </c>
      <c r="EF65" s="76">
        <v>28</v>
      </c>
      <c r="EG65" s="76">
        <v>34</v>
      </c>
      <c r="EH65" s="76">
        <v>32</v>
      </c>
      <c r="EI65" s="76">
        <v>29</v>
      </c>
      <c r="EJ65" s="76">
        <v>45</v>
      </c>
      <c r="EK65" s="76">
        <v>35</v>
      </c>
      <c r="EL65" s="76">
        <v>25</v>
      </c>
      <c r="EM65" s="76">
        <v>32</v>
      </c>
      <c r="EN65" s="76">
        <v>24</v>
      </c>
      <c r="EO65" s="76">
        <v>35</v>
      </c>
      <c r="EP65" s="76">
        <v>41</v>
      </c>
      <c r="EQ65" s="76">
        <v>47</v>
      </c>
      <c r="ER65" s="76">
        <v>26</v>
      </c>
      <c r="ES65" s="76">
        <v>29</v>
      </c>
      <c r="ET65" s="76">
        <v>44</v>
      </c>
      <c r="EU65" s="76">
        <v>28</v>
      </c>
      <c r="EV65" s="76">
        <v>29</v>
      </c>
      <c r="EW65" s="76">
        <v>37</v>
      </c>
      <c r="EX65" s="76">
        <v>34</v>
      </c>
      <c r="EY65" s="76">
        <v>30</v>
      </c>
      <c r="EZ65" s="76">
        <v>44</v>
      </c>
      <c r="FA65" s="76">
        <v>38</v>
      </c>
      <c r="FB65" s="76">
        <v>32</v>
      </c>
      <c r="FC65" s="76">
        <v>31</v>
      </c>
      <c r="FD65" s="76">
        <v>31</v>
      </c>
      <c r="FE65" s="76">
        <v>0</v>
      </c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20</v>
      </c>
      <c r="CT66" s="62">
        <v>20</v>
      </c>
      <c r="CU66" s="62">
        <v>20</v>
      </c>
      <c r="CV66" s="62">
        <v>20</v>
      </c>
      <c r="CW66" s="62">
        <v>20</v>
      </c>
      <c r="CX66" s="62">
        <v>20</v>
      </c>
      <c r="CY66" s="62">
        <v>20</v>
      </c>
      <c r="CZ66" s="62">
        <v>20</v>
      </c>
      <c r="DA66" s="62">
        <v>20</v>
      </c>
      <c r="DB66" s="62">
        <v>20</v>
      </c>
      <c r="DC66" s="62">
        <v>20</v>
      </c>
      <c r="DD66" s="62">
        <v>20</v>
      </c>
      <c r="DE66" s="62">
        <v>20</v>
      </c>
      <c r="DF66" s="62">
        <v>20</v>
      </c>
      <c r="DG66" s="62">
        <v>20</v>
      </c>
      <c r="DH66" s="62">
        <v>20</v>
      </c>
      <c r="DI66" s="62">
        <v>0</v>
      </c>
      <c r="DJ66" s="62">
        <v>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134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0</v>
      </c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3.45</v>
      </c>
      <c r="CT67" s="62">
        <v>3.65</v>
      </c>
      <c r="CU67" s="62">
        <v>4.6500000000000004</v>
      </c>
      <c r="CV67" s="62">
        <v>2.65</v>
      </c>
      <c r="CW67" s="62">
        <v>2.9</v>
      </c>
      <c r="CX67" s="62">
        <v>4.5999999999999996</v>
      </c>
      <c r="CY67" s="62">
        <v>2.6</v>
      </c>
      <c r="CZ67" s="62">
        <v>2.85</v>
      </c>
      <c r="DA67" s="62">
        <v>3.55</v>
      </c>
      <c r="DB67" s="62">
        <v>3.3</v>
      </c>
      <c r="DC67" s="62">
        <v>2.95</v>
      </c>
      <c r="DD67" s="62">
        <v>4.45</v>
      </c>
      <c r="DE67" s="62">
        <v>3.65</v>
      </c>
      <c r="DF67" s="62">
        <v>2.85</v>
      </c>
      <c r="DG67" s="62">
        <v>3.15</v>
      </c>
      <c r="DH67" s="62">
        <v>2.75</v>
      </c>
      <c r="DI67" s="62" t="e">
        <v>#DIV/0!</v>
      </c>
      <c r="DJ67" s="62" t="e">
        <v>#DIV/0!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135</v>
      </c>
      <c r="DY67" s="76">
        <v>3.4</v>
      </c>
      <c r="DZ67" s="76">
        <v>3.2</v>
      </c>
      <c r="EA67" s="76">
        <v>4.5999999999999996</v>
      </c>
      <c r="EB67" s="76">
        <v>2.7</v>
      </c>
      <c r="EC67" s="76">
        <v>2.9</v>
      </c>
      <c r="ED67" s="76">
        <v>4.8</v>
      </c>
      <c r="EE67" s="76">
        <v>2.4</v>
      </c>
      <c r="EF67" s="76">
        <v>2.8</v>
      </c>
      <c r="EG67" s="76">
        <v>3.4</v>
      </c>
      <c r="EH67" s="76">
        <v>3.2</v>
      </c>
      <c r="EI67" s="76">
        <v>2.9</v>
      </c>
      <c r="EJ67" s="76">
        <v>4.5</v>
      </c>
      <c r="EK67" s="76">
        <v>3.5</v>
      </c>
      <c r="EL67" s="76">
        <v>2.5</v>
      </c>
      <c r="EM67" s="76">
        <v>3.2</v>
      </c>
      <c r="EN67" s="76">
        <v>2.4</v>
      </c>
      <c r="EO67" s="76">
        <v>3.5</v>
      </c>
      <c r="EP67" s="76">
        <v>4.0999999999999996</v>
      </c>
      <c r="EQ67" s="76">
        <v>4.7</v>
      </c>
      <c r="ER67" s="76">
        <v>2.6</v>
      </c>
      <c r="ES67" s="76">
        <v>2.9</v>
      </c>
      <c r="ET67" s="76">
        <v>4.4000000000000004</v>
      </c>
      <c r="EU67" s="76">
        <v>2.8</v>
      </c>
      <c r="EV67" s="76">
        <v>2.9</v>
      </c>
      <c r="EW67" s="76">
        <v>3.7</v>
      </c>
      <c r="EX67" s="76">
        <v>3.4</v>
      </c>
      <c r="EY67" s="76">
        <v>3</v>
      </c>
      <c r="EZ67" s="76">
        <v>4.4000000000000004</v>
      </c>
      <c r="FA67" s="76">
        <v>3.8</v>
      </c>
      <c r="FB67" s="76">
        <v>3.2</v>
      </c>
      <c r="FC67" s="76">
        <v>3.1</v>
      </c>
      <c r="FD67" s="76">
        <v>3.1</v>
      </c>
      <c r="FE67" s="76">
        <v>0</v>
      </c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160</v>
      </c>
      <c r="CT68" s="62">
        <v>164</v>
      </c>
      <c r="CU68" s="62">
        <v>192</v>
      </c>
      <c r="CV68" s="62">
        <v>114</v>
      </c>
      <c r="CW68" s="62">
        <v>128</v>
      </c>
      <c r="CX68" s="62">
        <v>201</v>
      </c>
      <c r="CY68" s="62">
        <v>121</v>
      </c>
      <c r="CZ68" s="62">
        <v>120</v>
      </c>
      <c r="DA68" s="62">
        <v>162</v>
      </c>
      <c r="DB68" s="62">
        <v>143</v>
      </c>
      <c r="DC68" s="62">
        <v>122</v>
      </c>
      <c r="DD68" s="62">
        <v>192</v>
      </c>
      <c r="DE68" s="62">
        <v>161</v>
      </c>
      <c r="DF68" s="62">
        <v>128</v>
      </c>
      <c r="DG68" s="62">
        <v>141</v>
      </c>
      <c r="DH68" s="62">
        <v>123</v>
      </c>
      <c r="DI68" s="62">
        <v>0</v>
      </c>
      <c r="DJ68" s="62">
        <v>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136</v>
      </c>
      <c r="DY68" s="76">
        <v>82</v>
      </c>
      <c r="DZ68" s="76">
        <v>77</v>
      </c>
      <c r="EA68" s="76">
        <v>97</v>
      </c>
      <c r="EB68" s="76">
        <v>57</v>
      </c>
      <c r="EC68" s="76">
        <v>66</v>
      </c>
      <c r="ED68" s="76">
        <v>103</v>
      </c>
      <c r="EE68" s="76">
        <v>59</v>
      </c>
      <c r="EF68" s="76">
        <v>62</v>
      </c>
      <c r="EG68" s="76">
        <v>78</v>
      </c>
      <c r="EH68" s="76">
        <v>74</v>
      </c>
      <c r="EI68" s="76">
        <v>61</v>
      </c>
      <c r="EJ68" s="76">
        <v>95</v>
      </c>
      <c r="EK68" s="76">
        <v>78</v>
      </c>
      <c r="EL68" s="76">
        <v>60</v>
      </c>
      <c r="EM68" s="76">
        <v>74</v>
      </c>
      <c r="EN68" s="76">
        <v>59</v>
      </c>
      <c r="EO68" s="76">
        <v>78</v>
      </c>
      <c r="EP68" s="76">
        <v>87</v>
      </c>
      <c r="EQ68" s="76">
        <v>95</v>
      </c>
      <c r="ER68" s="76">
        <v>57</v>
      </c>
      <c r="ES68" s="76">
        <v>62</v>
      </c>
      <c r="ET68" s="76">
        <v>98</v>
      </c>
      <c r="EU68" s="76">
        <v>62</v>
      </c>
      <c r="EV68" s="76">
        <v>58</v>
      </c>
      <c r="EW68" s="76">
        <v>84</v>
      </c>
      <c r="EX68" s="76">
        <v>69</v>
      </c>
      <c r="EY68" s="76">
        <v>61</v>
      </c>
      <c r="EZ68" s="76">
        <v>97</v>
      </c>
      <c r="FA68" s="76">
        <v>83</v>
      </c>
      <c r="FB68" s="76">
        <v>68</v>
      </c>
      <c r="FC68" s="76">
        <v>67</v>
      </c>
      <c r="FD68" s="76">
        <v>64</v>
      </c>
      <c r="FE68" s="76">
        <v>0</v>
      </c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42</v>
      </c>
      <c r="CT69" s="62">
        <v>42</v>
      </c>
      <c r="CU69" s="62">
        <v>42</v>
      </c>
      <c r="CV69" s="62">
        <v>42</v>
      </c>
      <c r="CW69" s="62">
        <v>42</v>
      </c>
      <c r="CX69" s="62">
        <v>42</v>
      </c>
      <c r="CY69" s="62">
        <v>42</v>
      </c>
      <c r="CZ69" s="62">
        <v>42</v>
      </c>
      <c r="DA69" s="62">
        <v>42</v>
      </c>
      <c r="DB69" s="62">
        <v>42</v>
      </c>
      <c r="DC69" s="62">
        <v>42</v>
      </c>
      <c r="DD69" s="62">
        <v>42</v>
      </c>
      <c r="DE69" s="62">
        <v>42</v>
      </c>
      <c r="DF69" s="62">
        <v>42</v>
      </c>
      <c r="DG69" s="62">
        <v>42</v>
      </c>
      <c r="DH69" s="62">
        <v>42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137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0</v>
      </c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3.8095238095238093</v>
      </c>
      <c r="CT70" s="62">
        <v>3.9047619047619047</v>
      </c>
      <c r="CU70" s="62">
        <v>4.5714285714285712</v>
      </c>
      <c r="CV70" s="62">
        <v>2.7142857142857144</v>
      </c>
      <c r="CW70" s="62">
        <v>3.0476190476190474</v>
      </c>
      <c r="CX70" s="62">
        <v>4.7857142857142856</v>
      </c>
      <c r="CY70" s="62">
        <v>2.8809523809523809</v>
      </c>
      <c r="CZ70" s="62">
        <v>2.8571428571428572</v>
      </c>
      <c r="DA70" s="62">
        <v>3.8571428571428572</v>
      </c>
      <c r="DB70" s="62">
        <v>3.4047619047619047</v>
      </c>
      <c r="DC70" s="62">
        <v>2.9047619047619047</v>
      </c>
      <c r="DD70" s="62">
        <v>4.5714285714285712</v>
      </c>
      <c r="DE70" s="62">
        <v>3.8333333333333335</v>
      </c>
      <c r="DF70" s="62">
        <v>3.0476190476190474</v>
      </c>
      <c r="DG70" s="62">
        <v>3.3571428571428572</v>
      </c>
      <c r="DH70" s="62">
        <v>2.9285714285714284</v>
      </c>
      <c r="DI70" s="62" t="e">
        <v>#DIV/0!</v>
      </c>
      <c r="DJ70" s="62" t="e">
        <v>#DIV/0!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138</v>
      </c>
      <c r="DY70" s="76">
        <v>3.9047619047619047</v>
      </c>
      <c r="DZ70" s="76">
        <v>3.6666666666666665</v>
      </c>
      <c r="EA70" s="76">
        <v>4.6190476190476186</v>
      </c>
      <c r="EB70" s="76">
        <v>2.7142857142857144</v>
      </c>
      <c r="EC70" s="76">
        <v>3.1428571428571428</v>
      </c>
      <c r="ED70" s="76">
        <v>4.9047619047619051</v>
      </c>
      <c r="EE70" s="76">
        <v>2.8095238095238093</v>
      </c>
      <c r="EF70" s="76">
        <v>2.9523809523809526</v>
      </c>
      <c r="EG70" s="76">
        <v>3.7142857142857144</v>
      </c>
      <c r="EH70" s="76">
        <v>3.5238095238095237</v>
      </c>
      <c r="EI70" s="76">
        <v>2.9047619047619047</v>
      </c>
      <c r="EJ70" s="76">
        <v>4.5238095238095237</v>
      </c>
      <c r="EK70" s="76">
        <v>3.7142857142857144</v>
      </c>
      <c r="EL70" s="76">
        <v>2.8571428571428572</v>
      </c>
      <c r="EM70" s="76">
        <v>3.5238095238095237</v>
      </c>
      <c r="EN70" s="76">
        <v>2.8095238095238093</v>
      </c>
      <c r="EO70" s="76">
        <v>3.7142857142857144</v>
      </c>
      <c r="EP70" s="76">
        <v>4.1428571428571432</v>
      </c>
      <c r="EQ70" s="76">
        <v>4.5238095238095237</v>
      </c>
      <c r="ER70" s="76">
        <v>2.7142857142857144</v>
      </c>
      <c r="ES70" s="76">
        <v>2.9523809523809526</v>
      </c>
      <c r="ET70" s="76">
        <v>4.666666666666667</v>
      </c>
      <c r="EU70" s="76">
        <v>2.9523809523809526</v>
      </c>
      <c r="EV70" s="76">
        <v>2.7619047619047619</v>
      </c>
      <c r="EW70" s="76">
        <v>4</v>
      </c>
      <c r="EX70" s="76">
        <v>3.2857142857142856</v>
      </c>
      <c r="EY70" s="76">
        <v>2.9047619047619047</v>
      </c>
      <c r="EZ70" s="76">
        <v>4.6190476190476186</v>
      </c>
      <c r="FA70" s="76">
        <v>3.9523809523809526</v>
      </c>
      <c r="FB70" s="76">
        <v>3.2380952380952381</v>
      </c>
      <c r="FC70" s="76">
        <v>3.1904761904761907</v>
      </c>
      <c r="FD70" s="76">
        <v>3.0476190476190474</v>
      </c>
      <c r="FE70" s="76">
        <v>0</v>
      </c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233</v>
      </c>
      <c r="CT71" s="62">
        <v>245</v>
      </c>
      <c r="CU71" s="62">
        <v>284</v>
      </c>
      <c r="CV71" s="62">
        <v>171</v>
      </c>
      <c r="CW71" s="62">
        <v>186</v>
      </c>
      <c r="CX71" s="62">
        <v>295</v>
      </c>
      <c r="CY71" s="62">
        <v>187</v>
      </c>
      <c r="CZ71" s="62">
        <v>178</v>
      </c>
      <c r="DA71" s="62">
        <v>248</v>
      </c>
      <c r="DB71" s="62">
        <v>206</v>
      </c>
      <c r="DC71" s="62">
        <v>174</v>
      </c>
      <c r="DD71" s="62">
        <v>287</v>
      </c>
      <c r="DE71" s="62">
        <v>240</v>
      </c>
      <c r="DF71" s="62">
        <v>190</v>
      </c>
      <c r="DG71" s="62">
        <v>208</v>
      </c>
      <c r="DH71" s="62">
        <v>180</v>
      </c>
      <c r="DI71" s="62">
        <v>0</v>
      </c>
      <c r="DJ71" s="62">
        <v>0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139</v>
      </c>
      <c r="DY71" s="76">
        <v>119</v>
      </c>
      <c r="DZ71" s="76">
        <v>114</v>
      </c>
      <c r="EA71" s="76">
        <v>144</v>
      </c>
      <c r="EB71" s="76">
        <v>86</v>
      </c>
      <c r="EC71" s="76">
        <v>95</v>
      </c>
      <c r="ED71" s="76">
        <v>147</v>
      </c>
      <c r="EE71" s="76">
        <v>90</v>
      </c>
      <c r="EF71" s="76">
        <v>91</v>
      </c>
      <c r="EG71" s="76">
        <v>122</v>
      </c>
      <c r="EH71" s="76">
        <v>104</v>
      </c>
      <c r="EI71" s="76">
        <v>87</v>
      </c>
      <c r="EJ71" s="76">
        <v>142</v>
      </c>
      <c r="EK71" s="76">
        <v>118</v>
      </c>
      <c r="EL71" s="76">
        <v>93</v>
      </c>
      <c r="EM71" s="76">
        <v>106</v>
      </c>
      <c r="EN71" s="76">
        <v>90</v>
      </c>
      <c r="EO71" s="76">
        <v>114</v>
      </c>
      <c r="EP71" s="76">
        <v>131</v>
      </c>
      <c r="EQ71" s="76">
        <v>140</v>
      </c>
      <c r="ER71" s="76">
        <v>85</v>
      </c>
      <c r="ES71" s="76">
        <v>91</v>
      </c>
      <c r="ET71" s="76">
        <v>148</v>
      </c>
      <c r="EU71" s="76">
        <v>97</v>
      </c>
      <c r="EV71" s="76">
        <v>87</v>
      </c>
      <c r="EW71" s="76">
        <v>126</v>
      </c>
      <c r="EX71" s="76">
        <v>102</v>
      </c>
      <c r="EY71" s="76">
        <v>87</v>
      </c>
      <c r="EZ71" s="76">
        <v>145</v>
      </c>
      <c r="FA71" s="76">
        <v>122</v>
      </c>
      <c r="FB71" s="76">
        <v>97</v>
      </c>
      <c r="FC71" s="76">
        <v>102</v>
      </c>
      <c r="FD71" s="76">
        <v>90</v>
      </c>
      <c r="FE71" s="76">
        <v>0</v>
      </c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60</v>
      </c>
      <c r="CT72" s="62">
        <v>60</v>
      </c>
      <c r="CU72" s="62">
        <v>60</v>
      </c>
      <c r="CV72" s="62">
        <v>60</v>
      </c>
      <c r="CW72" s="62">
        <v>60</v>
      </c>
      <c r="CX72" s="62">
        <v>60</v>
      </c>
      <c r="CY72" s="62">
        <v>60</v>
      </c>
      <c r="CZ72" s="62">
        <v>60</v>
      </c>
      <c r="DA72" s="62">
        <v>60</v>
      </c>
      <c r="DB72" s="62">
        <v>60</v>
      </c>
      <c r="DC72" s="62">
        <v>60</v>
      </c>
      <c r="DD72" s="62">
        <v>60</v>
      </c>
      <c r="DE72" s="62">
        <v>60</v>
      </c>
      <c r="DF72" s="62">
        <v>60</v>
      </c>
      <c r="DG72" s="62">
        <v>60</v>
      </c>
      <c r="DH72" s="62">
        <v>60</v>
      </c>
      <c r="DI72" s="62">
        <v>0</v>
      </c>
      <c r="DJ72" s="62">
        <v>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140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0</v>
      </c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3.8833333333333333</v>
      </c>
      <c r="CT73" s="62">
        <v>4.083333333333333</v>
      </c>
      <c r="CU73" s="62">
        <v>4.7333333333333334</v>
      </c>
      <c r="CV73" s="62">
        <v>2.85</v>
      </c>
      <c r="CW73" s="62">
        <v>3.1</v>
      </c>
      <c r="CX73" s="62">
        <v>4.916666666666667</v>
      </c>
      <c r="CY73" s="62">
        <v>3.1166666666666667</v>
      </c>
      <c r="CZ73" s="62">
        <v>2.9666666666666668</v>
      </c>
      <c r="DA73" s="62">
        <v>4.1333333333333337</v>
      </c>
      <c r="DB73" s="62">
        <v>3.4333333333333331</v>
      </c>
      <c r="DC73" s="62">
        <v>2.9</v>
      </c>
      <c r="DD73" s="62">
        <v>4.7833333333333332</v>
      </c>
      <c r="DE73" s="62">
        <v>4</v>
      </c>
      <c r="DF73" s="62">
        <v>3.1666666666666665</v>
      </c>
      <c r="DG73" s="62">
        <v>3.4666666666666668</v>
      </c>
      <c r="DH73" s="62">
        <v>3</v>
      </c>
      <c r="DI73" s="62" t="e">
        <v>#DIV/0!</v>
      </c>
      <c r="DJ73" s="62" t="e">
        <v>#DIV/0!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141</v>
      </c>
      <c r="DY73" s="76">
        <v>3.9666666666666668</v>
      </c>
      <c r="DZ73" s="76">
        <v>3.8</v>
      </c>
      <c r="EA73" s="76">
        <v>4.8</v>
      </c>
      <c r="EB73" s="76">
        <v>2.8666666666666667</v>
      </c>
      <c r="EC73" s="76">
        <v>3.1666666666666665</v>
      </c>
      <c r="ED73" s="76">
        <v>4.9000000000000004</v>
      </c>
      <c r="EE73" s="76">
        <v>3</v>
      </c>
      <c r="EF73" s="76">
        <v>3.0333333333333332</v>
      </c>
      <c r="EG73" s="76">
        <v>4.0666666666666664</v>
      </c>
      <c r="EH73" s="76">
        <v>3.4666666666666668</v>
      </c>
      <c r="EI73" s="76">
        <v>2.9</v>
      </c>
      <c r="EJ73" s="76">
        <v>4.7333333333333334</v>
      </c>
      <c r="EK73" s="76">
        <v>3.9333333333333331</v>
      </c>
      <c r="EL73" s="76">
        <v>3.1</v>
      </c>
      <c r="EM73" s="76">
        <v>3.5333333333333332</v>
      </c>
      <c r="EN73" s="76">
        <v>3</v>
      </c>
      <c r="EO73" s="76">
        <v>3.8</v>
      </c>
      <c r="EP73" s="76">
        <v>4.3666666666666663</v>
      </c>
      <c r="EQ73" s="76">
        <v>4.666666666666667</v>
      </c>
      <c r="ER73" s="76">
        <v>2.8333333333333335</v>
      </c>
      <c r="ES73" s="76">
        <v>3.0333333333333332</v>
      </c>
      <c r="ET73" s="76">
        <v>4.9333333333333336</v>
      </c>
      <c r="EU73" s="76">
        <v>3.2333333333333334</v>
      </c>
      <c r="EV73" s="76">
        <v>2.9</v>
      </c>
      <c r="EW73" s="76">
        <v>4.2</v>
      </c>
      <c r="EX73" s="76">
        <v>3.4</v>
      </c>
      <c r="EY73" s="76">
        <v>2.9</v>
      </c>
      <c r="EZ73" s="76">
        <v>4.833333333333333</v>
      </c>
      <c r="FA73" s="76">
        <v>4.0666666666666664</v>
      </c>
      <c r="FB73" s="76">
        <v>3.2333333333333334</v>
      </c>
      <c r="FC73" s="76">
        <v>3.4</v>
      </c>
      <c r="FD73" s="76">
        <v>3</v>
      </c>
      <c r="FE73" s="76">
        <v>0</v>
      </c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8</v>
      </c>
      <c r="CT74" s="62">
        <v>8</v>
      </c>
      <c r="CU74" s="62">
        <v>10</v>
      </c>
      <c r="CV74" s="62">
        <v>7</v>
      </c>
      <c r="CW74" s="62">
        <v>9</v>
      </c>
      <c r="CX74" s="62">
        <v>12</v>
      </c>
      <c r="CY74" s="62">
        <v>11</v>
      </c>
      <c r="CZ74" s="62">
        <v>6</v>
      </c>
      <c r="DA74" s="62">
        <v>12</v>
      </c>
      <c r="DB74" s="62">
        <v>8</v>
      </c>
      <c r="DC74" s="62">
        <v>6</v>
      </c>
      <c r="DD74" s="62">
        <v>11</v>
      </c>
      <c r="DE74" s="62">
        <v>8</v>
      </c>
      <c r="DF74" s="62">
        <v>5</v>
      </c>
      <c r="DG74" s="62">
        <v>6</v>
      </c>
      <c r="DH74" s="62">
        <v>6</v>
      </c>
      <c r="DI74" s="62">
        <v>0</v>
      </c>
      <c r="DJ74" s="62">
        <v>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155</v>
      </c>
      <c r="DY74" s="76">
        <v>4</v>
      </c>
      <c r="DZ74" s="76">
        <v>4</v>
      </c>
      <c r="EA74" s="76">
        <v>5</v>
      </c>
      <c r="EB74" s="76">
        <v>4</v>
      </c>
      <c r="EC74" s="76">
        <v>4</v>
      </c>
      <c r="ED74" s="76">
        <v>6</v>
      </c>
      <c r="EE74" s="76">
        <v>4</v>
      </c>
      <c r="EF74" s="76">
        <v>3</v>
      </c>
      <c r="EG74" s="76">
        <v>7</v>
      </c>
      <c r="EH74" s="76">
        <v>4</v>
      </c>
      <c r="EI74" s="76">
        <v>3</v>
      </c>
      <c r="EJ74" s="76">
        <v>6</v>
      </c>
      <c r="EK74" s="76">
        <v>4</v>
      </c>
      <c r="EL74" s="76">
        <v>3</v>
      </c>
      <c r="EM74" s="76">
        <v>3</v>
      </c>
      <c r="EN74" s="76">
        <v>3</v>
      </c>
      <c r="EO74" s="76">
        <v>4</v>
      </c>
      <c r="EP74" s="76">
        <v>4</v>
      </c>
      <c r="EQ74" s="76">
        <v>5</v>
      </c>
      <c r="ER74" s="76">
        <v>3</v>
      </c>
      <c r="ES74" s="76">
        <v>5</v>
      </c>
      <c r="ET74" s="76">
        <v>6</v>
      </c>
      <c r="EU74" s="76">
        <v>3</v>
      </c>
      <c r="EV74" s="76">
        <v>3</v>
      </c>
      <c r="EW74" s="76">
        <v>5</v>
      </c>
      <c r="EX74" s="76">
        <v>4</v>
      </c>
      <c r="EY74" s="76">
        <v>3</v>
      </c>
      <c r="EZ74" s="76">
        <v>5</v>
      </c>
      <c r="FA74" s="76">
        <v>4</v>
      </c>
      <c r="FB74" s="76">
        <v>2</v>
      </c>
      <c r="FC74" s="76">
        <v>3</v>
      </c>
      <c r="FD74" s="76">
        <v>3</v>
      </c>
      <c r="FE74" s="76">
        <v>4</v>
      </c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3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0</v>
      </c>
      <c r="DJ75" s="62">
        <v>0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156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4</v>
      </c>
      <c r="CT76" s="62">
        <v>4</v>
      </c>
      <c r="CU76" s="62">
        <v>5</v>
      </c>
      <c r="CV76" s="62">
        <v>3.5</v>
      </c>
      <c r="CW76" s="62">
        <v>4.5</v>
      </c>
      <c r="CX76" s="62">
        <v>6</v>
      </c>
      <c r="CY76" s="62">
        <v>3.6666666666666665</v>
      </c>
      <c r="CZ76" s="62">
        <v>3</v>
      </c>
      <c r="DA76" s="62">
        <v>6</v>
      </c>
      <c r="DB76" s="62">
        <v>4</v>
      </c>
      <c r="DC76" s="62">
        <v>3</v>
      </c>
      <c r="DD76" s="62">
        <v>5.5</v>
      </c>
      <c r="DE76" s="62">
        <v>4</v>
      </c>
      <c r="DF76" s="62">
        <v>2.5</v>
      </c>
      <c r="DG76" s="62">
        <v>3</v>
      </c>
      <c r="DH76" s="62">
        <v>3</v>
      </c>
      <c r="DI76" s="62" t="e">
        <v>#DIV/0!</v>
      </c>
      <c r="DJ76" s="62" t="e">
        <v>#DIV/0!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189</v>
      </c>
      <c r="DY76" s="76">
        <v>4</v>
      </c>
      <c r="DZ76" s="76">
        <v>4</v>
      </c>
      <c r="EA76" s="76">
        <v>5</v>
      </c>
      <c r="EB76" s="76">
        <v>4</v>
      </c>
      <c r="EC76" s="76">
        <v>4</v>
      </c>
      <c r="ED76" s="76">
        <v>6</v>
      </c>
      <c r="EE76" s="76">
        <v>4</v>
      </c>
      <c r="EF76" s="76">
        <v>3</v>
      </c>
      <c r="EG76" s="76">
        <v>7</v>
      </c>
      <c r="EH76" s="76">
        <v>4</v>
      </c>
      <c r="EI76" s="76">
        <v>3</v>
      </c>
      <c r="EJ76" s="76">
        <v>6</v>
      </c>
      <c r="EK76" s="76">
        <v>4</v>
      </c>
      <c r="EL76" s="76">
        <v>3</v>
      </c>
      <c r="EM76" s="76">
        <v>3</v>
      </c>
      <c r="EN76" s="76">
        <v>3</v>
      </c>
      <c r="EO76" s="76">
        <v>4</v>
      </c>
      <c r="EP76" s="76">
        <v>4</v>
      </c>
      <c r="EQ76" s="76">
        <v>5</v>
      </c>
      <c r="ER76" s="76">
        <v>3</v>
      </c>
      <c r="ES76" s="76">
        <v>5</v>
      </c>
      <c r="ET76" s="76">
        <v>6</v>
      </c>
      <c r="EU76" s="76">
        <v>3</v>
      </c>
      <c r="EV76" s="76">
        <v>3</v>
      </c>
      <c r="EW76" s="76">
        <v>5</v>
      </c>
      <c r="EX76" s="76">
        <v>4</v>
      </c>
      <c r="EY76" s="76">
        <v>3</v>
      </c>
      <c r="EZ76" s="76">
        <v>5</v>
      </c>
      <c r="FA76" s="76">
        <v>4</v>
      </c>
      <c r="FB76" s="76">
        <v>2</v>
      </c>
      <c r="FC76" s="76">
        <v>3</v>
      </c>
      <c r="FD76" s="76">
        <v>3</v>
      </c>
      <c r="FE76" s="76">
        <v>4</v>
      </c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50</v>
      </c>
      <c r="CT77" s="62">
        <v>44</v>
      </c>
      <c r="CU77" s="62">
        <v>53</v>
      </c>
      <c r="CV77" s="62">
        <v>36</v>
      </c>
      <c r="CW77" s="62">
        <v>39</v>
      </c>
      <c r="CX77" s="62">
        <v>65</v>
      </c>
      <c r="CY77" s="62">
        <v>46.01</v>
      </c>
      <c r="CZ77" s="62">
        <v>31</v>
      </c>
      <c r="DA77" s="62">
        <v>51</v>
      </c>
      <c r="DB77" s="62">
        <v>40</v>
      </c>
      <c r="DC77" s="62">
        <v>31</v>
      </c>
      <c r="DD77" s="62">
        <v>56</v>
      </c>
      <c r="DE77" s="62">
        <v>47</v>
      </c>
      <c r="DF77" s="62">
        <v>35</v>
      </c>
      <c r="DG77" s="62">
        <v>42</v>
      </c>
      <c r="DH77" s="62">
        <v>34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26</v>
      </c>
      <c r="DZ77" s="76">
        <v>23</v>
      </c>
      <c r="EA77" s="76">
        <v>27</v>
      </c>
      <c r="EB77" s="76">
        <v>20</v>
      </c>
      <c r="EC77" s="76">
        <v>19</v>
      </c>
      <c r="ED77" s="76">
        <v>33</v>
      </c>
      <c r="EE77" s="76">
        <v>19</v>
      </c>
      <c r="EF77" s="76">
        <v>15</v>
      </c>
      <c r="EG77" s="76">
        <v>25</v>
      </c>
      <c r="EH77" s="76">
        <v>21</v>
      </c>
      <c r="EI77" s="76">
        <v>16</v>
      </c>
      <c r="EJ77" s="76">
        <v>26</v>
      </c>
      <c r="EK77" s="76">
        <v>26</v>
      </c>
      <c r="EL77" s="76">
        <v>16</v>
      </c>
      <c r="EM77" s="76">
        <v>22</v>
      </c>
      <c r="EN77" s="76">
        <v>17</v>
      </c>
      <c r="EO77" s="76">
        <v>24</v>
      </c>
      <c r="EP77" s="76">
        <v>21</v>
      </c>
      <c r="EQ77" s="76">
        <v>26</v>
      </c>
      <c r="ER77" s="76">
        <v>16</v>
      </c>
      <c r="ES77" s="76">
        <v>20</v>
      </c>
      <c r="ET77" s="76">
        <v>32</v>
      </c>
      <c r="EU77" s="76">
        <v>19</v>
      </c>
      <c r="EV77" s="76">
        <v>16</v>
      </c>
      <c r="EW77" s="76">
        <v>26</v>
      </c>
      <c r="EX77" s="76">
        <v>19</v>
      </c>
      <c r="EY77" s="76">
        <v>15</v>
      </c>
      <c r="EZ77" s="76">
        <v>30</v>
      </c>
      <c r="FA77" s="76">
        <v>21</v>
      </c>
      <c r="FB77" s="76">
        <v>19</v>
      </c>
      <c r="FC77" s="76">
        <v>20</v>
      </c>
      <c r="FD77" s="76">
        <v>17</v>
      </c>
      <c r="FE77" s="76">
        <v>8.01</v>
      </c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10</v>
      </c>
      <c r="CT78" s="62">
        <v>10</v>
      </c>
      <c r="CU78" s="62">
        <v>10</v>
      </c>
      <c r="CV78" s="62">
        <v>10</v>
      </c>
      <c r="CW78" s="62">
        <v>10</v>
      </c>
      <c r="CX78" s="62">
        <v>10</v>
      </c>
      <c r="CY78" s="62">
        <v>12</v>
      </c>
      <c r="CZ78" s="62">
        <v>10</v>
      </c>
      <c r="DA78" s="62">
        <v>10</v>
      </c>
      <c r="DB78" s="62">
        <v>10</v>
      </c>
      <c r="DC78" s="62">
        <v>10</v>
      </c>
      <c r="DD78" s="62">
        <v>10</v>
      </c>
      <c r="DE78" s="62">
        <v>10</v>
      </c>
      <c r="DF78" s="62">
        <v>10</v>
      </c>
      <c r="DG78" s="62">
        <v>10</v>
      </c>
      <c r="DH78" s="62">
        <v>10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2</v>
      </c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5</v>
      </c>
      <c r="CT79" s="62">
        <v>4.4000000000000004</v>
      </c>
      <c r="CU79" s="62">
        <v>5.3</v>
      </c>
      <c r="CV79" s="62">
        <v>3.6</v>
      </c>
      <c r="CW79" s="62">
        <v>3.9</v>
      </c>
      <c r="CX79" s="62">
        <v>6.5</v>
      </c>
      <c r="CY79" s="62">
        <v>3.8341666666666665</v>
      </c>
      <c r="CZ79" s="62">
        <v>3.1</v>
      </c>
      <c r="DA79" s="62">
        <v>5.0999999999999996</v>
      </c>
      <c r="DB79" s="62">
        <v>4</v>
      </c>
      <c r="DC79" s="62">
        <v>3.1</v>
      </c>
      <c r="DD79" s="62">
        <v>5.6</v>
      </c>
      <c r="DE79" s="62">
        <v>4.7</v>
      </c>
      <c r="DF79" s="62">
        <v>3.5</v>
      </c>
      <c r="DG79" s="62">
        <v>4.2</v>
      </c>
      <c r="DH79" s="62">
        <v>3.4</v>
      </c>
      <c r="DI79" s="62" t="e">
        <v>#DIV/0!</v>
      </c>
      <c r="DJ79" s="62" t="e">
        <v>#DIV/0!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5.2</v>
      </c>
      <c r="DZ79" s="76">
        <v>4.5999999999999996</v>
      </c>
      <c r="EA79" s="76">
        <v>5.4</v>
      </c>
      <c r="EB79" s="76">
        <v>4</v>
      </c>
      <c r="EC79" s="76">
        <v>3.8</v>
      </c>
      <c r="ED79" s="76">
        <v>6.6</v>
      </c>
      <c r="EE79" s="76">
        <v>3.8</v>
      </c>
      <c r="EF79" s="76">
        <v>3</v>
      </c>
      <c r="EG79" s="76">
        <v>5</v>
      </c>
      <c r="EH79" s="76">
        <v>4.2</v>
      </c>
      <c r="EI79" s="76">
        <v>3.2</v>
      </c>
      <c r="EJ79" s="76">
        <v>5.2</v>
      </c>
      <c r="EK79" s="76">
        <v>5.2</v>
      </c>
      <c r="EL79" s="76">
        <v>3.2</v>
      </c>
      <c r="EM79" s="76">
        <v>4.4000000000000004</v>
      </c>
      <c r="EN79" s="76">
        <v>3.4</v>
      </c>
      <c r="EO79" s="76">
        <v>4.8</v>
      </c>
      <c r="EP79" s="76">
        <v>4.2</v>
      </c>
      <c r="EQ79" s="76">
        <v>5.2</v>
      </c>
      <c r="ER79" s="76">
        <v>3.2</v>
      </c>
      <c r="ES79" s="76">
        <v>4</v>
      </c>
      <c r="ET79" s="76">
        <v>6.4</v>
      </c>
      <c r="EU79" s="76">
        <v>3.8</v>
      </c>
      <c r="EV79" s="76">
        <v>3.2</v>
      </c>
      <c r="EW79" s="76">
        <v>5.2</v>
      </c>
      <c r="EX79" s="76">
        <v>3.8</v>
      </c>
      <c r="EY79" s="76">
        <v>3</v>
      </c>
      <c r="EZ79" s="76">
        <v>6</v>
      </c>
      <c r="FA79" s="76">
        <v>4.2</v>
      </c>
      <c r="FB79" s="76">
        <v>3.8</v>
      </c>
      <c r="FC79" s="76">
        <v>4</v>
      </c>
      <c r="FD79" s="76">
        <v>3.4</v>
      </c>
      <c r="FE79" s="76">
        <v>4.0049999999999999</v>
      </c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79</v>
      </c>
      <c r="CT80" s="62">
        <v>67</v>
      </c>
      <c r="CU80" s="62">
        <v>79</v>
      </c>
      <c r="CV80" s="62">
        <v>52</v>
      </c>
      <c r="CW80" s="62">
        <v>55</v>
      </c>
      <c r="CX80" s="62">
        <v>94</v>
      </c>
      <c r="CY80" s="62">
        <v>64.010000000000005</v>
      </c>
      <c r="CZ80" s="62">
        <v>47</v>
      </c>
      <c r="DA80" s="62">
        <v>77</v>
      </c>
      <c r="DB80" s="62">
        <v>59</v>
      </c>
      <c r="DC80" s="62">
        <v>46</v>
      </c>
      <c r="DD80" s="62">
        <v>86</v>
      </c>
      <c r="DE80" s="62">
        <v>70</v>
      </c>
      <c r="DF80" s="62">
        <v>52</v>
      </c>
      <c r="DG80" s="62">
        <v>65</v>
      </c>
      <c r="DH80" s="62">
        <v>51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142</v>
      </c>
      <c r="DY80" s="76">
        <v>39</v>
      </c>
      <c r="DZ80" s="76">
        <v>34</v>
      </c>
      <c r="EA80" s="76">
        <v>42</v>
      </c>
      <c r="EB80" s="76">
        <v>28</v>
      </c>
      <c r="EC80" s="76">
        <v>28</v>
      </c>
      <c r="ED80" s="76">
        <v>48</v>
      </c>
      <c r="EE80" s="76">
        <v>28</v>
      </c>
      <c r="EF80" s="76">
        <v>23</v>
      </c>
      <c r="EG80" s="76">
        <v>36</v>
      </c>
      <c r="EH80" s="76">
        <v>31</v>
      </c>
      <c r="EI80" s="76">
        <v>23</v>
      </c>
      <c r="EJ80" s="76">
        <v>39</v>
      </c>
      <c r="EK80" s="76">
        <v>36</v>
      </c>
      <c r="EL80" s="76">
        <v>25</v>
      </c>
      <c r="EM80" s="76">
        <v>34</v>
      </c>
      <c r="EN80" s="76">
        <v>26</v>
      </c>
      <c r="EO80" s="76">
        <v>40</v>
      </c>
      <c r="EP80" s="76">
        <v>33</v>
      </c>
      <c r="EQ80" s="76">
        <v>37</v>
      </c>
      <c r="ER80" s="76">
        <v>24</v>
      </c>
      <c r="ES80" s="76">
        <v>27</v>
      </c>
      <c r="ET80" s="76">
        <v>46</v>
      </c>
      <c r="EU80" s="76">
        <v>28</v>
      </c>
      <c r="EV80" s="76">
        <v>24</v>
      </c>
      <c r="EW80" s="76">
        <v>41</v>
      </c>
      <c r="EX80" s="76">
        <v>28</v>
      </c>
      <c r="EY80" s="76">
        <v>23</v>
      </c>
      <c r="EZ80" s="76">
        <v>47</v>
      </c>
      <c r="FA80" s="76">
        <v>34</v>
      </c>
      <c r="FB80" s="76">
        <v>27</v>
      </c>
      <c r="FC80" s="76">
        <v>31</v>
      </c>
      <c r="FD80" s="76">
        <v>25</v>
      </c>
      <c r="FE80" s="76">
        <v>8.01</v>
      </c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14</v>
      </c>
      <c r="CT81" s="62">
        <v>14</v>
      </c>
      <c r="CU81" s="62">
        <v>14</v>
      </c>
      <c r="CV81" s="62">
        <v>14</v>
      </c>
      <c r="CW81" s="62">
        <v>14</v>
      </c>
      <c r="CX81" s="62">
        <v>14</v>
      </c>
      <c r="CY81" s="62">
        <v>16</v>
      </c>
      <c r="CZ81" s="62">
        <v>14</v>
      </c>
      <c r="DA81" s="62">
        <v>14</v>
      </c>
      <c r="DB81" s="62">
        <v>14</v>
      </c>
      <c r="DC81" s="62">
        <v>14</v>
      </c>
      <c r="DD81" s="62">
        <v>14</v>
      </c>
      <c r="DE81" s="62">
        <v>14</v>
      </c>
      <c r="DF81" s="62">
        <v>14</v>
      </c>
      <c r="DG81" s="62">
        <v>14</v>
      </c>
      <c r="DH81" s="62">
        <v>14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143</v>
      </c>
      <c r="DY81" s="76">
        <v>7</v>
      </c>
      <c r="DZ81" s="76">
        <v>7</v>
      </c>
      <c r="EA81" s="76">
        <v>7</v>
      </c>
      <c r="EB81" s="76">
        <v>7</v>
      </c>
      <c r="EC81" s="76">
        <v>7</v>
      </c>
      <c r="ED81" s="76">
        <v>7</v>
      </c>
      <c r="EE81" s="76">
        <v>7</v>
      </c>
      <c r="EF81" s="76">
        <v>7</v>
      </c>
      <c r="EG81" s="76">
        <v>7</v>
      </c>
      <c r="EH81" s="76">
        <v>7</v>
      </c>
      <c r="EI81" s="76">
        <v>7</v>
      </c>
      <c r="EJ81" s="76">
        <v>7</v>
      </c>
      <c r="EK81" s="76">
        <v>7</v>
      </c>
      <c r="EL81" s="76">
        <v>7</v>
      </c>
      <c r="EM81" s="76">
        <v>7</v>
      </c>
      <c r="EN81" s="76">
        <v>7</v>
      </c>
      <c r="EO81" s="76">
        <v>7</v>
      </c>
      <c r="EP81" s="76">
        <v>7</v>
      </c>
      <c r="EQ81" s="76">
        <v>7</v>
      </c>
      <c r="ER81" s="76">
        <v>7</v>
      </c>
      <c r="ES81" s="76">
        <v>7</v>
      </c>
      <c r="ET81" s="76">
        <v>7</v>
      </c>
      <c r="EU81" s="76">
        <v>7</v>
      </c>
      <c r="EV81" s="76">
        <v>7</v>
      </c>
      <c r="EW81" s="76">
        <v>7</v>
      </c>
      <c r="EX81" s="76">
        <v>7</v>
      </c>
      <c r="EY81" s="76">
        <v>7</v>
      </c>
      <c r="EZ81" s="76">
        <v>7</v>
      </c>
      <c r="FA81" s="76">
        <v>7</v>
      </c>
      <c r="FB81" s="76">
        <v>7</v>
      </c>
      <c r="FC81" s="76">
        <v>7</v>
      </c>
      <c r="FD81" s="76">
        <v>7</v>
      </c>
      <c r="FE81" s="76">
        <v>2</v>
      </c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5.6428571428571432</v>
      </c>
      <c r="CT82" s="62">
        <v>4.7857142857142856</v>
      </c>
      <c r="CU82" s="62">
        <v>5.6428571428571432</v>
      </c>
      <c r="CV82" s="62">
        <v>3.7142857142857144</v>
      </c>
      <c r="CW82" s="62">
        <v>3.9285714285714284</v>
      </c>
      <c r="CX82" s="62">
        <v>6.7142857142857144</v>
      </c>
      <c r="CY82" s="62">
        <v>4.0006250000000003</v>
      </c>
      <c r="CZ82" s="62">
        <v>3.3571428571428572</v>
      </c>
      <c r="DA82" s="62">
        <v>5.5</v>
      </c>
      <c r="DB82" s="62">
        <v>4.2142857142857144</v>
      </c>
      <c r="DC82" s="62">
        <v>3.2857142857142856</v>
      </c>
      <c r="DD82" s="62">
        <v>6.1428571428571432</v>
      </c>
      <c r="DE82" s="62">
        <v>5</v>
      </c>
      <c r="DF82" s="62">
        <v>3.7142857142857144</v>
      </c>
      <c r="DG82" s="62">
        <v>4.6428571428571432</v>
      </c>
      <c r="DH82" s="62">
        <v>3.6428571428571428</v>
      </c>
      <c r="DI82" s="62" t="e">
        <v>#DIV/0!</v>
      </c>
      <c r="DJ82" s="62" t="e">
        <v>#DIV/0!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144</v>
      </c>
      <c r="DY82" s="76">
        <v>5.5714285714285712</v>
      </c>
      <c r="DZ82" s="76">
        <v>4.8571428571428568</v>
      </c>
      <c r="EA82" s="76">
        <v>6</v>
      </c>
      <c r="EB82" s="76">
        <v>4</v>
      </c>
      <c r="EC82" s="76">
        <v>4</v>
      </c>
      <c r="ED82" s="76">
        <v>6.8571428571428568</v>
      </c>
      <c r="EE82" s="76">
        <v>4</v>
      </c>
      <c r="EF82" s="76">
        <v>3.2857142857142856</v>
      </c>
      <c r="EG82" s="76">
        <v>5.1428571428571432</v>
      </c>
      <c r="EH82" s="76">
        <v>4.4285714285714288</v>
      </c>
      <c r="EI82" s="76">
        <v>3.2857142857142856</v>
      </c>
      <c r="EJ82" s="76">
        <v>5.5714285714285712</v>
      </c>
      <c r="EK82" s="76">
        <v>5.1428571428571432</v>
      </c>
      <c r="EL82" s="76">
        <v>3.5714285714285716</v>
      </c>
      <c r="EM82" s="76">
        <v>4.8571428571428568</v>
      </c>
      <c r="EN82" s="76">
        <v>3.7142857142857144</v>
      </c>
      <c r="EO82" s="76">
        <v>5.7142857142857144</v>
      </c>
      <c r="EP82" s="76">
        <v>4.7142857142857144</v>
      </c>
      <c r="EQ82" s="76">
        <v>5.2857142857142856</v>
      </c>
      <c r="ER82" s="76">
        <v>3.4285714285714284</v>
      </c>
      <c r="ES82" s="76">
        <v>3.8571428571428572</v>
      </c>
      <c r="ET82" s="76">
        <v>6.5714285714285712</v>
      </c>
      <c r="EU82" s="76">
        <v>4</v>
      </c>
      <c r="EV82" s="76">
        <v>3.4285714285714284</v>
      </c>
      <c r="EW82" s="76">
        <v>5.8571428571428568</v>
      </c>
      <c r="EX82" s="76">
        <v>4</v>
      </c>
      <c r="EY82" s="76">
        <v>3.2857142857142856</v>
      </c>
      <c r="EZ82" s="76">
        <v>6.7142857142857144</v>
      </c>
      <c r="FA82" s="76">
        <v>4.8571428571428568</v>
      </c>
      <c r="FB82" s="76">
        <v>3.8571428571428572</v>
      </c>
      <c r="FC82" s="76">
        <v>4.4285714285714288</v>
      </c>
      <c r="FD82" s="76">
        <v>3.5714285714285716</v>
      </c>
      <c r="FE82" s="76">
        <v>4.0049999999999999</v>
      </c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79</v>
      </c>
      <c r="CT83" s="62">
        <v>67</v>
      </c>
      <c r="CU83" s="62">
        <v>79</v>
      </c>
      <c r="CV83" s="62">
        <v>52</v>
      </c>
      <c r="CW83" s="62">
        <v>55</v>
      </c>
      <c r="CX83" s="62">
        <v>94</v>
      </c>
      <c r="CY83" s="62">
        <v>64.010000000000005</v>
      </c>
      <c r="CZ83" s="62">
        <v>47</v>
      </c>
      <c r="DA83" s="62">
        <v>77</v>
      </c>
      <c r="DB83" s="62">
        <v>59</v>
      </c>
      <c r="DC83" s="62">
        <v>46</v>
      </c>
      <c r="DD83" s="62">
        <v>86</v>
      </c>
      <c r="DE83" s="62">
        <v>70</v>
      </c>
      <c r="DF83" s="62">
        <v>52</v>
      </c>
      <c r="DG83" s="62">
        <v>65</v>
      </c>
      <c r="DH83" s="62">
        <v>51</v>
      </c>
      <c r="DI83" s="62">
        <v>0</v>
      </c>
      <c r="DJ83" s="62">
        <v>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145</v>
      </c>
      <c r="DY83" s="76">
        <v>39</v>
      </c>
      <c r="DZ83" s="76">
        <v>34</v>
      </c>
      <c r="EA83" s="76">
        <v>42</v>
      </c>
      <c r="EB83" s="76">
        <v>28</v>
      </c>
      <c r="EC83" s="76">
        <v>28</v>
      </c>
      <c r="ED83" s="76">
        <v>48</v>
      </c>
      <c r="EE83" s="76">
        <v>28</v>
      </c>
      <c r="EF83" s="76">
        <v>23</v>
      </c>
      <c r="EG83" s="76">
        <v>36</v>
      </c>
      <c r="EH83" s="76">
        <v>31</v>
      </c>
      <c r="EI83" s="76">
        <v>23</v>
      </c>
      <c r="EJ83" s="76">
        <v>39</v>
      </c>
      <c r="EK83" s="76">
        <v>36</v>
      </c>
      <c r="EL83" s="76">
        <v>25</v>
      </c>
      <c r="EM83" s="76">
        <v>34</v>
      </c>
      <c r="EN83" s="76">
        <v>26</v>
      </c>
      <c r="EO83" s="76">
        <v>40</v>
      </c>
      <c r="EP83" s="76">
        <v>33</v>
      </c>
      <c r="EQ83" s="76">
        <v>37</v>
      </c>
      <c r="ER83" s="76">
        <v>24</v>
      </c>
      <c r="ES83" s="76">
        <v>27</v>
      </c>
      <c r="ET83" s="76">
        <v>46</v>
      </c>
      <c r="EU83" s="76">
        <v>28</v>
      </c>
      <c r="EV83" s="76">
        <v>24</v>
      </c>
      <c r="EW83" s="76">
        <v>41</v>
      </c>
      <c r="EX83" s="76">
        <v>28</v>
      </c>
      <c r="EY83" s="76">
        <v>23</v>
      </c>
      <c r="EZ83" s="76">
        <v>47</v>
      </c>
      <c r="FA83" s="76">
        <v>34</v>
      </c>
      <c r="FB83" s="76">
        <v>27</v>
      </c>
      <c r="FC83" s="76">
        <v>31</v>
      </c>
      <c r="FD83" s="76">
        <v>25</v>
      </c>
      <c r="FE83" s="76">
        <v>8.01</v>
      </c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14</v>
      </c>
      <c r="CT84" s="62">
        <v>14</v>
      </c>
      <c r="CU84" s="62">
        <v>14</v>
      </c>
      <c r="CV84" s="62">
        <v>14</v>
      </c>
      <c r="CW84" s="62">
        <v>14</v>
      </c>
      <c r="CX84" s="62">
        <v>14</v>
      </c>
      <c r="CY84" s="62">
        <v>16</v>
      </c>
      <c r="CZ84" s="62">
        <v>14</v>
      </c>
      <c r="DA84" s="62">
        <v>14</v>
      </c>
      <c r="DB84" s="62">
        <v>14</v>
      </c>
      <c r="DC84" s="62">
        <v>14</v>
      </c>
      <c r="DD84" s="62">
        <v>14</v>
      </c>
      <c r="DE84" s="62">
        <v>14</v>
      </c>
      <c r="DF84" s="62">
        <v>14</v>
      </c>
      <c r="DG84" s="62">
        <v>14</v>
      </c>
      <c r="DH84" s="62">
        <v>14</v>
      </c>
      <c r="DI84" s="62">
        <v>0</v>
      </c>
      <c r="DJ84" s="62">
        <v>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146</v>
      </c>
      <c r="DY84" s="76">
        <v>7</v>
      </c>
      <c r="DZ84" s="76">
        <v>7</v>
      </c>
      <c r="EA84" s="76">
        <v>7</v>
      </c>
      <c r="EB84" s="76">
        <v>7</v>
      </c>
      <c r="EC84" s="76">
        <v>7</v>
      </c>
      <c r="ED84" s="76">
        <v>7</v>
      </c>
      <c r="EE84" s="76">
        <v>7</v>
      </c>
      <c r="EF84" s="76">
        <v>7</v>
      </c>
      <c r="EG84" s="76">
        <v>7</v>
      </c>
      <c r="EH84" s="76">
        <v>7</v>
      </c>
      <c r="EI84" s="76">
        <v>7</v>
      </c>
      <c r="EJ84" s="76">
        <v>7</v>
      </c>
      <c r="EK84" s="76">
        <v>7</v>
      </c>
      <c r="EL84" s="76">
        <v>7</v>
      </c>
      <c r="EM84" s="76">
        <v>7</v>
      </c>
      <c r="EN84" s="76">
        <v>7</v>
      </c>
      <c r="EO84" s="76">
        <v>7</v>
      </c>
      <c r="EP84" s="76">
        <v>7</v>
      </c>
      <c r="EQ84" s="76">
        <v>7</v>
      </c>
      <c r="ER84" s="76">
        <v>7</v>
      </c>
      <c r="ES84" s="76">
        <v>7</v>
      </c>
      <c r="ET84" s="76">
        <v>7</v>
      </c>
      <c r="EU84" s="76">
        <v>7</v>
      </c>
      <c r="EV84" s="76">
        <v>7</v>
      </c>
      <c r="EW84" s="76">
        <v>7</v>
      </c>
      <c r="EX84" s="76">
        <v>7</v>
      </c>
      <c r="EY84" s="76">
        <v>7</v>
      </c>
      <c r="EZ84" s="76">
        <v>7</v>
      </c>
      <c r="FA84" s="76">
        <v>7</v>
      </c>
      <c r="FB84" s="76">
        <v>7</v>
      </c>
      <c r="FC84" s="76">
        <v>7</v>
      </c>
      <c r="FD84" s="76">
        <v>7</v>
      </c>
      <c r="FE84" s="76">
        <v>2</v>
      </c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5.6428571428571432</v>
      </c>
      <c r="CT85" s="62">
        <v>4.7857142857142856</v>
      </c>
      <c r="CU85" s="62">
        <v>5.6428571428571432</v>
      </c>
      <c r="CV85" s="62">
        <v>3.7142857142857144</v>
      </c>
      <c r="CW85" s="62">
        <v>3.9285714285714284</v>
      </c>
      <c r="CX85" s="62">
        <v>6.7142857142857144</v>
      </c>
      <c r="CY85" s="62">
        <v>4.0006250000000003</v>
      </c>
      <c r="CZ85" s="62">
        <v>3.3571428571428572</v>
      </c>
      <c r="DA85" s="62">
        <v>5.5</v>
      </c>
      <c r="DB85" s="62">
        <v>4.2142857142857144</v>
      </c>
      <c r="DC85" s="62">
        <v>3.2857142857142856</v>
      </c>
      <c r="DD85" s="62">
        <v>6.1428571428571432</v>
      </c>
      <c r="DE85" s="62">
        <v>5</v>
      </c>
      <c r="DF85" s="62">
        <v>3.7142857142857144</v>
      </c>
      <c r="DG85" s="62">
        <v>4.6428571428571432</v>
      </c>
      <c r="DH85" s="62">
        <v>3.6428571428571428</v>
      </c>
      <c r="DI85" s="62" t="e">
        <v>#DIV/0!</v>
      </c>
      <c r="DJ85" s="62" t="e">
        <v>#DIV/0!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147</v>
      </c>
      <c r="DY85" s="76">
        <v>5.5714285714285712</v>
      </c>
      <c r="DZ85" s="76">
        <v>4.8571428571428568</v>
      </c>
      <c r="EA85" s="76">
        <v>6</v>
      </c>
      <c r="EB85" s="76">
        <v>4</v>
      </c>
      <c r="EC85" s="76">
        <v>4</v>
      </c>
      <c r="ED85" s="76">
        <v>6.8571428571428568</v>
      </c>
      <c r="EE85" s="76">
        <v>4</v>
      </c>
      <c r="EF85" s="76">
        <v>3.2857142857142856</v>
      </c>
      <c r="EG85" s="76">
        <v>5.1428571428571432</v>
      </c>
      <c r="EH85" s="76">
        <v>4.4285714285714288</v>
      </c>
      <c r="EI85" s="76">
        <v>3.2857142857142856</v>
      </c>
      <c r="EJ85" s="76">
        <v>5.5714285714285712</v>
      </c>
      <c r="EK85" s="76">
        <v>5.1428571428571432</v>
      </c>
      <c r="EL85" s="76">
        <v>3.5714285714285716</v>
      </c>
      <c r="EM85" s="76">
        <v>4.8571428571428568</v>
      </c>
      <c r="EN85" s="76">
        <v>3.7142857142857144</v>
      </c>
      <c r="EO85" s="76">
        <v>5.7142857142857144</v>
      </c>
      <c r="EP85" s="76">
        <v>4.7142857142857144</v>
      </c>
      <c r="EQ85" s="76">
        <v>5.2857142857142856</v>
      </c>
      <c r="ER85" s="76">
        <v>3.4285714285714284</v>
      </c>
      <c r="ES85" s="76">
        <v>3.8571428571428572</v>
      </c>
      <c r="ET85" s="76">
        <v>6.5714285714285712</v>
      </c>
      <c r="EU85" s="76">
        <v>4</v>
      </c>
      <c r="EV85" s="76">
        <v>3.4285714285714284</v>
      </c>
      <c r="EW85" s="76">
        <v>5.8571428571428568</v>
      </c>
      <c r="EX85" s="76">
        <v>4</v>
      </c>
      <c r="EY85" s="76">
        <v>3.2857142857142856</v>
      </c>
      <c r="EZ85" s="76">
        <v>6.7142857142857144</v>
      </c>
      <c r="FA85" s="76">
        <v>4.8571428571428568</v>
      </c>
      <c r="FB85" s="76">
        <v>3.8571428571428572</v>
      </c>
      <c r="FC85" s="76">
        <v>4.4285714285714288</v>
      </c>
      <c r="FD85" s="76">
        <v>3.5714285714285716</v>
      </c>
      <c r="FE85" s="76">
        <v>4.0049999999999999</v>
      </c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79</v>
      </c>
      <c r="CT86" s="62">
        <v>67</v>
      </c>
      <c r="CU86" s="62">
        <v>79</v>
      </c>
      <c r="CV86" s="62">
        <v>52</v>
      </c>
      <c r="CW86" s="62">
        <v>55</v>
      </c>
      <c r="CX86" s="62">
        <v>94</v>
      </c>
      <c r="CY86" s="62">
        <v>64.010000000000005</v>
      </c>
      <c r="CZ86" s="62">
        <v>47</v>
      </c>
      <c r="DA86" s="62">
        <v>77</v>
      </c>
      <c r="DB86" s="62">
        <v>59</v>
      </c>
      <c r="DC86" s="62">
        <v>46</v>
      </c>
      <c r="DD86" s="62">
        <v>86</v>
      </c>
      <c r="DE86" s="62">
        <v>70</v>
      </c>
      <c r="DF86" s="62">
        <v>52</v>
      </c>
      <c r="DG86" s="62">
        <v>65</v>
      </c>
      <c r="DH86" s="62">
        <v>51</v>
      </c>
      <c r="DI86" s="62">
        <v>0</v>
      </c>
      <c r="DJ86" s="62">
        <v>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148</v>
      </c>
      <c r="DY86" s="76">
        <v>39</v>
      </c>
      <c r="DZ86" s="76">
        <v>34</v>
      </c>
      <c r="EA86" s="76">
        <v>42</v>
      </c>
      <c r="EB86" s="76">
        <v>28</v>
      </c>
      <c r="EC86" s="76">
        <v>28</v>
      </c>
      <c r="ED86" s="76">
        <v>48</v>
      </c>
      <c r="EE86" s="76">
        <v>28</v>
      </c>
      <c r="EF86" s="76">
        <v>23</v>
      </c>
      <c r="EG86" s="76">
        <v>36</v>
      </c>
      <c r="EH86" s="76">
        <v>31</v>
      </c>
      <c r="EI86" s="76">
        <v>23</v>
      </c>
      <c r="EJ86" s="76">
        <v>39</v>
      </c>
      <c r="EK86" s="76">
        <v>36</v>
      </c>
      <c r="EL86" s="76">
        <v>25</v>
      </c>
      <c r="EM86" s="76">
        <v>34</v>
      </c>
      <c r="EN86" s="76">
        <v>26</v>
      </c>
      <c r="EO86" s="76">
        <v>40</v>
      </c>
      <c r="EP86" s="76">
        <v>33</v>
      </c>
      <c r="EQ86" s="76">
        <v>37</v>
      </c>
      <c r="ER86" s="76">
        <v>24</v>
      </c>
      <c r="ES86" s="76">
        <v>27</v>
      </c>
      <c r="ET86" s="76">
        <v>46</v>
      </c>
      <c r="EU86" s="76">
        <v>28</v>
      </c>
      <c r="EV86" s="76">
        <v>24</v>
      </c>
      <c r="EW86" s="76">
        <v>41</v>
      </c>
      <c r="EX86" s="76">
        <v>28</v>
      </c>
      <c r="EY86" s="76">
        <v>23</v>
      </c>
      <c r="EZ86" s="76">
        <v>47</v>
      </c>
      <c r="FA86" s="76">
        <v>34</v>
      </c>
      <c r="FB86" s="76">
        <v>27</v>
      </c>
      <c r="FC86" s="76">
        <v>31</v>
      </c>
      <c r="FD86" s="76">
        <v>25</v>
      </c>
      <c r="FE86" s="76">
        <v>8.01</v>
      </c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14</v>
      </c>
      <c r="CT87" s="62">
        <v>14</v>
      </c>
      <c r="CU87" s="62">
        <v>14</v>
      </c>
      <c r="CV87" s="62">
        <v>14</v>
      </c>
      <c r="CW87" s="62">
        <v>14</v>
      </c>
      <c r="CX87" s="62">
        <v>14</v>
      </c>
      <c r="CY87" s="62">
        <v>16</v>
      </c>
      <c r="CZ87" s="62">
        <v>14</v>
      </c>
      <c r="DA87" s="62">
        <v>14</v>
      </c>
      <c r="DB87" s="62">
        <v>14</v>
      </c>
      <c r="DC87" s="62">
        <v>14</v>
      </c>
      <c r="DD87" s="62">
        <v>14</v>
      </c>
      <c r="DE87" s="62">
        <v>14</v>
      </c>
      <c r="DF87" s="62">
        <v>14</v>
      </c>
      <c r="DG87" s="62">
        <v>14</v>
      </c>
      <c r="DH87" s="62">
        <v>14</v>
      </c>
      <c r="DI87" s="62">
        <v>0</v>
      </c>
      <c r="DJ87" s="62">
        <v>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149</v>
      </c>
      <c r="DY87" s="76">
        <v>7</v>
      </c>
      <c r="DZ87" s="76">
        <v>7</v>
      </c>
      <c r="EA87" s="76">
        <v>7</v>
      </c>
      <c r="EB87" s="76">
        <v>7</v>
      </c>
      <c r="EC87" s="76">
        <v>7</v>
      </c>
      <c r="ED87" s="76">
        <v>7</v>
      </c>
      <c r="EE87" s="76">
        <v>7</v>
      </c>
      <c r="EF87" s="76">
        <v>7</v>
      </c>
      <c r="EG87" s="76">
        <v>7</v>
      </c>
      <c r="EH87" s="76">
        <v>7</v>
      </c>
      <c r="EI87" s="76">
        <v>7</v>
      </c>
      <c r="EJ87" s="76">
        <v>7</v>
      </c>
      <c r="EK87" s="76">
        <v>7</v>
      </c>
      <c r="EL87" s="76">
        <v>7</v>
      </c>
      <c r="EM87" s="76">
        <v>7</v>
      </c>
      <c r="EN87" s="76">
        <v>7</v>
      </c>
      <c r="EO87" s="76">
        <v>7</v>
      </c>
      <c r="EP87" s="76">
        <v>7</v>
      </c>
      <c r="EQ87" s="76">
        <v>7</v>
      </c>
      <c r="ER87" s="76">
        <v>7</v>
      </c>
      <c r="ES87" s="76">
        <v>7</v>
      </c>
      <c r="ET87" s="76">
        <v>7</v>
      </c>
      <c r="EU87" s="76">
        <v>7</v>
      </c>
      <c r="EV87" s="76">
        <v>7</v>
      </c>
      <c r="EW87" s="76">
        <v>7</v>
      </c>
      <c r="EX87" s="76">
        <v>7</v>
      </c>
      <c r="EY87" s="76">
        <v>7</v>
      </c>
      <c r="EZ87" s="76">
        <v>7</v>
      </c>
      <c r="FA87" s="76">
        <v>7</v>
      </c>
      <c r="FB87" s="76">
        <v>7</v>
      </c>
      <c r="FC87" s="76">
        <v>7</v>
      </c>
      <c r="FD87" s="76">
        <v>7</v>
      </c>
      <c r="FE87" s="76">
        <v>2</v>
      </c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5.6428571428571432</v>
      </c>
      <c r="CT88" s="62">
        <v>4.7857142857142856</v>
      </c>
      <c r="CU88" s="62">
        <v>5.6428571428571432</v>
      </c>
      <c r="CV88" s="62">
        <v>3.7142857142857144</v>
      </c>
      <c r="CW88" s="62">
        <v>3.9285714285714284</v>
      </c>
      <c r="CX88" s="62">
        <v>6.7142857142857144</v>
      </c>
      <c r="CY88" s="62">
        <v>4.0006250000000003</v>
      </c>
      <c r="CZ88" s="62">
        <v>3.3571428571428572</v>
      </c>
      <c r="DA88" s="62">
        <v>5.5</v>
      </c>
      <c r="DB88" s="62">
        <v>4.2142857142857144</v>
      </c>
      <c r="DC88" s="62">
        <v>3.2857142857142856</v>
      </c>
      <c r="DD88" s="62">
        <v>6.1428571428571432</v>
      </c>
      <c r="DE88" s="62">
        <v>5</v>
      </c>
      <c r="DF88" s="62">
        <v>3.7142857142857144</v>
      </c>
      <c r="DG88" s="62">
        <v>4.6428571428571432</v>
      </c>
      <c r="DH88" s="62">
        <v>3.6428571428571428</v>
      </c>
      <c r="DI88" s="62" t="e">
        <v>#DIV/0!</v>
      </c>
      <c r="DJ88" s="62" t="e">
        <v>#DIV/0!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150</v>
      </c>
      <c r="DY88" s="76">
        <v>5.5714285714285712</v>
      </c>
      <c r="DZ88" s="76">
        <v>4.8571428571428568</v>
      </c>
      <c r="EA88" s="76">
        <v>6</v>
      </c>
      <c r="EB88" s="76">
        <v>4</v>
      </c>
      <c r="EC88" s="76">
        <v>4</v>
      </c>
      <c r="ED88" s="76">
        <v>6.8571428571428568</v>
      </c>
      <c r="EE88" s="76">
        <v>4</v>
      </c>
      <c r="EF88" s="76">
        <v>3.2857142857142856</v>
      </c>
      <c r="EG88" s="76">
        <v>5.1428571428571432</v>
      </c>
      <c r="EH88" s="76">
        <v>4.4285714285714288</v>
      </c>
      <c r="EI88" s="76">
        <v>3.2857142857142856</v>
      </c>
      <c r="EJ88" s="76">
        <v>5.5714285714285712</v>
      </c>
      <c r="EK88" s="76">
        <v>5.1428571428571432</v>
      </c>
      <c r="EL88" s="76">
        <v>3.5714285714285716</v>
      </c>
      <c r="EM88" s="76">
        <v>4.8571428571428568</v>
      </c>
      <c r="EN88" s="76">
        <v>3.7142857142857144</v>
      </c>
      <c r="EO88" s="76">
        <v>5.7142857142857144</v>
      </c>
      <c r="EP88" s="76">
        <v>4.7142857142857144</v>
      </c>
      <c r="EQ88" s="76">
        <v>5.2857142857142856</v>
      </c>
      <c r="ER88" s="76">
        <v>3.4285714285714284</v>
      </c>
      <c r="ES88" s="76">
        <v>3.8571428571428572</v>
      </c>
      <c r="ET88" s="76">
        <v>6.5714285714285712</v>
      </c>
      <c r="EU88" s="76">
        <v>4</v>
      </c>
      <c r="EV88" s="76">
        <v>3.4285714285714284</v>
      </c>
      <c r="EW88" s="76">
        <v>5.8571428571428568</v>
      </c>
      <c r="EX88" s="76">
        <v>4</v>
      </c>
      <c r="EY88" s="76">
        <v>3.2857142857142856</v>
      </c>
      <c r="EZ88" s="76">
        <v>6.7142857142857144</v>
      </c>
      <c r="FA88" s="76">
        <v>4.8571428571428568</v>
      </c>
      <c r="FB88" s="76">
        <v>3.8571428571428572</v>
      </c>
      <c r="FC88" s="76">
        <v>4.4285714285714288</v>
      </c>
      <c r="FD88" s="76">
        <v>3.5714285714285716</v>
      </c>
      <c r="FE88" s="76">
        <v>4.0049999999999999</v>
      </c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8" t="s">
        <v>511</v>
      </c>
      <c r="C89" s="518"/>
      <c r="D89" s="518"/>
      <c r="E89" s="518"/>
      <c r="F89" s="518"/>
      <c r="G89" s="518"/>
      <c r="H89" s="283"/>
      <c r="I89" s="283"/>
      <c r="J89" s="517" t="s">
        <v>437</v>
      </c>
      <c r="K89" s="517" t="s">
        <v>437</v>
      </c>
      <c r="L89" s="517" t="s">
        <v>437</v>
      </c>
      <c r="M89" s="517" t="s">
        <v>437</v>
      </c>
      <c r="N89" s="517" t="s">
        <v>437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17" t="s">
        <v>496</v>
      </c>
      <c r="AQ89" s="63" t="s">
        <v>408</v>
      </c>
      <c r="AR89" s="63" t="s">
        <v>408</v>
      </c>
      <c r="AS89" s="63" t="s">
        <v>408</v>
      </c>
      <c r="AT89" s="63" t="s">
        <v>408</v>
      </c>
      <c r="AU89" s="63" t="s">
        <v>408</v>
      </c>
      <c r="AV89" s="63" t="s">
        <v>408</v>
      </c>
      <c r="AW89" s="63" t="s">
        <v>408</v>
      </c>
      <c r="AX89" s="63" t="s">
        <v>408</v>
      </c>
      <c r="AY89" s="63" t="s">
        <v>408</v>
      </c>
      <c r="AZ89" s="63" t="s">
        <v>408</v>
      </c>
      <c r="BA89" s="63" t="s">
        <v>408</v>
      </c>
      <c r="BB89" s="63" t="s">
        <v>408</v>
      </c>
      <c r="BC89" s="63" t="s">
        <v>408</v>
      </c>
      <c r="BD89" s="63" t="s">
        <v>408</v>
      </c>
      <c r="BE89" s="63" t="s">
        <v>408</v>
      </c>
      <c r="BF89" s="63" t="s">
        <v>408</v>
      </c>
      <c r="BG89" s="63" t="s">
        <v>408</v>
      </c>
      <c r="BH89" s="63" t="s">
        <v>408</v>
      </c>
      <c r="BI89" s="63" t="s">
        <v>408</v>
      </c>
      <c r="BJ89" s="63" t="s">
        <v>408</v>
      </c>
      <c r="BK89" s="63" t="s">
        <v>408</v>
      </c>
      <c r="BL89" s="63" t="s">
        <v>408</v>
      </c>
      <c r="BM89" s="63" t="s">
        <v>408</v>
      </c>
      <c r="BN89" s="63" t="s">
        <v>408</v>
      </c>
      <c r="BO89" s="63" t="s">
        <v>408</v>
      </c>
      <c r="BP89" s="63" t="s">
        <v>408</v>
      </c>
      <c r="BQ89" s="63" t="s">
        <v>408</v>
      </c>
      <c r="BR89" s="63" t="s">
        <v>224</v>
      </c>
      <c r="BS89" s="63" t="s">
        <v>224</v>
      </c>
      <c r="BT89" s="63" t="s">
        <v>224</v>
      </c>
      <c r="BU89" s="63" t="s">
        <v>224</v>
      </c>
      <c r="BV89" s="63" t="s">
        <v>224</v>
      </c>
      <c r="BW89" s="63" t="s">
        <v>224</v>
      </c>
      <c r="BX89" s="63" t="s">
        <v>224</v>
      </c>
      <c r="BY89" s="63" t="s">
        <v>224</v>
      </c>
      <c r="BZ89" s="63" t="s">
        <v>224</v>
      </c>
      <c r="CA89" s="63" t="s">
        <v>224</v>
      </c>
      <c r="CB89" s="63" t="s">
        <v>224</v>
      </c>
      <c r="CC89" s="63" t="s">
        <v>224</v>
      </c>
      <c r="CD89" s="63" t="s">
        <v>224</v>
      </c>
      <c r="CE89" s="63" t="s">
        <v>224</v>
      </c>
      <c r="CF89" s="63" t="s">
        <v>224</v>
      </c>
      <c r="CG89" s="63" t="s">
        <v>224</v>
      </c>
      <c r="CH89" s="63" t="s">
        <v>224</v>
      </c>
      <c r="CI89" s="63" t="s">
        <v>224</v>
      </c>
      <c r="CJ89" s="63" t="s">
        <v>224</v>
      </c>
      <c r="CK89" s="63" t="s">
        <v>224</v>
      </c>
      <c r="CL89" s="63" t="s">
        <v>224</v>
      </c>
      <c r="CM89" s="63" t="s">
        <v>224</v>
      </c>
      <c r="CN89" s="63" t="s">
        <v>224</v>
      </c>
      <c r="CO89" s="63" t="s">
        <v>224</v>
      </c>
      <c r="CP89" s="63" t="s">
        <v>224</v>
      </c>
      <c r="CQ89" s="63" t="s">
        <v>224</v>
      </c>
      <c r="CR89" s="63" t="s">
        <v>224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7" t="s">
        <v>45</v>
      </c>
      <c r="DU89" s="350" t="s">
        <v>452</v>
      </c>
      <c r="DV89" s="350" t="s">
        <v>409</v>
      </c>
      <c r="DW89" s="277" t="s">
        <v>52</v>
      </c>
      <c r="DX89" s="351" t="s">
        <v>454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26</v>
      </c>
      <c r="EN89" s="77" t="s">
        <v>26</v>
      </c>
      <c r="EO89" s="77" t="s">
        <v>27</v>
      </c>
      <c r="EP89" s="77" t="s">
        <v>27</v>
      </c>
      <c r="EQ89" s="77" t="s">
        <v>27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 t="s">
        <v>27</v>
      </c>
      <c r="FB89" s="77" t="s">
        <v>27</v>
      </c>
      <c r="FC89" s="77" t="s">
        <v>27</v>
      </c>
      <c r="FD89" s="77" t="s">
        <v>27</v>
      </c>
      <c r="FE89" s="77" t="s">
        <v>30</v>
      </c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8"/>
      <c r="C90" s="518"/>
      <c r="D90" s="518"/>
      <c r="E90" s="518"/>
      <c r="F90" s="518"/>
      <c r="G90" s="518"/>
      <c r="H90" s="283"/>
      <c r="I90" s="283"/>
      <c r="J90" s="517"/>
      <c r="K90" s="517"/>
      <c r="L90" s="517"/>
      <c r="M90" s="517"/>
      <c r="N90" s="517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17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12</v>
      </c>
      <c r="BB90" s="62">
        <v>14</v>
      </c>
      <c r="BC90" s="62">
        <v>15</v>
      </c>
      <c r="BD90" s="62">
        <v>16</v>
      </c>
      <c r="BE90" s="62">
        <v>17</v>
      </c>
      <c r="BF90" s="62">
        <v>18</v>
      </c>
      <c r="BG90" s="62" t="s">
        <v>787</v>
      </c>
      <c r="BH90" s="62" t="s">
        <v>752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12</v>
      </c>
      <c r="CC90" s="62">
        <v>14</v>
      </c>
      <c r="CD90" s="62">
        <v>15</v>
      </c>
      <c r="CE90" s="62">
        <v>16</v>
      </c>
      <c r="CF90" s="62">
        <v>17</v>
      </c>
      <c r="CG90" s="62">
        <v>18</v>
      </c>
      <c r="CH90" s="62" t="s">
        <v>787</v>
      </c>
      <c r="CI90" s="62" t="s">
        <v>752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12</v>
      </c>
      <c r="DD90" s="62">
        <v>14</v>
      </c>
      <c r="DE90" s="62">
        <v>15</v>
      </c>
      <c r="DF90" s="62">
        <v>16</v>
      </c>
      <c r="DG90" s="62">
        <v>17</v>
      </c>
      <c r="DH90" s="62">
        <v>18</v>
      </c>
      <c r="DI90" s="62" t="s">
        <v>787</v>
      </c>
      <c r="DJ90" s="62" t="s">
        <v>752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12</v>
      </c>
      <c r="EJ90" s="76">
        <v>14</v>
      </c>
      <c r="EK90" s="76">
        <v>15</v>
      </c>
      <c r="EL90" s="76">
        <v>16</v>
      </c>
      <c r="EM90" s="76">
        <v>17</v>
      </c>
      <c r="EN90" s="76">
        <v>18</v>
      </c>
      <c r="EO90" s="76">
        <v>1</v>
      </c>
      <c r="EP90" s="76">
        <v>2</v>
      </c>
      <c r="EQ90" s="76">
        <v>3</v>
      </c>
      <c r="ER90" s="76">
        <v>4</v>
      </c>
      <c r="ES90" s="76">
        <v>5</v>
      </c>
      <c r="ET90" s="76">
        <v>6</v>
      </c>
      <c r="EU90" s="76">
        <v>7</v>
      </c>
      <c r="EV90" s="76">
        <v>8</v>
      </c>
      <c r="EW90" s="76">
        <v>9</v>
      </c>
      <c r="EX90" s="76">
        <v>10</v>
      </c>
      <c r="EY90" s="76">
        <v>12</v>
      </c>
      <c r="EZ90" s="76">
        <v>14</v>
      </c>
      <c r="FA90" s="76">
        <v>15</v>
      </c>
      <c r="FB90" s="76">
        <v>16</v>
      </c>
      <c r="FC90" s="76">
        <v>17</v>
      </c>
      <c r="FD90" s="76">
        <v>18</v>
      </c>
      <c r="FE90" s="76">
        <v>7</v>
      </c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1011</v>
      </c>
      <c r="B91" s="2" t="s">
        <v>778</v>
      </c>
      <c r="C91" s="2" t="s">
        <v>1011</v>
      </c>
      <c r="D91" s="2">
        <v>13</v>
      </c>
      <c r="E91" s="2">
        <v>1</v>
      </c>
      <c r="F91" s="2">
        <v>7</v>
      </c>
      <c r="G91" s="2">
        <v>0</v>
      </c>
      <c r="H91" s="2">
        <v>14</v>
      </c>
      <c r="I91" s="2">
        <v>7</v>
      </c>
      <c r="J91" s="2">
        <v>49</v>
      </c>
      <c r="K91" s="2">
        <v>55</v>
      </c>
      <c r="L91" s="2">
        <v>0</v>
      </c>
      <c r="M91" s="2">
        <v>0</v>
      </c>
      <c r="N91" s="2">
        <v>999</v>
      </c>
      <c r="O91" s="2">
        <v>104</v>
      </c>
      <c r="P91" s="2">
        <v>104</v>
      </c>
      <c r="Q91" s="2">
        <v>104</v>
      </c>
      <c r="R91" s="2">
        <v>1103</v>
      </c>
      <c r="S91" s="2">
        <v>49</v>
      </c>
      <c r="T91" s="2">
        <v>-0.375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8</v>
      </c>
      <c r="Z91" s="2">
        <v>2</v>
      </c>
      <c r="AA91" s="2">
        <v>6</v>
      </c>
      <c r="AB91" s="2">
        <v>5</v>
      </c>
      <c r="AG91" s="2">
        <v>1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1017.617</v>
      </c>
      <c r="AN91" s="2">
        <v>1015.21</v>
      </c>
      <c r="AO91" s="2">
        <v>2.4069999999999254</v>
      </c>
      <c r="AP91" s="2">
        <v>104.00091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2</v>
      </c>
      <c r="BF91" s="65">
        <v>2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1</v>
      </c>
      <c r="BT91" s="65">
        <v>0</v>
      </c>
      <c r="BU91" s="65">
        <v>2</v>
      </c>
      <c r="BV91" s="65">
        <v>2</v>
      </c>
      <c r="BW91" s="65">
        <v>1</v>
      </c>
      <c r="BX91" s="65">
        <v>1</v>
      </c>
      <c r="BY91" s="65">
        <v>0</v>
      </c>
      <c r="BZ91" s="65">
        <v>0</v>
      </c>
      <c r="CA91" s="65">
        <v>0</v>
      </c>
      <c r="CB91" s="65">
        <v>0</v>
      </c>
      <c r="CC91" s="65">
        <v>1</v>
      </c>
      <c r="CD91" s="65">
        <v>2</v>
      </c>
      <c r="CE91" s="65">
        <v>1</v>
      </c>
      <c r="CF91" s="65">
        <v>0</v>
      </c>
      <c r="CG91" s="65">
        <v>1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6</v>
      </c>
      <c r="CT91" s="65">
        <v>8</v>
      </c>
      <c r="CU91" s="65">
        <v>10</v>
      </c>
      <c r="CV91" s="65">
        <v>4</v>
      </c>
      <c r="CW91" s="65">
        <v>4</v>
      </c>
      <c r="CX91" s="65">
        <v>10</v>
      </c>
      <c r="CY91" s="65">
        <v>5</v>
      </c>
      <c r="CZ91" s="65">
        <v>6</v>
      </c>
      <c r="DA91" s="65">
        <v>8</v>
      </c>
      <c r="DB91" s="65">
        <v>7</v>
      </c>
      <c r="DC91" s="65">
        <v>6</v>
      </c>
      <c r="DD91" s="65">
        <v>7</v>
      </c>
      <c r="DE91" s="65">
        <v>5</v>
      </c>
      <c r="DF91" s="65">
        <v>6</v>
      </c>
      <c r="DG91" s="65">
        <v>7</v>
      </c>
      <c r="DH91" s="65">
        <v>5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764</v>
      </c>
      <c r="DU91" s="2" t="s">
        <v>453</v>
      </c>
      <c r="DV91" s="2">
        <v>1</v>
      </c>
      <c r="DW91" s="2" t="s">
        <v>1</v>
      </c>
      <c r="DX91" s="2">
        <v>1</v>
      </c>
      <c r="DY91" s="2">
        <v>3</v>
      </c>
      <c r="DZ91" s="2">
        <v>3</v>
      </c>
      <c r="EA91" s="2">
        <v>5</v>
      </c>
      <c r="EB91" s="2">
        <v>2</v>
      </c>
      <c r="EC91" s="2">
        <v>2</v>
      </c>
      <c r="ED91" s="2">
        <v>6</v>
      </c>
      <c r="EE91" s="2">
        <v>3</v>
      </c>
      <c r="EF91" s="2">
        <v>3</v>
      </c>
      <c r="EG91" s="2">
        <v>4</v>
      </c>
      <c r="EH91" s="2">
        <v>3</v>
      </c>
      <c r="EI91" s="2">
        <v>3</v>
      </c>
      <c r="EJ91" s="2">
        <v>3</v>
      </c>
      <c r="EK91" s="2">
        <v>2</v>
      </c>
      <c r="EL91" s="2">
        <v>2</v>
      </c>
      <c r="EM91" s="2">
        <v>3</v>
      </c>
      <c r="EN91" s="2">
        <v>2</v>
      </c>
      <c r="EO91" s="2">
        <v>3</v>
      </c>
      <c r="EP91" s="2">
        <v>5</v>
      </c>
      <c r="EQ91" s="2">
        <v>5</v>
      </c>
      <c r="ER91" s="2">
        <v>2</v>
      </c>
      <c r="ES91" s="2">
        <v>2</v>
      </c>
      <c r="ET91" s="2">
        <v>4</v>
      </c>
      <c r="EU91" s="2">
        <v>2</v>
      </c>
      <c r="EV91" s="2">
        <v>3</v>
      </c>
      <c r="EW91" s="2">
        <v>4</v>
      </c>
      <c r="EX91" s="2">
        <v>4</v>
      </c>
      <c r="EY91" s="2">
        <v>3</v>
      </c>
      <c r="EZ91" s="2">
        <v>4</v>
      </c>
      <c r="FA91" s="385">
        <v>3</v>
      </c>
      <c r="FB91" s="385">
        <v>4</v>
      </c>
      <c r="FC91" s="385">
        <v>4</v>
      </c>
      <c r="FD91" s="385">
        <v>3</v>
      </c>
      <c r="FE91" s="385"/>
      <c r="GJ91" s="385"/>
      <c r="GK91" s="385"/>
      <c r="GL91" s="385"/>
    </row>
    <row r="92" spans="1:200" s="2" customFormat="1" x14ac:dyDescent="0.25">
      <c r="A92" s="2" t="s">
        <v>1012</v>
      </c>
      <c r="B92" s="2" t="s">
        <v>774</v>
      </c>
      <c r="C92" s="2" t="s">
        <v>1012</v>
      </c>
      <c r="D92" s="2">
        <v>8</v>
      </c>
      <c r="E92" s="2">
        <v>0</v>
      </c>
      <c r="F92" s="2">
        <v>5</v>
      </c>
      <c r="G92" s="2">
        <v>1</v>
      </c>
      <c r="H92" s="2">
        <v>8</v>
      </c>
      <c r="I92" s="2">
        <v>6</v>
      </c>
      <c r="J92" s="2">
        <v>52</v>
      </c>
      <c r="K92" s="2">
        <v>60</v>
      </c>
      <c r="L92" s="2">
        <v>0</v>
      </c>
      <c r="M92" s="2">
        <v>0</v>
      </c>
      <c r="N92" s="2">
        <v>999</v>
      </c>
      <c r="O92" s="2">
        <v>112</v>
      </c>
      <c r="P92" s="2">
        <v>112</v>
      </c>
      <c r="Q92" s="2">
        <v>112</v>
      </c>
      <c r="R92" s="2">
        <v>1111</v>
      </c>
      <c r="S92" s="2">
        <v>52</v>
      </c>
      <c r="T92" s="2">
        <v>-0.5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6</v>
      </c>
      <c r="Z92" s="2">
        <v>2</v>
      </c>
      <c r="AA92" s="2">
        <v>2</v>
      </c>
      <c r="AB92" s="2">
        <v>4</v>
      </c>
      <c r="AG92" s="2">
        <v>4</v>
      </c>
      <c r="AH92" s="2">
        <v>10</v>
      </c>
      <c r="AI92" s="2">
        <v>10</v>
      </c>
      <c r="AJ92" s="2">
        <v>10</v>
      </c>
      <c r="AK92" s="2">
        <v>10</v>
      </c>
      <c r="AL92" s="2">
        <v>10</v>
      </c>
      <c r="AM92" s="2">
        <v>941.95799999999997</v>
      </c>
      <c r="AN92" s="2">
        <v>872.25900000000001</v>
      </c>
      <c r="AO92" s="2">
        <v>69.698999999999955</v>
      </c>
      <c r="AP92" s="2">
        <v>112.00091999999999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2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0</v>
      </c>
      <c r="BT92" s="65">
        <v>0</v>
      </c>
      <c r="BU92" s="65">
        <v>1</v>
      </c>
      <c r="BV92" s="65">
        <v>0</v>
      </c>
      <c r="BW92" s="65">
        <v>0</v>
      </c>
      <c r="BX92" s="65">
        <v>1</v>
      </c>
      <c r="BY92" s="65">
        <v>0</v>
      </c>
      <c r="BZ92" s="65">
        <v>1</v>
      </c>
      <c r="CA92" s="65">
        <v>0</v>
      </c>
      <c r="CB92" s="65">
        <v>1</v>
      </c>
      <c r="CC92" s="65">
        <v>0</v>
      </c>
      <c r="CD92" s="65">
        <v>0</v>
      </c>
      <c r="CE92" s="65">
        <v>1</v>
      </c>
      <c r="CF92" s="65">
        <v>0</v>
      </c>
      <c r="CG92" s="65">
        <v>1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6</v>
      </c>
      <c r="CT92" s="65">
        <v>8</v>
      </c>
      <c r="CU92" s="65">
        <v>10</v>
      </c>
      <c r="CV92" s="65">
        <v>5</v>
      </c>
      <c r="CW92" s="65">
        <v>6</v>
      </c>
      <c r="CX92" s="65">
        <v>10</v>
      </c>
      <c r="CY92" s="65">
        <v>5</v>
      </c>
      <c r="CZ92" s="65">
        <v>6</v>
      </c>
      <c r="DA92" s="65">
        <v>7</v>
      </c>
      <c r="DB92" s="65">
        <v>7</v>
      </c>
      <c r="DC92" s="65">
        <v>5</v>
      </c>
      <c r="DD92" s="65">
        <v>11</v>
      </c>
      <c r="DE92" s="65">
        <v>8</v>
      </c>
      <c r="DF92" s="65">
        <v>6</v>
      </c>
      <c r="DG92" s="65">
        <v>7</v>
      </c>
      <c r="DH92" s="65">
        <v>5</v>
      </c>
      <c r="DI92" s="65">
        <v>0</v>
      </c>
      <c r="DJ92" s="65">
        <v>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772</v>
      </c>
      <c r="DU92" s="2" t="s">
        <v>453</v>
      </c>
      <c r="DV92" s="385">
        <v>10</v>
      </c>
      <c r="DW92" s="2" t="s">
        <v>1</v>
      </c>
      <c r="DX92" s="2">
        <v>10</v>
      </c>
      <c r="DY92" s="2">
        <v>3</v>
      </c>
      <c r="DZ92" s="2">
        <v>4</v>
      </c>
      <c r="EA92" s="2">
        <v>5</v>
      </c>
      <c r="EB92" s="2">
        <v>2</v>
      </c>
      <c r="EC92" s="2">
        <v>3</v>
      </c>
      <c r="ED92" s="2">
        <v>5</v>
      </c>
      <c r="EE92" s="2">
        <v>2</v>
      </c>
      <c r="EF92" s="2">
        <v>3</v>
      </c>
      <c r="EG92" s="2">
        <v>4</v>
      </c>
      <c r="EH92" s="2">
        <v>4</v>
      </c>
      <c r="EI92" s="2">
        <v>2</v>
      </c>
      <c r="EJ92" s="2">
        <v>4</v>
      </c>
      <c r="EK92" s="2">
        <v>4</v>
      </c>
      <c r="EL92" s="2">
        <v>2</v>
      </c>
      <c r="EM92" s="2">
        <v>3</v>
      </c>
      <c r="EN92" s="2">
        <v>2</v>
      </c>
      <c r="EO92" s="2">
        <v>3</v>
      </c>
      <c r="EP92" s="2">
        <v>4</v>
      </c>
      <c r="EQ92" s="2">
        <v>5</v>
      </c>
      <c r="ER92" s="2">
        <v>3</v>
      </c>
      <c r="ES92" s="2">
        <v>3</v>
      </c>
      <c r="ET92" s="2">
        <v>5</v>
      </c>
      <c r="EU92" s="2">
        <v>3</v>
      </c>
      <c r="EV92" s="2">
        <v>3</v>
      </c>
      <c r="EW92" s="2">
        <v>3</v>
      </c>
      <c r="EX92" s="2">
        <v>3</v>
      </c>
      <c r="EY92" s="2">
        <v>3</v>
      </c>
      <c r="EZ92" s="2">
        <v>7</v>
      </c>
      <c r="FA92" s="385">
        <v>4</v>
      </c>
      <c r="FB92" s="385">
        <v>4</v>
      </c>
      <c r="FC92" s="385">
        <v>4</v>
      </c>
      <c r="FD92" s="385">
        <v>3</v>
      </c>
      <c r="FE92" s="385"/>
      <c r="GJ92" s="385"/>
      <c r="GK92" s="385"/>
      <c r="GL92" s="385"/>
    </row>
    <row r="93" spans="1:200" s="2" customFormat="1" x14ac:dyDescent="0.25">
      <c r="A93" s="2" t="s">
        <v>1013</v>
      </c>
      <c r="B93" s="2" t="s">
        <v>588</v>
      </c>
      <c r="C93" s="2" t="s">
        <v>1013</v>
      </c>
      <c r="D93" s="2">
        <v>5</v>
      </c>
      <c r="E93" s="2">
        <v>0</v>
      </c>
      <c r="F93" s="2">
        <v>9</v>
      </c>
      <c r="G93" s="2">
        <v>4</v>
      </c>
      <c r="H93" s="2">
        <v>5</v>
      </c>
      <c r="I93" s="2">
        <v>13</v>
      </c>
      <c r="J93" s="2">
        <v>58</v>
      </c>
      <c r="K93" s="2">
        <v>66</v>
      </c>
      <c r="L93" s="2">
        <v>0</v>
      </c>
      <c r="M93" s="2">
        <v>0</v>
      </c>
      <c r="N93" s="2">
        <v>999</v>
      </c>
      <c r="O93" s="2">
        <v>124</v>
      </c>
      <c r="P93" s="2">
        <v>124</v>
      </c>
      <c r="Q93" s="2">
        <v>124</v>
      </c>
      <c r="R93" s="2">
        <v>1123</v>
      </c>
      <c r="S93" s="2">
        <v>58</v>
      </c>
      <c r="T93" s="2">
        <v>-0.5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2</v>
      </c>
      <c r="Z93" s="2">
        <v>4</v>
      </c>
      <c r="AA93" s="2">
        <v>3</v>
      </c>
      <c r="AB93" s="2">
        <v>9</v>
      </c>
      <c r="AG93" s="2">
        <v>14</v>
      </c>
      <c r="AH93" s="2">
        <v>22</v>
      </c>
      <c r="AI93" s="2">
        <v>22</v>
      </c>
      <c r="AJ93" s="2">
        <v>22</v>
      </c>
      <c r="AK93" s="2">
        <v>22</v>
      </c>
      <c r="AL93" s="2">
        <v>22</v>
      </c>
      <c r="AM93" s="2">
        <v>828.46900000000005</v>
      </c>
      <c r="AN93" s="2">
        <v>643.82799999999997</v>
      </c>
      <c r="AO93" s="2">
        <v>184.64100000000008</v>
      </c>
      <c r="AP93" s="2">
        <v>124.00093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2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2</v>
      </c>
      <c r="BS93" s="65">
        <v>0</v>
      </c>
      <c r="BT93" s="65">
        <v>0</v>
      </c>
      <c r="BU93" s="65">
        <v>0</v>
      </c>
      <c r="BV93" s="65">
        <v>0</v>
      </c>
      <c r="BW93" s="65">
        <v>0</v>
      </c>
      <c r="BX93" s="65">
        <v>0</v>
      </c>
      <c r="BY93" s="65">
        <v>0</v>
      </c>
      <c r="BZ93" s="65">
        <v>0</v>
      </c>
      <c r="CA93" s="65">
        <v>0</v>
      </c>
      <c r="CB93" s="65">
        <v>1</v>
      </c>
      <c r="CC93" s="65">
        <v>0</v>
      </c>
      <c r="CD93" s="65">
        <v>0</v>
      </c>
      <c r="CE93" s="65">
        <v>1</v>
      </c>
      <c r="CF93" s="65">
        <v>0</v>
      </c>
      <c r="CG93" s="65">
        <v>1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6</v>
      </c>
      <c r="CT93" s="65">
        <v>11</v>
      </c>
      <c r="CU93" s="65">
        <v>10</v>
      </c>
      <c r="CV93" s="65">
        <v>8</v>
      </c>
      <c r="CW93" s="65">
        <v>6</v>
      </c>
      <c r="CX93" s="65">
        <v>11</v>
      </c>
      <c r="CY93" s="65">
        <v>8</v>
      </c>
      <c r="CZ93" s="65">
        <v>7</v>
      </c>
      <c r="DA93" s="65">
        <v>9</v>
      </c>
      <c r="DB93" s="65">
        <v>8</v>
      </c>
      <c r="DC93" s="65">
        <v>5</v>
      </c>
      <c r="DD93" s="65">
        <v>8</v>
      </c>
      <c r="DE93" s="65">
        <v>9</v>
      </c>
      <c r="DF93" s="65">
        <v>5</v>
      </c>
      <c r="DG93" s="65">
        <v>7</v>
      </c>
      <c r="DH93" s="65">
        <v>6</v>
      </c>
      <c r="DI93" s="65">
        <v>0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588</v>
      </c>
      <c r="DU93" s="2" t="s">
        <v>751</v>
      </c>
      <c r="DV93" s="385">
        <v>22</v>
      </c>
      <c r="DW93" s="2" t="s">
        <v>1</v>
      </c>
      <c r="DX93" s="2">
        <v>22</v>
      </c>
      <c r="DY93" s="2">
        <v>3</v>
      </c>
      <c r="DZ93" s="2">
        <v>5</v>
      </c>
      <c r="EA93" s="2">
        <v>5</v>
      </c>
      <c r="EB93" s="2">
        <v>3</v>
      </c>
      <c r="EC93" s="2">
        <v>3</v>
      </c>
      <c r="ED93" s="2">
        <v>5</v>
      </c>
      <c r="EE93" s="2">
        <v>3</v>
      </c>
      <c r="EF93" s="2">
        <v>3</v>
      </c>
      <c r="EG93" s="2">
        <v>4</v>
      </c>
      <c r="EH93" s="2">
        <v>3</v>
      </c>
      <c r="EI93" s="2">
        <v>2</v>
      </c>
      <c r="EJ93" s="2">
        <v>4</v>
      </c>
      <c r="EK93" s="2">
        <v>5</v>
      </c>
      <c r="EL93" s="2">
        <v>3</v>
      </c>
      <c r="EM93" s="2">
        <v>3</v>
      </c>
      <c r="EN93" s="2">
        <v>4</v>
      </c>
      <c r="EO93" s="2">
        <v>3</v>
      </c>
      <c r="EP93" s="2">
        <v>6</v>
      </c>
      <c r="EQ93" s="2">
        <v>5</v>
      </c>
      <c r="ER93" s="2">
        <v>5</v>
      </c>
      <c r="ES93" s="2">
        <v>3</v>
      </c>
      <c r="ET93" s="2">
        <v>6</v>
      </c>
      <c r="EU93" s="2">
        <v>5</v>
      </c>
      <c r="EV93" s="2">
        <v>4</v>
      </c>
      <c r="EW93" s="2">
        <v>5</v>
      </c>
      <c r="EX93" s="2">
        <v>5</v>
      </c>
      <c r="EY93" s="2">
        <v>3</v>
      </c>
      <c r="EZ93" s="2">
        <v>4</v>
      </c>
      <c r="FA93" s="385">
        <v>4</v>
      </c>
      <c r="FB93" s="385">
        <v>2</v>
      </c>
      <c r="FC93" s="385">
        <v>4</v>
      </c>
      <c r="FD93" s="385">
        <v>2</v>
      </c>
      <c r="FE93" s="385"/>
      <c r="GJ93" s="385"/>
      <c r="GK93" s="385"/>
      <c r="GL93" s="385"/>
    </row>
    <row r="94" spans="1:200" s="2" customFormat="1" x14ac:dyDescent="0.25">
      <c r="A94" s="2" t="s">
        <v>1014</v>
      </c>
      <c r="B94" s="2" t="s">
        <v>773</v>
      </c>
      <c r="C94" s="2" t="s">
        <v>1014</v>
      </c>
      <c r="D94" s="2">
        <v>0</v>
      </c>
      <c r="E94" s="2">
        <v>0</v>
      </c>
      <c r="F94" s="2">
        <v>11</v>
      </c>
      <c r="G94" s="2">
        <v>14</v>
      </c>
      <c r="H94" s="2">
        <v>0</v>
      </c>
      <c r="I94" s="2">
        <v>25</v>
      </c>
      <c r="J94" s="2">
        <v>76</v>
      </c>
      <c r="K94" s="2">
        <v>81</v>
      </c>
      <c r="L94" s="2">
        <v>0</v>
      </c>
      <c r="M94" s="2">
        <v>0</v>
      </c>
      <c r="N94" s="2">
        <v>999</v>
      </c>
      <c r="O94" s="2">
        <v>157</v>
      </c>
      <c r="P94" s="2">
        <v>157</v>
      </c>
      <c r="Q94" s="2">
        <v>157</v>
      </c>
      <c r="R94" s="2">
        <v>1156</v>
      </c>
      <c r="S94" s="2">
        <v>76</v>
      </c>
      <c r="T94" s="2">
        <v>-0.3125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0</v>
      </c>
      <c r="Z94" s="2">
        <v>12</v>
      </c>
      <c r="AA94" s="2">
        <v>0</v>
      </c>
      <c r="AB94" s="2">
        <v>13</v>
      </c>
      <c r="AG94" s="2">
        <v>5</v>
      </c>
      <c r="AH94" s="2">
        <v>6</v>
      </c>
      <c r="AI94" s="2">
        <v>6</v>
      </c>
      <c r="AJ94" s="2">
        <v>6</v>
      </c>
      <c r="AK94" s="2">
        <v>6</v>
      </c>
      <c r="AL94" s="2">
        <v>46</v>
      </c>
      <c r="AM94" s="2">
        <v>516.375</v>
      </c>
      <c r="AN94" s="2">
        <v>0</v>
      </c>
      <c r="AP94" s="2">
        <v>157.00094000000001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2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0</v>
      </c>
      <c r="BU94" s="65">
        <v>0</v>
      </c>
      <c r="BV94" s="65">
        <v>0</v>
      </c>
      <c r="BW94" s="65">
        <v>0</v>
      </c>
      <c r="BX94" s="65">
        <v>0</v>
      </c>
      <c r="BY94" s="65">
        <v>0</v>
      </c>
      <c r="BZ94" s="65">
        <v>0</v>
      </c>
      <c r="CA94" s="65">
        <v>0</v>
      </c>
      <c r="CB94" s="65">
        <v>0</v>
      </c>
      <c r="CC94" s="65">
        <v>0</v>
      </c>
      <c r="CD94" s="65">
        <v>0</v>
      </c>
      <c r="CE94" s="65">
        <v>0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10</v>
      </c>
      <c r="CT94" s="65">
        <v>11</v>
      </c>
      <c r="CU94" s="65">
        <v>12</v>
      </c>
      <c r="CV94" s="65">
        <v>7</v>
      </c>
      <c r="CW94" s="65">
        <v>7</v>
      </c>
      <c r="CX94" s="65">
        <v>12</v>
      </c>
      <c r="CY94" s="65">
        <v>9</v>
      </c>
      <c r="CZ94" s="65">
        <v>7</v>
      </c>
      <c r="DA94" s="65">
        <v>12</v>
      </c>
      <c r="DB94" s="65">
        <v>9</v>
      </c>
      <c r="DC94" s="65">
        <v>7</v>
      </c>
      <c r="DD94" s="65">
        <v>14</v>
      </c>
      <c r="DE94" s="65">
        <v>12</v>
      </c>
      <c r="DF94" s="65">
        <v>8</v>
      </c>
      <c r="DG94" s="65">
        <v>11</v>
      </c>
      <c r="DH94" s="65">
        <v>9</v>
      </c>
      <c r="DI94" s="65">
        <v>0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773</v>
      </c>
      <c r="DU94" s="2" t="s">
        <v>455</v>
      </c>
      <c r="DV94" s="385">
        <v>6</v>
      </c>
      <c r="DW94" s="2" t="s">
        <v>14</v>
      </c>
      <c r="DX94" s="2">
        <v>6</v>
      </c>
      <c r="DY94" s="2">
        <v>4</v>
      </c>
      <c r="DZ94" s="2">
        <v>5</v>
      </c>
      <c r="EA94" s="2">
        <v>7</v>
      </c>
      <c r="EB94" s="2">
        <v>3</v>
      </c>
      <c r="EC94" s="2">
        <v>4</v>
      </c>
      <c r="ED94" s="2">
        <v>5</v>
      </c>
      <c r="EE94" s="2">
        <v>4</v>
      </c>
      <c r="EF94" s="2">
        <v>3</v>
      </c>
      <c r="EG94" s="2">
        <v>5</v>
      </c>
      <c r="EH94" s="2">
        <v>5</v>
      </c>
      <c r="EI94" s="2">
        <v>4</v>
      </c>
      <c r="EJ94" s="2">
        <v>6</v>
      </c>
      <c r="EK94" s="2">
        <v>5</v>
      </c>
      <c r="EL94" s="2">
        <v>5</v>
      </c>
      <c r="EM94" s="2">
        <v>6</v>
      </c>
      <c r="EN94" s="2">
        <v>5</v>
      </c>
      <c r="EO94" s="2">
        <v>6</v>
      </c>
      <c r="EP94" s="2">
        <v>6</v>
      </c>
      <c r="EQ94" s="2">
        <v>5</v>
      </c>
      <c r="ER94" s="2">
        <v>4</v>
      </c>
      <c r="ES94" s="2">
        <v>3</v>
      </c>
      <c r="ET94" s="2">
        <v>7</v>
      </c>
      <c r="EU94" s="2">
        <v>5</v>
      </c>
      <c r="EV94" s="2">
        <v>4</v>
      </c>
      <c r="EW94" s="2">
        <v>7</v>
      </c>
      <c r="EX94" s="2">
        <v>4</v>
      </c>
      <c r="EY94" s="2">
        <v>3</v>
      </c>
      <c r="EZ94" s="2">
        <v>8</v>
      </c>
      <c r="FA94" s="385">
        <v>7</v>
      </c>
      <c r="FB94" s="385">
        <v>3</v>
      </c>
      <c r="FC94" s="385">
        <v>5</v>
      </c>
      <c r="FD94" s="385">
        <v>4</v>
      </c>
      <c r="FE94" s="385"/>
      <c r="GJ94" s="385"/>
      <c r="GK94" s="385"/>
      <c r="GL94" s="385"/>
    </row>
    <row r="95" spans="1:200" s="2" customFormat="1" x14ac:dyDescent="0.25">
      <c r="A95" s="2" t="s">
        <v>1015</v>
      </c>
      <c r="B95" s="2" t="s">
        <v>420</v>
      </c>
      <c r="C95" s="2" t="s">
        <v>1015</v>
      </c>
      <c r="D95" s="2">
        <v>12</v>
      </c>
      <c r="E95" s="2">
        <v>0</v>
      </c>
      <c r="F95" s="2">
        <v>7</v>
      </c>
      <c r="G95" s="2">
        <v>0</v>
      </c>
      <c r="H95" s="2">
        <v>12</v>
      </c>
      <c r="I95" s="2">
        <v>7</v>
      </c>
      <c r="J95" s="2">
        <v>53</v>
      </c>
      <c r="K95" s="2">
        <v>54</v>
      </c>
      <c r="L95" s="2">
        <v>0</v>
      </c>
      <c r="M95" s="2">
        <v>0</v>
      </c>
      <c r="N95" s="2">
        <v>999</v>
      </c>
      <c r="O95" s="2">
        <v>107</v>
      </c>
      <c r="P95" s="2">
        <v>107</v>
      </c>
      <c r="Q95" s="2">
        <v>107</v>
      </c>
      <c r="R95" s="2">
        <v>1106</v>
      </c>
      <c r="S95" s="2">
        <v>53</v>
      </c>
      <c r="T95" s="2">
        <v>-6.25E-2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8</v>
      </c>
      <c r="Z95" s="2">
        <v>5</v>
      </c>
      <c r="AA95" s="2">
        <v>4</v>
      </c>
      <c r="AB95" s="2">
        <v>2</v>
      </c>
      <c r="AG95" s="2">
        <v>7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989.245</v>
      </c>
      <c r="AN95" s="2">
        <v>1027.1199999999999</v>
      </c>
      <c r="AO95" s="2">
        <v>-37.874999999999886</v>
      </c>
      <c r="AP95" s="2">
        <v>107.00095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2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1</v>
      </c>
      <c r="BT95" s="65">
        <v>0</v>
      </c>
      <c r="BU95" s="65">
        <v>0</v>
      </c>
      <c r="BV95" s="65">
        <v>1</v>
      </c>
      <c r="BW95" s="65">
        <v>2</v>
      </c>
      <c r="BX95" s="65">
        <v>1</v>
      </c>
      <c r="BY95" s="65">
        <v>1</v>
      </c>
      <c r="BZ95" s="65">
        <v>1</v>
      </c>
      <c r="CA95" s="65">
        <v>0</v>
      </c>
      <c r="CB95" s="65">
        <v>0</v>
      </c>
      <c r="CC95" s="65">
        <v>0</v>
      </c>
      <c r="CD95" s="65">
        <v>1</v>
      </c>
      <c r="CE95" s="65">
        <v>1</v>
      </c>
      <c r="CF95" s="65">
        <v>0</v>
      </c>
      <c r="CG95" s="65">
        <v>1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6</v>
      </c>
      <c r="CT95" s="65">
        <v>7</v>
      </c>
      <c r="CU95" s="65">
        <v>9</v>
      </c>
      <c r="CV95" s="65">
        <v>6</v>
      </c>
      <c r="CW95" s="65">
        <v>5</v>
      </c>
      <c r="CX95" s="65">
        <v>8</v>
      </c>
      <c r="CY95" s="65">
        <v>5</v>
      </c>
      <c r="CZ95" s="65">
        <v>5</v>
      </c>
      <c r="DA95" s="65">
        <v>7</v>
      </c>
      <c r="DB95" s="65">
        <v>7</v>
      </c>
      <c r="DC95" s="65">
        <v>7</v>
      </c>
      <c r="DD95" s="65">
        <v>10</v>
      </c>
      <c r="DE95" s="65">
        <v>7</v>
      </c>
      <c r="DF95" s="65">
        <v>6</v>
      </c>
      <c r="DG95" s="65">
        <v>7</v>
      </c>
      <c r="DH95" s="65">
        <v>5</v>
      </c>
      <c r="DI95" s="65">
        <v>0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0</v>
      </c>
      <c r="DU95" s="2" t="s">
        <v>453</v>
      </c>
      <c r="DV95" s="385">
        <v>5</v>
      </c>
      <c r="DW95" s="2" t="s">
        <v>1</v>
      </c>
      <c r="DX95" s="2">
        <v>5</v>
      </c>
      <c r="DY95" s="2">
        <v>3</v>
      </c>
      <c r="DZ95" s="2">
        <v>3</v>
      </c>
      <c r="EA95" s="2">
        <v>5</v>
      </c>
      <c r="EB95" s="2">
        <v>3</v>
      </c>
      <c r="EC95" s="2">
        <v>2</v>
      </c>
      <c r="ED95" s="2">
        <v>4</v>
      </c>
      <c r="EE95" s="2">
        <v>2</v>
      </c>
      <c r="EF95" s="2">
        <v>2</v>
      </c>
      <c r="EG95" s="2">
        <v>3</v>
      </c>
      <c r="EH95" s="2">
        <v>4</v>
      </c>
      <c r="EI95" s="2">
        <v>4</v>
      </c>
      <c r="EJ95" s="2">
        <v>5</v>
      </c>
      <c r="EK95" s="2">
        <v>4</v>
      </c>
      <c r="EL95" s="2">
        <v>2</v>
      </c>
      <c r="EM95" s="2">
        <v>4</v>
      </c>
      <c r="EN95" s="2">
        <v>3</v>
      </c>
      <c r="EO95" s="2">
        <v>3</v>
      </c>
      <c r="EP95" s="2">
        <v>4</v>
      </c>
      <c r="EQ95" s="2">
        <v>4</v>
      </c>
      <c r="ER95" s="2">
        <v>3</v>
      </c>
      <c r="ES95" s="2">
        <v>3</v>
      </c>
      <c r="ET95" s="2">
        <v>4</v>
      </c>
      <c r="EU95" s="2">
        <v>3</v>
      </c>
      <c r="EV95" s="2">
        <v>3</v>
      </c>
      <c r="EW95" s="2">
        <v>4</v>
      </c>
      <c r="EX95" s="2">
        <v>3</v>
      </c>
      <c r="EY95" s="2">
        <v>3</v>
      </c>
      <c r="EZ95" s="2">
        <v>5</v>
      </c>
      <c r="FA95" s="385">
        <v>3</v>
      </c>
      <c r="FB95" s="385">
        <v>4</v>
      </c>
      <c r="FC95" s="385">
        <v>3</v>
      </c>
      <c r="FD95" s="385">
        <v>2</v>
      </c>
      <c r="FE95" s="385"/>
      <c r="GJ95" s="385"/>
      <c r="GK95" s="385"/>
      <c r="GL95" s="385"/>
    </row>
    <row r="96" spans="1:200" s="2" customFormat="1" x14ac:dyDescent="0.25">
      <c r="A96" s="2" t="s">
        <v>1016</v>
      </c>
      <c r="B96" s="2" t="s">
        <v>782</v>
      </c>
      <c r="C96" s="2" t="s">
        <v>1016</v>
      </c>
      <c r="D96" s="2">
        <v>6</v>
      </c>
      <c r="E96" s="2">
        <v>0</v>
      </c>
      <c r="F96" s="2">
        <v>8</v>
      </c>
      <c r="G96" s="2">
        <v>0</v>
      </c>
      <c r="H96" s="2">
        <v>6</v>
      </c>
      <c r="I96" s="2">
        <v>8</v>
      </c>
      <c r="J96" s="2">
        <v>58</v>
      </c>
      <c r="K96" s="2">
        <v>56</v>
      </c>
      <c r="L96" s="2">
        <v>0</v>
      </c>
      <c r="M96" s="2">
        <v>0</v>
      </c>
      <c r="N96" s="2">
        <v>999</v>
      </c>
      <c r="O96" s="2">
        <v>114</v>
      </c>
      <c r="P96" s="2">
        <v>114</v>
      </c>
      <c r="Q96" s="2">
        <v>114</v>
      </c>
      <c r="R96" s="2">
        <v>1113</v>
      </c>
      <c r="S96" s="2">
        <v>58</v>
      </c>
      <c r="T96" s="2">
        <v>0.125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2</v>
      </c>
      <c r="Z96" s="2">
        <v>4</v>
      </c>
      <c r="AA96" s="2">
        <v>4</v>
      </c>
      <c r="AB96" s="2">
        <v>4</v>
      </c>
      <c r="AG96" s="2">
        <v>14</v>
      </c>
      <c r="AH96" s="2">
        <v>13</v>
      </c>
      <c r="AI96" s="2">
        <v>13</v>
      </c>
      <c r="AJ96" s="2">
        <v>13</v>
      </c>
      <c r="AK96" s="2">
        <v>13</v>
      </c>
      <c r="AL96" s="2">
        <v>13</v>
      </c>
      <c r="AM96" s="2">
        <v>923.04300000000001</v>
      </c>
      <c r="AN96" s="2">
        <v>927.86199999999997</v>
      </c>
      <c r="AO96" s="2">
        <v>-4.81899999999996</v>
      </c>
      <c r="AP96" s="2">
        <v>114.00096000000001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1</v>
      </c>
      <c r="BS96" s="65">
        <v>0</v>
      </c>
      <c r="BT96" s="65">
        <v>0</v>
      </c>
      <c r="BU96" s="65">
        <v>1</v>
      </c>
      <c r="BV96" s="65">
        <v>1</v>
      </c>
      <c r="BW96" s="65">
        <v>1</v>
      </c>
      <c r="BX96" s="65">
        <v>0</v>
      </c>
      <c r="BY96" s="65">
        <v>0</v>
      </c>
      <c r="BZ96" s="65">
        <v>0</v>
      </c>
      <c r="CA96" s="65">
        <v>0</v>
      </c>
      <c r="CB96" s="65">
        <v>0</v>
      </c>
      <c r="CC96" s="65">
        <v>0</v>
      </c>
      <c r="CD96" s="65">
        <v>1</v>
      </c>
      <c r="CE96" s="65">
        <v>0</v>
      </c>
      <c r="CF96" s="65">
        <v>1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7</v>
      </c>
      <c r="CT96" s="65">
        <v>8</v>
      </c>
      <c r="CU96" s="65">
        <v>10</v>
      </c>
      <c r="CV96" s="65">
        <v>5</v>
      </c>
      <c r="CW96" s="65">
        <v>5</v>
      </c>
      <c r="CX96" s="65">
        <v>10</v>
      </c>
      <c r="CY96" s="65">
        <v>6</v>
      </c>
      <c r="CZ96" s="65">
        <v>7</v>
      </c>
      <c r="DA96" s="65">
        <v>8</v>
      </c>
      <c r="DB96" s="65">
        <v>6</v>
      </c>
      <c r="DC96" s="65">
        <v>6</v>
      </c>
      <c r="DD96" s="65">
        <v>9</v>
      </c>
      <c r="DE96" s="65">
        <v>7</v>
      </c>
      <c r="DF96" s="65">
        <v>8</v>
      </c>
      <c r="DG96" s="65">
        <v>5</v>
      </c>
      <c r="DH96" s="65">
        <v>7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428</v>
      </c>
      <c r="DU96" s="2" t="s">
        <v>453</v>
      </c>
      <c r="DV96" s="385">
        <v>13</v>
      </c>
      <c r="DW96" s="2" t="s">
        <v>1</v>
      </c>
      <c r="DX96" s="2">
        <v>13</v>
      </c>
      <c r="DY96" s="2">
        <v>4</v>
      </c>
      <c r="DZ96" s="2">
        <v>4</v>
      </c>
      <c r="EA96" s="2">
        <v>5</v>
      </c>
      <c r="EB96" s="2">
        <v>3</v>
      </c>
      <c r="EC96" s="2">
        <v>2</v>
      </c>
      <c r="ED96" s="2">
        <v>6</v>
      </c>
      <c r="EE96" s="2">
        <v>3</v>
      </c>
      <c r="EF96" s="2">
        <v>3</v>
      </c>
      <c r="EG96" s="2">
        <v>4</v>
      </c>
      <c r="EH96" s="2">
        <v>3</v>
      </c>
      <c r="EI96" s="2">
        <v>3</v>
      </c>
      <c r="EJ96" s="2">
        <v>4</v>
      </c>
      <c r="EK96" s="2">
        <v>3</v>
      </c>
      <c r="EL96" s="2">
        <v>4</v>
      </c>
      <c r="EM96" s="2">
        <v>3</v>
      </c>
      <c r="EN96" s="2">
        <v>4</v>
      </c>
      <c r="EO96" s="2">
        <v>3</v>
      </c>
      <c r="EP96" s="2">
        <v>4</v>
      </c>
      <c r="EQ96" s="2">
        <v>5</v>
      </c>
      <c r="ER96" s="2">
        <v>2</v>
      </c>
      <c r="ES96" s="2">
        <v>3</v>
      </c>
      <c r="ET96" s="2">
        <v>4</v>
      </c>
      <c r="EU96" s="2">
        <v>3</v>
      </c>
      <c r="EV96" s="2">
        <v>4</v>
      </c>
      <c r="EW96" s="2">
        <v>4</v>
      </c>
      <c r="EX96" s="2">
        <v>3</v>
      </c>
      <c r="EY96" s="2">
        <v>3</v>
      </c>
      <c r="EZ96" s="2">
        <v>5</v>
      </c>
      <c r="FA96" s="385">
        <v>4</v>
      </c>
      <c r="FB96" s="385">
        <v>4</v>
      </c>
      <c r="FC96" s="385">
        <v>2</v>
      </c>
      <c r="FD96" s="385">
        <v>3</v>
      </c>
      <c r="FE96" s="385"/>
      <c r="GJ96" s="385"/>
      <c r="GK96" s="385"/>
      <c r="GL96" s="385"/>
    </row>
    <row r="97" spans="1:200" s="2" customFormat="1" x14ac:dyDescent="0.25">
      <c r="A97" s="2" t="s">
        <v>1017</v>
      </c>
      <c r="B97" s="2" t="s">
        <v>483</v>
      </c>
      <c r="C97" s="2" t="s">
        <v>1017</v>
      </c>
      <c r="D97" s="2">
        <v>1</v>
      </c>
      <c r="E97" s="2">
        <v>0</v>
      </c>
      <c r="F97" s="2">
        <v>11</v>
      </c>
      <c r="G97" s="2">
        <v>4</v>
      </c>
      <c r="H97" s="2">
        <v>1</v>
      </c>
      <c r="I97" s="2">
        <v>15</v>
      </c>
      <c r="J97" s="2">
        <v>67</v>
      </c>
      <c r="K97" s="2">
        <v>62</v>
      </c>
      <c r="L97" s="2">
        <v>0</v>
      </c>
      <c r="M97" s="2">
        <v>0</v>
      </c>
      <c r="N97" s="2">
        <v>4.01</v>
      </c>
      <c r="O97" s="2">
        <v>129</v>
      </c>
      <c r="P97" s="2">
        <v>129</v>
      </c>
      <c r="Q97" s="2">
        <v>129</v>
      </c>
      <c r="R97" s="2">
        <v>133.01</v>
      </c>
      <c r="S97" s="2">
        <v>67</v>
      </c>
      <c r="T97" s="2">
        <v>0.3125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1</v>
      </c>
      <c r="Z97" s="2">
        <v>8</v>
      </c>
      <c r="AA97" s="2">
        <v>0</v>
      </c>
      <c r="AB97" s="2">
        <v>6</v>
      </c>
      <c r="AG97" s="2">
        <v>2</v>
      </c>
      <c r="AH97" s="2">
        <v>1</v>
      </c>
      <c r="AI97" s="2">
        <v>1</v>
      </c>
      <c r="AJ97" s="2">
        <v>1</v>
      </c>
      <c r="AK97" s="2">
        <v>2</v>
      </c>
      <c r="AL97" s="2">
        <v>29</v>
      </c>
      <c r="AM97" s="2">
        <v>781.18200000000002</v>
      </c>
      <c r="AN97" s="2">
        <v>761.20299999999997</v>
      </c>
      <c r="AO97" s="2">
        <v>19.979000000000042</v>
      </c>
      <c r="AP97" s="2">
        <v>128.96087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3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0</v>
      </c>
      <c r="BV97" s="65">
        <v>0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0</v>
      </c>
      <c r="CC97" s="65">
        <v>0</v>
      </c>
      <c r="CD97" s="65">
        <v>0</v>
      </c>
      <c r="CE97" s="65">
        <v>0</v>
      </c>
      <c r="CF97" s="65">
        <v>0</v>
      </c>
      <c r="CG97" s="65">
        <v>1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9</v>
      </c>
      <c r="CU97" s="65">
        <v>9</v>
      </c>
      <c r="CV97" s="65">
        <v>6</v>
      </c>
      <c r="CW97" s="65">
        <v>6</v>
      </c>
      <c r="CX97" s="65">
        <v>11</v>
      </c>
      <c r="CY97" s="65">
        <v>10.01</v>
      </c>
      <c r="CZ97" s="65">
        <v>7</v>
      </c>
      <c r="DA97" s="65">
        <v>9</v>
      </c>
      <c r="DB97" s="65">
        <v>8</v>
      </c>
      <c r="DC97" s="65">
        <v>6</v>
      </c>
      <c r="DD97" s="65">
        <v>9</v>
      </c>
      <c r="DE97" s="65">
        <v>11</v>
      </c>
      <c r="DF97" s="65">
        <v>7</v>
      </c>
      <c r="DG97" s="65">
        <v>10</v>
      </c>
      <c r="DH97" s="65">
        <v>5</v>
      </c>
      <c r="DI97" s="65">
        <v>0</v>
      </c>
      <c r="DJ97" s="65">
        <v>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206</v>
      </c>
      <c r="DU97" s="2" t="s">
        <v>455</v>
      </c>
      <c r="DV97" s="385">
        <v>2</v>
      </c>
      <c r="DW97" s="2" t="s">
        <v>14</v>
      </c>
      <c r="DX97" s="2">
        <v>2</v>
      </c>
      <c r="DY97" s="2">
        <v>6</v>
      </c>
      <c r="DZ97" s="2">
        <v>4</v>
      </c>
      <c r="EA97" s="2">
        <v>5</v>
      </c>
      <c r="EB97" s="2">
        <v>3</v>
      </c>
      <c r="EC97" s="2">
        <v>3</v>
      </c>
      <c r="ED97" s="2">
        <v>6</v>
      </c>
      <c r="EE97" s="2">
        <v>3</v>
      </c>
      <c r="EF97" s="2">
        <v>4</v>
      </c>
      <c r="EG97" s="2">
        <v>5</v>
      </c>
      <c r="EH97" s="2">
        <v>4</v>
      </c>
      <c r="EI97" s="2">
        <v>3</v>
      </c>
      <c r="EJ97" s="2">
        <v>4</v>
      </c>
      <c r="EK97" s="2">
        <v>6</v>
      </c>
      <c r="EL97" s="2">
        <v>3</v>
      </c>
      <c r="EM97" s="2">
        <v>6</v>
      </c>
      <c r="EN97" s="2">
        <v>2</v>
      </c>
      <c r="EO97" s="2">
        <v>4</v>
      </c>
      <c r="EP97" s="2">
        <v>5</v>
      </c>
      <c r="EQ97" s="2">
        <v>4</v>
      </c>
      <c r="ER97" s="2">
        <v>3</v>
      </c>
      <c r="ES97" s="2">
        <v>3</v>
      </c>
      <c r="ET97" s="2">
        <v>5</v>
      </c>
      <c r="EU97" s="2">
        <v>3</v>
      </c>
      <c r="EV97" s="2">
        <v>3</v>
      </c>
      <c r="EW97" s="2">
        <v>4</v>
      </c>
      <c r="EX97" s="2">
        <v>4</v>
      </c>
      <c r="EY97" s="2">
        <v>3</v>
      </c>
      <c r="EZ97" s="2">
        <v>5</v>
      </c>
      <c r="FA97" s="385">
        <v>5</v>
      </c>
      <c r="FB97" s="385">
        <v>4</v>
      </c>
      <c r="FC97" s="385">
        <v>4</v>
      </c>
      <c r="FD97" s="385">
        <v>3</v>
      </c>
      <c r="FE97" s="385">
        <v>4.01</v>
      </c>
      <c r="GE97" s="385"/>
      <c r="GF97" s="385"/>
      <c r="GG97" s="385"/>
      <c r="GH97" s="385"/>
      <c r="GI97" s="385"/>
      <c r="GJ97" s="385"/>
      <c r="GK97" s="385"/>
      <c r="GL97" s="385"/>
    </row>
    <row r="98" spans="1:200" x14ac:dyDescent="0.25">
      <c r="A98" s="2" t="s">
        <v>1018</v>
      </c>
      <c r="B98" s="2" t="s">
        <v>623</v>
      </c>
      <c r="C98" s="2" t="s">
        <v>1018</v>
      </c>
      <c r="D98" s="2">
        <v>1</v>
      </c>
      <c r="E98" s="2">
        <v>0</v>
      </c>
      <c r="F98" s="2">
        <v>11</v>
      </c>
      <c r="G98" s="2">
        <v>7</v>
      </c>
      <c r="H98" s="2">
        <v>1</v>
      </c>
      <c r="I98" s="2">
        <v>18</v>
      </c>
      <c r="J98" s="2">
        <v>69</v>
      </c>
      <c r="K98" s="2">
        <v>70</v>
      </c>
      <c r="L98" s="2">
        <v>0</v>
      </c>
      <c r="M98" s="2">
        <v>0</v>
      </c>
      <c r="N98" s="2">
        <v>999</v>
      </c>
      <c r="O98" s="2">
        <v>139</v>
      </c>
      <c r="P98" s="2">
        <v>139</v>
      </c>
      <c r="Q98" s="2">
        <v>139</v>
      </c>
      <c r="R98" s="2">
        <v>1138</v>
      </c>
      <c r="S98" s="2">
        <v>69</v>
      </c>
      <c r="T98" s="2">
        <v>-6.25E-2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0</v>
      </c>
      <c r="Z98" s="2">
        <v>8</v>
      </c>
      <c r="AA98" s="2">
        <v>1</v>
      </c>
      <c r="AB98" s="2">
        <v>10</v>
      </c>
      <c r="AG98" s="2">
        <v>34</v>
      </c>
      <c r="AH98" s="2">
        <v>33</v>
      </c>
      <c r="AI98" s="2">
        <v>33</v>
      </c>
      <c r="AJ98" s="2">
        <v>33</v>
      </c>
      <c r="AK98" s="2">
        <v>33</v>
      </c>
      <c r="AL98" s="2">
        <v>36</v>
      </c>
      <c r="AM98" s="2">
        <v>686.60799999999995</v>
      </c>
      <c r="AN98" s="2">
        <v>0</v>
      </c>
      <c r="AP98" s="2">
        <v>139.00098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0</v>
      </c>
      <c r="BW98" s="65">
        <v>0</v>
      </c>
      <c r="BX98" s="65">
        <v>0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1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8</v>
      </c>
      <c r="CT98" s="65">
        <v>8</v>
      </c>
      <c r="CU98" s="65">
        <v>12</v>
      </c>
      <c r="CV98" s="65">
        <v>6</v>
      </c>
      <c r="CW98" s="65">
        <v>8</v>
      </c>
      <c r="CX98" s="65">
        <v>15</v>
      </c>
      <c r="CY98" s="65">
        <v>9</v>
      </c>
      <c r="CZ98" s="65">
        <v>7</v>
      </c>
      <c r="DA98" s="65">
        <v>12</v>
      </c>
      <c r="DB98" s="65">
        <v>7</v>
      </c>
      <c r="DC98" s="65">
        <v>6</v>
      </c>
      <c r="DD98" s="65">
        <v>10</v>
      </c>
      <c r="DE98" s="65">
        <v>11</v>
      </c>
      <c r="DF98" s="65">
        <v>6</v>
      </c>
      <c r="DG98" s="65">
        <v>7</v>
      </c>
      <c r="DH98" s="65">
        <v>7</v>
      </c>
      <c r="DI98" s="65">
        <v>0</v>
      </c>
      <c r="DJ98" s="65">
        <v>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591</v>
      </c>
      <c r="DU98" s="2" t="s">
        <v>453</v>
      </c>
      <c r="DV98" s="385">
        <v>33</v>
      </c>
      <c r="DW98" s="2" t="s">
        <v>1</v>
      </c>
      <c r="DX98" s="2">
        <v>33</v>
      </c>
      <c r="DY98" s="2">
        <v>4</v>
      </c>
      <c r="DZ98" s="2">
        <v>4</v>
      </c>
      <c r="EA98" s="2">
        <v>6</v>
      </c>
      <c r="EB98" s="2">
        <v>3</v>
      </c>
      <c r="EC98" s="2">
        <v>4</v>
      </c>
      <c r="ED98" s="2">
        <v>9</v>
      </c>
      <c r="EE98" s="2">
        <v>4</v>
      </c>
      <c r="EF98" s="2">
        <v>3</v>
      </c>
      <c r="EG98" s="2">
        <v>5</v>
      </c>
      <c r="EH98" s="2">
        <v>4</v>
      </c>
      <c r="EI98" s="2">
        <v>3</v>
      </c>
      <c r="EJ98" s="2">
        <v>4</v>
      </c>
      <c r="EK98" s="2">
        <v>6</v>
      </c>
      <c r="EL98" s="2">
        <v>4</v>
      </c>
      <c r="EM98" s="2">
        <v>3</v>
      </c>
      <c r="EN98" s="2">
        <v>3</v>
      </c>
      <c r="EO98" s="2">
        <v>4</v>
      </c>
      <c r="EP98" s="2">
        <v>4</v>
      </c>
      <c r="EQ98" s="2">
        <v>6</v>
      </c>
      <c r="ER98" s="2">
        <v>3</v>
      </c>
      <c r="ES98" s="2">
        <v>4</v>
      </c>
      <c r="ET98" s="2">
        <v>6</v>
      </c>
      <c r="EU98" s="2">
        <v>5</v>
      </c>
      <c r="EV98" s="2">
        <v>4</v>
      </c>
      <c r="EW98" s="2">
        <v>7</v>
      </c>
      <c r="EX98" s="2">
        <v>3</v>
      </c>
      <c r="EY98" s="2">
        <v>3</v>
      </c>
      <c r="EZ98" s="2">
        <v>6</v>
      </c>
      <c r="FA98" s="385">
        <v>5</v>
      </c>
      <c r="FB98" s="385">
        <v>2</v>
      </c>
      <c r="FC98" s="385">
        <v>4</v>
      </c>
      <c r="FD98" s="385">
        <v>4</v>
      </c>
      <c r="FE98" s="385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385"/>
      <c r="GK98" s="385"/>
      <c r="GL98" s="385"/>
      <c r="GM98" s="2"/>
      <c r="GN98" s="2"/>
      <c r="GO98" s="2"/>
      <c r="GP98" s="2"/>
      <c r="GQ98" s="2"/>
      <c r="GR98" s="2"/>
    </row>
    <row r="99" spans="1:200" x14ac:dyDescent="0.25">
      <c r="A99" s="2" t="s">
        <v>1019</v>
      </c>
      <c r="B99" s="2" t="s">
        <v>777</v>
      </c>
      <c r="C99" s="2" t="s">
        <v>1020</v>
      </c>
      <c r="D99" s="2">
        <v>4</v>
      </c>
      <c r="E99" s="2">
        <v>0</v>
      </c>
      <c r="F99" s="2">
        <v>3</v>
      </c>
      <c r="G99" s="2">
        <v>3</v>
      </c>
      <c r="H99" s="2">
        <v>4</v>
      </c>
      <c r="I99" s="2">
        <v>6</v>
      </c>
      <c r="J99" s="2">
        <v>999</v>
      </c>
      <c r="K99" s="2">
        <v>999</v>
      </c>
      <c r="L99" s="2">
        <v>0</v>
      </c>
      <c r="M99" s="2">
        <v>0</v>
      </c>
      <c r="N99" s="2">
        <v>999</v>
      </c>
      <c r="O99" s="2">
        <v>1998</v>
      </c>
      <c r="P99" s="2">
        <v>1998</v>
      </c>
      <c r="Q99" s="2">
        <v>1998</v>
      </c>
      <c r="R99" s="2">
        <v>2997</v>
      </c>
      <c r="S99" s="2">
        <v>0</v>
      </c>
      <c r="U99" s="2">
        <v>0</v>
      </c>
      <c r="V99" s="2" t="e">
        <v>#DIV/0!</v>
      </c>
      <c r="W99" s="2">
        <v>0</v>
      </c>
      <c r="X99" s="2" t="e">
        <v>#DIV/0!</v>
      </c>
      <c r="AG99" s="2" t="s">
        <v>895</v>
      </c>
      <c r="AH99" s="2" t="s">
        <v>895</v>
      </c>
      <c r="AI99" s="2" t="s">
        <v>895</v>
      </c>
      <c r="AJ99" s="2" t="s">
        <v>895</v>
      </c>
      <c r="AK99" s="2" t="s">
        <v>895</v>
      </c>
      <c r="AL99" s="2">
        <v>49</v>
      </c>
      <c r="AM99" s="2">
        <v>0</v>
      </c>
      <c r="AP99" s="2">
        <v>1998.00099</v>
      </c>
      <c r="AQ99" s="65">
        <v>1</v>
      </c>
      <c r="AR99" s="65">
        <v>0</v>
      </c>
      <c r="AS99" s="65">
        <v>1</v>
      </c>
      <c r="AT99" s="65">
        <v>1</v>
      </c>
      <c r="AU99" s="65">
        <v>1</v>
      </c>
      <c r="AV99" s="65">
        <v>1</v>
      </c>
      <c r="AW99" s="65">
        <v>1</v>
      </c>
      <c r="AX99" s="65">
        <v>1</v>
      </c>
      <c r="AY99" s="65">
        <v>1</v>
      </c>
      <c r="AZ99" s="65">
        <v>1</v>
      </c>
      <c r="BA99" s="65">
        <v>1</v>
      </c>
      <c r="BB99" s="65">
        <v>1</v>
      </c>
      <c r="BC99" s="65">
        <v>1</v>
      </c>
      <c r="BD99" s="65">
        <v>1</v>
      </c>
      <c r="BE99" s="65">
        <v>1</v>
      </c>
      <c r="BF99" s="65">
        <v>1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0</v>
      </c>
      <c r="BT99" s="65">
        <v>0</v>
      </c>
      <c r="BU99" s="65">
        <v>1</v>
      </c>
      <c r="BV99" s="65">
        <v>0</v>
      </c>
      <c r="BW99" s="65">
        <v>0</v>
      </c>
      <c r="BX99" s="65">
        <v>0</v>
      </c>
      <c r="BY99" s="65">
        <v>0</v>
      </c>
      <c r="BZ99" s="65">
        <v>0</v>
      </c>
      <c r="CA99" s="65">
        <v>0</v>
      </c>
      <c r="CB99" s="65">
        <v>1</v>
      </c>
      <c r="CC99" s="65">
        <v>0</v>
      </c>
      <c r="CD99" s="65">
        <v>1</v>
      </c>
      <c r="CE99" s="65">
        <v>0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3</v>
      </c>
      <c r="CT99" s="65">
        <v>0</v>
      </c>
      <c r="CU99" s="65">
        <v>6</v>
      </c>
      <c r="CV99" s="65">
        <v>2</v>
      </c>
      <c r="CW99" s="65">
        <v>3</v>
      </c>
      <c r="CX99" s="65">
        <v>5</v>
      </c>
      <c r="CY99" s="65">
        <v>4</v>
      </c>
      <c r="CZ99" s="65">
        <v>3</v>
      </c>
      <c r="DA99" s="65">
        <v>5</v>
      </c>
      <c r="DB99" s="65">
        <v>5</v>
      </c>
      <c r="DC99" s="65">
        <v>2</v>
      </c>
      <c r="DD99" s="65">
        <v>6</v>
      </c>
      <c r="DE99" s="65">
        <v>3</v>
      </c>
      <c r="DF99" s="65">
        <v>4</v>
      </c>
      <c r="DG99" s="65">
        <v>3</v>
      </c>
      <c r="DH99" s="65">
        <v>3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331</v>
      </c>
      <c r="DU99" s="2" t="s">
        <v>453</v>
      </c>
      <c r="DV99" s="385" t="s">
        <v>895</v>
      </c>
      <c r="DW99" s="2" t="s">
        <v>1</v>
      </c>
      <c r="DX99" s="2" t="s">
        <v>895</v>
      </c>
      <c r="DY99" s="2">
        <v>3</v>
      </c>
      <c r="DZ99" s="2">
        <v>0</v>
      </c>
      <c r="EA99" s="2">
        <v>6</v>
      </c>
      <c r="EB99" s="2">
        <v>2</v>
      </c>
      <c r="EC99" s="2">
        <v>3</v>
      </c>
      <c r="ED99" s="2">
        <v>5</v>
      </c>
      <c r="EE99" s="2">
        <v>4</v>
      </c>
      <c r="EF99" s="2">
        <v>3</v>
      </c>
      <c r="EG99" s="2">
        <v>5</v>
      </c>
      <c r="EH99" s="2">
        <v>5</v>
      </c>
      <c r="EI99" s="2">
        <v>2</v>
      </c>
      <c r="EJ99" s="2">
        <v>6</v>
      </c>
      <c r="EK99" s="2">
        <v>3</v>
      </c>
      <c r="EL99" s="2">
        <v>4</v>
      </c>
      <c r="EM99" s="2">
        <v>3</v>
      </c>
      <c r="EN99" s="2">
        <v>3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385">
        <v>0</v>
      </c>
      <c r="FB99" s="385">
        <v>0</v>
      </c>
      <c r="FC99" s="385">
        <v>0</v>
      </c>
      <c r="FD99" s="385">
        <v>0</v>
      </c>
      <c r="FE99" s="385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385"/>
      <c r="GK99" s="385"/>
      <c r="GL99" s="385"/>
      <c r="GM99" s="2"/>
      <c r="GN99" s="2"/>
      <c r="GO99" s="2"/>
      <c r="GP99" s="2"/>
      <c r="GQ99" s="2"/>
      <c r="GR99" s="2"/>
    </row>
    <row r="100" spans="1:200" x14ac:dyDescent="0.25">
      <c r="A100" s="2" t="s">
        <v>1021</v>
      </c>
      <c r="B100" s="2" t="s">
        <v>772</v>
      </c>
      <c r="C100" s="2" t="s">
        <v>1021</v>
      </c>
      <c r="D100" s="2">
        <v>9</v>
      </c>
      <c r="E100" s="2">
        <v>0</v>
      </c>
      <c r="F100" s="2">
        <v>4</v>
      </c>
      <c r="G100" s="2">
        <v>1</v>
      </c>
      <c r="H100" s="2">
        <v>9</v>
      </c>
      <c r="I100" s="2">
        <v>5</v>
      </c>
      <c r="J100" s="2">
        <v>56</v>
      </c>
      <c r="K100" s="2">
        <v>54</v>
      </c>
      <c r="L100" s="2">
        <v>0</v>
      </c>
      <c r="M100" s="2">
        <v>0</v>
      </c>
      <c r="N100" s="2">
        <v>999</v>
      </c>
      <c r="O100" s="2">
        <v>110</v>
      </c>
      <c r="P100" s="2">
        <v>110</v>
      </c>
      <c r="Q100" s="2">
        <v>110</v>
      </c>
      <c r="R100" s="2">
        <v>1109</v>
      </c>
      <c r="S100" s="2">
        <v>56</v>
      </c>
      <c r="T100" s="2">
        <v>0.125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6</v>
      </c>
      <c r="Z100" s="2">
        <v>4</v>
      </c>
      <c r="AA100" s="2">
        <v>3</v>
      </c>
      <c r="AB100" s="2">
        <v>1</v>
      </c>
      <c r="AG100" s="2">
        <v>11</v>
      </c>
      <c r="AH100" s="2">
        <v>7</v>
      </c>
      <c r="AI100" s="2">
        <v>7</v>
      </c>
      <c r="AJ100" s="2">
        <v>7</v>
      </c>
      <c r="AK100" s="2">
        <v>7</v>
      </c>
      <c r="AL100" s="2">
        <v>7</v>
      </c>
      <c r="AM100" s="2">
        <v>960.87300000000005</v>
      </c>
      <c r="AN100" s="2">
        <v>0</v>
      </c>
      <c r="AP100" s="2">
        <v>110.001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2</v>
      </c>
      <c r="BS100" s="65">
        <v>2</v>
      </c>
      <c r="BT100" s="65">
        <v>0</v>
      </c>
      <c r="BU100" s="65">
        <v>0</v>
      </c>
      <c r="BV100" s="65">
        <v>0</v>
      </c>
      <c r="BW100" s="65">
        <v>1</v>
      </c>
      <c r="BX100" s="65">
        <v>0</v>
      </c>
      <c r="BY100" s="65">
        <v>1</v>
      </c>
      <c r="BZ100" s="65">
        <v>1</v>
      </c>
      <c r="CA100" s="65">
        <v>0</v>
      </c>
      <c r="CB100" s="65">
        <v>0</v>
      </c>
      <c r="CC100" s="65">
        <v>1</v>
      </c>
      <c r="CD100" s="65">
        <v>0</v>
      </c>
      <c r="CE100" s="65">
        <v>0</v>
      </c>
      <c r="CF100" s="65">
        <v>0</v>
      </c>
      <c r="CG100" s="65">
        <v>1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6</v>
      </c>
      <c r="CT100" s="65">
        <v>6</v>
      </c>
      <c r="CU100" s="65">
        <v>9</v>
      </c>
      <c r="CV100" s="65">
        <v>6</v>
      </c>
      <c r="CW100" s="65">
        <v>7</v>
      </c>
      <c r="CX100" s="65">
        <v>9</v>
      </c>
      <c r="CY100" s="65">
        <v>6</v>
      </c>
      <c r="CZ100" s="65">
        <v>5</v>
      </c>
      <c r="DA100" s="65">
        <v>7</v>
      </c>
      <c r="DB100" s="65">
        <v>7</v>
      </c>
      <c r="DC100" s="65">
        <v>6</v>
      </c>
      <c r="DD100" s="65">
        <v>10</v>
      </c>
      <c r="DE100" s="65">
        <v>9</v>
      </c>
      <c r="DF100" s="65">
        <v>6</v>
      </c>
      <c r="DG100" s="65">
        <v>6</v>
      </c>
      <c r="DH100" s="65">
        <v>5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767</v>
      </c>
      <c r="DU100" s="2" t="s">
        <v>453</v>
      </c>
      <c r="DV100" s="385">
        <v>7</v>
      </c>
      <c r="DW100" s="2" t="s">
        <v>1</v>
      </c>
      <c r="DX100" s="2">
        <v>7</v>
      </c>
      <c r="DY100" s="2">
        <v>3</v>
      </c>
      <c r="DZ100" s="2">
        <v>3</v>
      </c>
      <c r="EA100" s="2">
        <v>4</v>
      </c>
      <c r="EB100" s="2">
        <v>3</v>
      </c>
      <c r="EC100" s="2">
        <v>4</v>
      </c>
      <c r="ED100" s="2">
        <v>4</v>
      </c>
      <c r="EE100" s="2">
        <v>3</v>
      </c>
      <c r="EF100" s="2">
        <v>2</v>
      </c>
      <c r="EG100" s="2">
        <v>3</v>
      </c>
      <c r="EH100" s="2">
        <v>4</v>
      </c>
      <c r="EI100" s="2">
        <v>3</v>
      </c>
      <c r="EJ100" s="2">
        <v>7</v>
      </c>
      <c r="EK100" s="2">
        <v>5</v>
      </c>
      <c r="EL100" s="2">
        <v>3</v>
      </c>
      <c r="EM100" s="2">
        <v>3</v>
      </c>
      <c r="EN100" s="2">
        <v>2</v>
      </c>
      <c r="EO100" s="2">
        <v>3</v>
      </c>
      <c r="EP100" s="2">
        <v>3</v>
      </c>
      <c r="EQ100" s="2">
        <v>5</v>
      </c>
      <c r="ER100" s="2">
        <v>3</v>
      </c>
      <c r="ES100" s="2">
        <v>3</v>
      </c>
      <c r="ET100" s="2">
        <v>5</v>
      </c>
      <c r="EU100" s="2">
        <v>3</v>
      </c>
      <c r="EV100" s="2">
        <v>3</v>
      </c>
      <c r="EW100" s="2">
        <v>4</v>
      </c>
      <c r="EX100" s="2">
        <v>3</v>
      </c>
      <c r="EY100" s="2">
        <v>3</v>
      </c>
      <c r="EZ100" s="2">
        <v>3</v>
      </c>
      <c r="FA100" s="385">
        <v>4</v>
      </c>
      <c r="FB100" s="385">
        <v>3</v>
      </c>
      <c r="FC100" s="385">
        <v>3</v>
      </c>
      <c r="FD100" s="385">
        <v>3</v>
      </c>
      <c r="FE100" s="385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385"/>
      <c r="GK100" s="385"/>
      <c r="GL100" s="385"/>
      <c r="GM100" s="2"/>
      <c r="GN100" s="2"/>
      <c r="GO100" s="2"/>
      <c r="GP100" s="2"/>
      <c r="GQ100" s="2"/>
      <c r="GR100" s="2"/>
    </row>
    <row r="101" spans="1:200" x14ac:dyDescent="0.25">
      <c r="A101" s="2" t="s">
        <v>1022</v>
      </c>
      <c r="B101" s="2" t="s">
        <v>785</v>
      </c>
      <c r="C101" s="2" t="s">
        <v>1022</v>
      </c>
      <c r="D101" s="2">
        <v>1</v>
      </c>
      <c r="E101" s="2">
        <v>0</v>
      </c>
      <c r="F101" s="2">
        <v>12</v>
      </c>
      <c r="G101" s="2">
        <v>3</v>
      </c>
      <c r="H101" s="2">
        <v>1</v>
      </c>
      <c r="I101" s="2">
        <v>15</v>
      </c>
      <c r="J101" s="2">
        <v>67</v>
      </c>
      <c r="K101" s="2">
        <v>62</v>
      </c>
      <c r="L101" s="2">
        <v>0</v>
      </c>
      <c r="M101" s="2">
        <v>0</v>
      </c>
      <c r="N101" s="2">
        <v>4</v>
      </c>
      <c r="O101" s="2">
        <v>129</v>
      </c>
      <c r="P101" s="2">
        <v>129</v>
      </c>
      <c r="Q101" s="2">
        <v>129</v>
      </c>
      <c r="R101" s="2">
        <v>133</v>
      </c>
      <c r="S101" s="2">
        <v>67</v>
      </c>
      <c r="T101" s="2">
        <v>0.3125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0</v>
      </c>
      <c r="Z101" s="2">
        <v>8</v>
      </c>
      <c r="AA101" s="2">
        <v>1</v>
      </c>
      <c r="AB101" s="2">
        <v>6</v>
      </c>
      <c r="AG101" s="2">
        <v>2</v>
      </c>
      <c r="AH101" s="2">
        <v>1</v>
      </c>
      <c r="AI101" s="2">
        <v>1</v>
      </c>
      <c r="AJ101" s="2">
        <v>1</v>
      </c>
      <c r="AK101" s="2">
        <v>1</v>
      </c>
      <c r="AL101" s="2">
        <v>30</v>
      </c>
      <c r="AM101" s="2">
        <v>781.18200000000002</v>
      </c>
      <c r="AN101" s="2">
        <v>714.28700000000003</v>
      </c>
      <c r="AO101" s="2">
        <v>66.894999999999982</v>
      </c>
      <c r="AP101" s="2">
        <v>128.96101000000002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3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0</v>
      </c>
      <c r="BV101" s="65">
        <v>0</v>
      </c>
      <c r="BW101" s="65">
        <v>0</v>
      </c>
      <c r="BX101" s="65">
        <v>0</v>
      </c>
      <c r="BY101" s="65">
        <v>0</v>
      </c>
      <c r="BZ101" s="65">
        <v>0</v>
      </c>
      <c r="CA101" s="65">
        <v>0</v>
      </c>
      <c r="CB101" s="65">
        <v>0</v>
      </c>
      <c r="CC101" s="65">
        <v>0</v>
      </c>
      <c r="CD101" s="65">
        <v>0</v>
      </c>
      <c r="CE101" s="65">
        <v>1</v>
      </c>
      <c r="CF101" s="65">
        <v>0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8</v>
      </c>
      <c r="CT101" s="65">
        <v>8</v>
      </c>
      <c r="CU101" s="65">
        <v>10</v>
      </c>
      <c r="CV101" s="65">
        <v>7</v>
      </c>
      <c r="CW101" s="65">
        <v>9</v>
      </c>
      <c r="CX101" s="65">
        <v>12</v>
      </c>
      <c r="CY101" s="65">
        <v>11</v>
      </c>
      <c r="CZ101" s="65">
        <v>6</v>
      </c>
      <c r="DA101" s="65">
        <v>12</v>
      </c>
      <c r="DB101" s="65">
        <v>8</v>
      </c>
      <c r="DC101" s="65">
        <v>6</v>
      </c>
      <c r="DD101" s="65">
        <v>11</v>
      </c>
      <c r="DE101" s="65">
        <v>8</v>
      </c>
      <c r="DF101" s="65">
        <v>5</v>
      </c>
      <c r="DG101" s="65">
        <v>6</v>
      </c>
      <c r="DH101" s="65">
        <v>6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769</v>
      </c>
      <c r="DU101" s="2" t="s">
        <v>455</v>
      </c>
      <c r="DV101" s="385">
        <v>1</v>
      </c>
      <c r="DW101" s="2" t="s">
        <v>14</v>
      </c>
      <c r="DX101" s="2">
        <v>1</v>
      </c>
      <c r="DY101" s="2">
        <v>4</v>
      </c>
      <c r="DZ101" s="2">
        <v>4</v>
      </c>
      <c r="EA101" s="2">
        <v>5</v>
      </c>
      <c r="EB101" s="2">
        <v>4</v>
      </c>
      <c r="EC101" s="2">
        <v>4</v>
      </c>
      <c r="ED101" s="2">
        <v>6</v>
      </c>
      <c r="EE101" s="2">
        <v>4</v>
      </c>
      <c r="EF101" s="2">
        <v>3</v>
      </c>
      <c r="EG101" s="2">
        <v>7</v>
      </c>
      <c r="EH101" s="2">
        <v>4</v>
      </c>
      <c r="EI101" s="2">
        <v>3</v>
      </c>
      <c r="EJ101" s="2">
        <v>6</v>
      </c>
      <c r="EK101" s="2">
        <v>4</v>
      </c>
      <c r="EL101" s="2">
        <v>3</v>
      </c>
      <c r="EM101" s="2">
        <v>3</v>
      </c>
      <c r="EN101" s="2">
        <v>3</v>
      </c>
      <c r="EO101" s="2">
        <v>4</v>
      </c>
      <c r="EP101" s="2">
        <v>4</v>
      </c>
      <c r="EQ101" s="2">
        <v>5</v>
      </c>
      <c r="ER101" s="2">
        <v>3</v>
      </c>
      <c r="ES101" s="2">
        <v>5</v>
      </c>
      <c r="ET101" s="2">
        <v>6</v>
      </c>
      <c r="EU101" s="2">
        <v>3</v>
      </c>
      <c r="EV101" s="2">
        <v>3</v>
      </c>
      <c r="EW101" s="2">
        <v>5</v>
      </c>
      <c r="EX101" s="2">
        <v>4</v>
      </c>
      <c r="EY101" s="2">
        <v>3</v>
      </c>
      <c r="EZ101" s="2">
        <v>5</v>
      </c>
      <c r="FA101" s="385">
        <v>4</v>
      </c>
      <c r="FB101" s="385">
        <v>2</v>
      </c>
      <c r="FC101" s="385">
        <v>3</v>
      </c>
      <c r="FD101" s="385">
        <v>3</v>
      </c>
      <c r="FE101" s="385">
        <v>4</v>
      </c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385"/>
      <c r="GK101" s="385"/>
      <c r="GL101" s="385"/>
      <c r="GM101" s="2"/>
      <c r="GN101" s="2"/>
      <c r="GO101" s="2"/>
      <c r="GP101" s="2"/>
      <c r="GQ101" s="2"/>
      <c r="GR101" s="2"/>
    </row>
    <row r="102" spans="1:200" x14ac:dyDescent="0.25">
      <c r="A102" s="2" t="s">
        <v>1023</v>
      </c>
      <c r="B102" s="2" t="s">
        <v>784</v>
      </c>
      <c r="C102" s="2" t="s">
        <v>1023</v>
      </c>
      <c r="D102" s="2">
        <v>1</v>
      </c>
      <c r="E102" s="2">
        <v>0</v>
      </c>
      <c r="F102" s="2">
        <v>10</v>
      </c>
      <c r="G102" s="2">
        <v>3</v>
      </c>
      <c r="H102" s="2">
        <v>1</v>
      </c>
      <c r="I102" s="2">
        <v>13</v>
      </c>
      <c r="J102" s="2">
        <v>62</v>
      </c>
      <c r="K102" s="2">
        <v>65</v>
      </c>
      <c r="L102" s="2">
        <v>0</v>
      </c>
      <c r="M102" s="2">
        <v>0</v>
      </c>
      <c r="N102" s="2">
        <v>999</v>
      </c>
      <c r="O102" s="2">
        <v>127</v>
      </c>
      <c r="P102" s="2">
        <v>127</v>
      </c>
      <c r="Q102" s="2">
        <v>127</v>
      </c>
      <c r="R102" s="2">
        <v>1126</v>
      </c>
      <c r="S102" s="2">
        <v>62</v>
      </c>
      <c r="T102" s="2">
        <v>-0.1875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0</v>
      </c>
      <c r="Z102" s="2">
        <v>6</v>
      </c>
      <c r="AA102" s="2">
        <v>1</v>
      </c>
      <c r="AB102" s="2">
        <v>7</v>
      </c>
      <c r="AG102" s="2">
        <v>19</v>
      </c>
      <c r="AH102" s="2">
        <v>25</v>
      </c>
      <c r="AI102" s="2">
        <v>25</v>
      </c>
      <c r="AJ102" s="2">
        <v>25</v>
      </c>
      <c r="AK102" s="2">
        <v>25</v>
      </c>
      <c r="AL102" s="2">
        <v>25</v>
      </c>
      <c r="AM102" s="2">
        <v>800.09699999999998</v>
      </c>
      <c r="AN102" s="2">
        <v>766.2</v>
      </c>
      <c r="AO102" s="2">
        <v>33.896999999999935</v>
      </c>
      <c r="AP102" s="2">
        <v>127.00102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1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10</v>
      </c>
      <c r="CT102" s="65">
        <v>9</v>
      </c>
      <c r="CU102" s="65">
        <v>10</v>
      </c>
      <c r="CV102" s="65">
        <v>6</v>
      </c>
      <c r="CW102" s="65">
        <v>7</v>
      </c>
      <c r="CX102" s="65">
        <v>12</v>
      </c>
      <c r="CY102" s="65">
        <v>7</v>
      </c>
      <c r="CZ102" s="65">
        <v>6</v>
      </c>
      <c r="DA102" s="65">
        <v>10</v>
      </c>
      <c r="DB102" s="65">
        <v>7</v>
      </c>
      <c r="DC102" s="65">
        <v>6</v>
      </c>
      <c r="DD102" s="65">
        <v>9</v>
      </c>
      <c r="DE102" s="65">
        <v>9</v>
      </c>
      <c r="DF102" s="65">
        <v>6</v>
      </c>
      <c r="DG102" s="65">
        <v>6</v>
      </c>
      <c r="DH102" s="65">
        <v>7</v>
      </c>
      <c r="DI102" s="65">
        <v>0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774</v>
      </c>
      <c r="DU102" s="2" t="s">
        <v>453</v>
      </c>
      <c r="DV102" s="385">
        <v>25</v>
      </c>
      <c r="DW102" s="2" t="s">
        <v>1</v>
      </c>
      <c r="DX102" s="2">
        <v>25</v>
      </c>
      <c r="DY102" s="2">
        <v>4</v>
      </c>
      <c r="DZ102" s="2">
        <v>5</v>
      </c>
      <c r="EA102" s="2">
        <v>4</v>
      </c>
      <c r="EB102" s="2">
        <v>3</v>
      </c>
      <c r="EC102" s="2">
        <v>3</v>
      </c>
      <c r="ED102" s="2">
        <v>5</v>
      </c>
      <c r="EE102" s="2">
        <v>3</v>
      </c>
      <c r="EF102" s="2">
        <v>3</v>
      </c>
      <c r="EG102" s="2">
        <v>5</v>
      </c>
      <c r="EH102" s="2">
        <v>4</v>
      </c>
      <c r="EI102" s="2">
        <v>3</v>
      </c>
      <c r="EJ102" s="2">
        <v>5</v>
      </c>
      <c r="EK102" s="2">
        <v>4</v>
      </c>
      <c r="EL102" s="2">
        <v>4</v>
      </c>
      <c r="EM102" s="2">
        <v>3</v>
      </c>
      <c r="EN102" s="2">
        <v>4</v>
      </c>
      <c r="EO102" s="2">
        <v>6</v>
      </c>
      <c r="EP102" s="2">
        <v>4</v>
      </c>
      <c r="EQ102" s="2">
        <v>6</v>
      </c>
      <c r="ER102" s="2">
        <v>3</v>
      </c>
      <c r="ES102" s="2">
        <v>4</v>
      </c>
      <c r="ET102" s="2">
        <v>7</v>
      </c>
      <c r="EU102" s="2">
        <v>4</v>
      </c>
      <c r="EV102" s="2">
        <v>3</v>
      </c>
      <c r="EW102" s="2">
        <v>5</v>
      </c>
      <c r="EX102" s="2">
        <v>3</v>
      </c>
      <c r="EY102" s="2">
        <v>3</v>
      </c>
      <c r="EZ102" s="2">
        <v>4</v>
      </c>
      <c r="FA102" s="385">
        <v>5</v>
      </c>
      <c r="FB102" s="385">
        <v>2</v>
      </c>
      <c r="FC102" s="385">
        <v>3</v>
      </c>
      <c r="FD102" s="385">
        <v>3</v>
      </c>
      <c r="FE102" s="385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385"/>
      <c r="GK102" s="385"/>
      <c r="GL102" s="385"/>
      <c r="GM102" s="2"/>
      <c r="GN102" s="2"/>
      <c r="GO102" s="2"/>
      <c r="GP102" s="2"/>
      <c r="GQ102" s="2"/>
      <c r="GR102" s="2"/>
    </row>
    <row r="103" spans="1:200" x14ac:dyDescent="0.25">
      <c r="A103" s="2" t="s">
        <v>1024</v>
      </c>
      <c r="B103" s="2" t="s">
        <v>13</v>
      </c>
      <c r="C103" s="2" t="s">
        <v>1021</v>
      </c>
      <c r="D103" s="2">
        <v>8</v>
      </c>
      <c r="E103" s="2">
        <v>0</v>
      </c>
      <c r="F103" s="2">
        <v>4</v>
      </c>
      <c r="G103" s="2">
        <v>1</v>
      </c>
      <c r="H103" s="2">
        <v>8</v>
      </c>
      <c r="I103" s="2">
        <v>5</v>
      </c>
      <c r="J103" s="2">
        <v>52</v>
      </c>
      <c r="K103" s="2">
        <v>58</v>
      </c>
      <c r="L103" s="2">
        <v>0</v>
      </c>
      <c r="M103" s="2">
        <v>0</v>
      </c>
      <c r="N103" s="2">
        <v>999</v>
      </c>
      <c r="O103" s="2">
        <v>110</v>
      </c>
      <c r="P103" s="2">
        <v>110</v>
      </c>
      <c r="Q103" s="2">
        <v>110</v>
      </c>
      <c r="R103" s="2">
        <v>1109</v>
      </c>
      <c r="S103" s="2">
        <v>52</v>
      </c>
      <c r="T103" s="2">
        <v>-0.375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5</v>
      </c>
      <c r="Z103" s="2">
        <v>1</v>
      </c>
      <c r="AA103" s="2">
        <v>3</v>
      </c>
      <c r="AB103" s="2">
        <v>4</v>
      </c>
      <c r="AG103" s="2">
        <v>4</v>
      </c>
      <c r="AH103" s="2">
        <v>7</v>
      </c>
      <c r="AI103" s="2">
        <v>7</v>
      </c>
      <c r="AJ103" s="2">
        <v>7</v>
      </c>
      <c r="AK103" s="2">
        <v>7</v>
      </c>
      <c r="AL103" s="2">
        <v>8</v>
      </c>
      <c r="AM103" s="2">
        <v>960.87300000000005</v>
      </c>
      <c r="AN103" s="2">
        <v>937.08399999999995</v>
      </c>
      <c r="AO103" s="2">
        <v>23.789000000000101</v>
      </c>
      <c r="AP103" s="2">
        <v>110.00103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1</v>
      </c>
      <c r="BV103" s="65">
        <v>0</v>
      </c>
      <c r="BW103" s="65">
        <v>0</v>
      </c>
      <c r="BX103" s="65">
        <v>1</v>
      </c>
      <c r="BY103" s="65">
        <v>1</v>
      </c>
      <c r="BZ103" s="65">
        <v>1</v>
      </c>
      <c r="CA103" s="65">
        <v>0</v>
      </c>
      <c r="CB103" s="65">
        <v>1</v>
      </c>
      <c r="CC103" s="65">
        <v>0</v>
      </c>
      <c r="CD103" s="65">
        <v>2</v>
      </c>
      <c r="CE103" s="65">
        <v>0</v>
      </c>
      <c r="CF103" s="65">
        <v>0</v>
      </c>
      <c r="CG103" s="65">
        <v>1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8</v>
      </c>
      <c r="CT103" s="65">
        <v>8</v>
      </c>
      <c r="CU103" s="65">
        <v>9</v>
      </c>
      <c r="CV103" s="65">
        <v>5</v>
      </c>
      <c r="CW103" s="65">
        <v>8</v>
      </c>
      <c r="CX103" s="65">
        <v>10</v>
      </c>
      <c r="CY103" s="65">
        <v>5</v>
      </c>
      <c r="CZ103" s="65">
        <v>5</v>
      </c>
      <c r="DA103" s="65">
        <v>7</v>
      </c>
      <c r="DB103" s="65">
        <v>7</v>
      </c>
      <c r="DC103" s="65">
        <v>5</v>
      </c>
      <c r="DD103" s="65">
        <v>8</v>
      </c>
      <c r="DE103" s="65">
        <v>6</v>
      </c>
      <c r="DF103" s="65">
        <v>7</v>
      </c>
      <c r="DG103" s="65">
        <v>6</v>
      </c>
      <c r="DH103" s="65">
        <v>6</v>
      </c>
      <c r="DI103" s="65">
        <v>0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13</v>
      </c>
      <c r="DU103" s="2" t="s">
        <v>453</v>
      </c>
      <c r="DV103" s="385">
        <v>7</v>
      </c>
      <c r="DW103" s="2" t="s">
        <v>1</v>
      </c>
      <c r="DX103" s="2">
        <v>7</v>
      </c>
      <c r="DY103" s="2">
        <v>4</v>
      </c>
      <c r="DZ103" s="2">
        <v>4</v>
      </c>
      <c r="EA103" s="2">
        <v>4</v>
      </c>
      <c r="EB103" s="2">
        <v>3</v>
      </c>
      <c r="EC103" s="2">
        <v>3</v>
      </c>
      <c r="ED103" s="2">
        <v>5</v>
      </c>
      <c r="EE103" s="2">
        <v>2</v>
      </c>
      <c r="EF103" s="2">
        <v>3</v>
      </c>
      <c r="EG103" s="2">
        <v>3</v>
      </c>
      <c r="EH103" s="2">
        <v>3</v>
      </c>
      <c r="EI103" s="2">
        <v>2</v>
      </c>
      <c r="EJ103" s="2">
        <v>4</v>
      </c>
      <c r="EK103" s="2">
        <v>3</v>
      </c>
      <c r="EL103" s="2">
        <v>4</v>
      </c>
      <c r="EM103" s="2">
        <v>3</v>
      </c>
      <c r="EN103" s="2">
        <v>2</v>
      </c>
      <c r="EO103" s="2">
        <v>4</v>
      </c>
      <c r="EP103" s="2">
        <v>4</v>
      </c>
      <c r="EQ103" s="2">
        <v>5</v>
      </c>
      <c r="ER103" s="2">
        <v>2</v>
      </c>
      <c r="ES103" s="2">
        <v>5</v>
      </c>
      <c r="ET103" s="2">
        <v>5</v>
      </c>
      <c r="EU103" s="2">
        <v>3</v>
      </c>
      <c r="EV103" s="2">
        <v>2</v>
      </c>
      <c r="EW103" s="2">
        <v>4</v>
      </c>
      <c r="EX103" s="2">
        <v>4</v>
      </c>
      <c r="EY103" s="2">
        <v>3</v>
      </c>
      <c r="EZ103" s="2">
        <v>4</v>
      </c>
      <c r="FA103" s="385">
        <v>3</v>
      </c>
      <c r="FB103" s="385">
        <v>3</v>
      </c>
      <c r="FC103" s="385">
        <v>3</v>
      </c>
      <c r="FD103" s="385">
        <v>4</v>
      </c>
      <c r="FE103" s="385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385"/>
      <c r="GK103" s="385"/>
      <c r="GL103" s="385"/>
      <c r="GM103" s="2"/>
      <c r="GN103" s="2"/>
      <c r="GO103" s="2"/>
      <c r="GP103" s="2"/>
      <c r="GQ103" s="2"/>
      <c r="GR103" s="2"/>
    </row>
    <row r="104" spans="1:200" x14ac:dyDescent="0.25">
      <c r="A104" s="2" t="s">
        <v>1025</v>
      </c>
      <c r="B104" s="2" t="s">
        <v>398</v>
      </c>
      <c r="C104" s="2" t="s">
        <v>1013</v>
      </c>
      <c r="D104" s="2">
        <v>3</v>
      </c>
      <c r="E104" s="2">
        <v>0</v>
      </c>
      <c r="F104" s="2">
        <v>11</v>
      </c>
      <c r="G104" s="2">
        <v>2</v>
      </c>
      <c r="H104" s="2">
        <v>3</v>
      </c>
      <c r="I104" s="2">
        <v>13</v>
      </c>
      <c r="J104" s="2">
        <v>63</v>
      </c>
      <c r="K104" s="2">
        <v>61</v>
      </c>
      <c r="L104" s="2">
        <v>0</v>
      </c>
      <c r="M104" s="2">
        <v>0</v>
      </c>
      <c r="N104" s="2">
        <v>999</v>
      </c>
      <c r="O104" s="2">
        <v>124</v>
      </c>
      <c r="P104" s="2">
        <v>124</v>
      </c>
      <c r="Q104" s="2">
        <v>124</v>
      </c>
      <c r="R104" s="2">
        <v>1123</v>
      </c>
      <c r="S104" s="2">
        <v>63</v>
      </c>
      <c r="T104" s="2">
        <v>0.125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2</v>
      </c>
      <c r="Z104" s="2">
        <v>7</v>
      </c>
      <c r="AA104" s="2">
        <v>1</v>
      </c>
      <c r="AB104" s="2">
        <v>6</v>
      </c>
      <c r="AG104" s="2">
        <v>23</v>
      </c>
      <c r="AH104" s="2">
        <v>22</v>
      </c>
      <c r="AI104" s="2">
        <v>22</v>
      </c>
      <c r="AJ104" s="2">
        <v>22</v>
      </c>
      <c r="AK104" s="2">
        <v>22</v>
      </c>
      <c r="AL104" s="2">
        <v>23</v>
      </c>
      <c r="AM104" s="2">
        <v>828.46900000000005</v>
      </c>
      <c r="AN104" s="2">
        <v>861.94399999999996</v>
      </c>
      <c r="AO104" s="2">
        <v>-33.474999999999909</v>
      </c>
      <c r="AP104" s="2">
        <v>124.00104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1</v>
      </c>
      <c r="BZ104" s="65">
        <v>0</v>
      </c>
      <c r="CA104" s="65">
        <v>0</v>
      </c>
      <c r="CB104" s="65">
        <v>0</v>
      </c>
      <c r="CC104" s="65">
        <v>0</v>
      </c>
      <c r="CD104" s="65">
        <v>1</v>
      </c>
      <c r="CE104" s="65">
        <v>1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8</v>
      </c>
      <c r="CT104" s="65">
        <v>8</v>
      </c>
      <c r="CU104" s="65">
        <v>10</v>
      </c>
      <c r="CV104" s="65">
        <v>6</v>
      </c>
      <c r="CW104" s="65">
        <v>6</v>
      </c>
      <c r="CX104" s="65">
        <v>11</v>
      </c>
      <c r="CY104" s="65">
        <v>7</v>
      </c>
      <c r="CZ104" s="65">
        <v>5</v>
      </c>
      <c r="DA104" s="65">
        <v>11</v>
      </c>
      <c r="DB104" s="65">
        <v>7</v>
      </c>
      <c r="DC104" s="65">
        <v>6</v>
      </c>
      <c r="DD104" s="65">
        <v>9</v>
      </c>
      <c r="DE104" s="65">
        <v>8</v>
      </c>
      <c r="DF104" s="65">
        <v>6</v>
      </c>
      <c r="DG104" s="65">
        <v>8</v>
      </c>
      <c r="DH104" s="65">
        <v>8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15</v>
      </c>
      <c r="DU104" s="2" t="s">
        <v>453</v>
      </c>
      <c r="DV104" s="385">
        <v>22</v>
      </c>
      <c r="DW104" s="2" t="s">
        <v>1</v>
      </c>
      <c r="DX104" s="2">
        <v>22</v>
      </c>
      <c r="DY104" s="2">
        <v>4</v>
      </c>
      <c r="DZ104" s="2">
        <v>4</v>
      </c>
      <c r="EA104" s="2">
        <v>6</v>
      </c>
      <c r="EB104" s="2">
        <v>3</v>
      </c>
      <c r="EC104" s="2">
        <v>3</v>
      </c>
      <c r="ED104" s="2">
        <v>6</v>
      </c>
      <c r="EE104" s="2">
        <v>4</v>
      </c>
      <c r="EF104" s="2">
        <v>2</v>
      </c>
      <c r="EG104" s="2">
        <v>6</v>
      </c>
      <c r="EH104" s="2">
        <v>3</v>
      </c>
      <c r="EI104" s="2">
        <v>3</v>
      </c>
      <c r="EJ104" s="2">
        <v>4</v>
      </c>
      <c r="EK104" s="2">
        <v>5</v>
      </c>
      <c r="EL104" s="2">
        <v>2</v>
      </c>
      <c r="EM104" s="2">
        <v>4</v>
      </c>
      <c r="EN104" s="2">
        <v>4</v>
      </c>
      <c r="EO104" s="2">
        <v>4</v>
      </c>
      <c r="EP104" s="2">
        <v>4</v>
      </c>
      <c r="EQ104" s="2">
        <v>4</v>
      </c>
      <c r="ER104" s="2">
        <v>3</v>
      </c>
      <c r="ES104" s="2">
        <v>3</v>
      </c>
      <c r="ET104" s="2">
        <v>5</v>
      </c>
      <c r="EU104" s="2">
        <v>3</v>
      </c>
      <c r="EV104" s="2">
        <v>3</v>
      </c>
      <c r="EW104" s="2">
        <v>5</v>
      </c>
      <c r="EX104" s="2">
        <v>4</v>
      </c>
      <c r="EY104" s="2">
        <v>3</v>
      </c>
      <c r="EZ104" s="2">
        <v>5</v>
      </c>
      <c r="FA104" s="385">
        <v>3</v>
      </c>
      <c r="FB104" s="385">
        <v>4</v>
      </c>
      <c r="FC104" s="385">
        <v>4</v>
      </c>
      <c r="FD104" s="385">
        <v>4</v>
      </c>
      <c r="FE104" s="385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385"/>
      <c r="GK104" s="385"/>
      <c r="GL104" s="385"/>
      <c r="GM104" s="2"/>
      <c r="GN104" s="2"/>
      <c r="GO104" s="2"/>
      <c r="GP104" s="2"/>
      <c r="GQ104" s="2"/>
      <c r="GR104" s="2"/>
    </row>
    <row r="105" spans="1:200" x14ac:dyDescent="0.25">
      <c r="A105" s="2" t="s">
        <v>1026</v>
      </c>
      <c r="B105" s="2" t="s">
        <v>769</v>
      </c>
      <c r="C105" s="2" t="s">
        <v>1026</v>
      </c>
      <c r="D105" s="2">
        <v>1</v>
      </c>
      <c r="E105" s="2">
        <v>0</v>
      </c>
      <c r="F105" s="2">
        <v>9</v>
      </c>
      <c r="G105" s="2">
        <v>8</v>
      </c>
      <c r="H105" s="2">
        <v>1</v>
      </c>
      <c r="I105" s="2">
        <v>17</v>
      </c>
      <c r="J105" s="2">
        <v>71</v>
      </c>
      <c r="K105" s="2">
        <v>69</v>
      </c>
      <c r="L105" s="2">
        <v>0</v>
      </c>
      <c r="M105" s="2">
        <v>0</v>
      </c>
      <c r="N105" s="2">
        <v>999</v>
      </c>
      <c r="O105" s="2">
        <v>140</v>
      </c>
      <c r="P105" s="2">
        <v>140</v>
      </c>
      <c r="Q105" s="2">
        <v>140</v>
      </c>
      <c r="R105" s="2">
        <v>1139</v>
      </c>
      <c r="S105" s="2">
        <v>71</v>
      </c>
      <c r="T105" s="2">
        <v>0.125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1</v>
      </c>
      <c r="Z105" s="2">
        <v>9</v>
      </c>
      <c r="AA105" s="2">
        <v>0</v>
      </c>
      <c r="AB105" s="2">
        <v>8</v>
      </c>
      <c r="AG105" s="2">
        <v>35</v>
      </c>
      <c r="AH105" s="2">
        <v>34</v>
      </c>
      <c r="AI105" s="2">
        <v>34</v>
      </c>
      <c r="AJ105" s="2">
        <v>34</v>
      </c>
      <c r="AK105" s="2">
        <v>34</v>
      </c>
      <c r="AL105" s="2">
        <v>37</v>
      </c>
      <c r="AM105" s="2">
        <v>677.15099999999995</v>
      </c>
      <c r="AN105" s="2">
        <v>708.76199999999994</v>
      </c>
      <c r="AO105" s="2">
        <v>-31.61099999999999</v>
      </c>
      <c r="AP105" s="2">
        <v>140.00104999999999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0</v>
      </c>
      <c r="BY105" s="65">
        <v>0</v>
      </c>
      <c r="BZ105" s="65">
        <v>0</v>
      </c>
      <c r="CA105" s="65">
        <v>0</v>
      </c>
      <c r="CB105" s="65">
        <v>1</v>
      </c>
      <c r="CC105" s="65">
        <v>0</v>
      </c>
      <c r="CD105" s="65">
        <v>0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12</v>
      </c>
      <c r="CT105" s="65">
        <v>10</v>
      </c>
      <c r="CU105" s="65">
        <v>13</v>
      </c>
      <c r="CV105" s="65">
        <v>6</v>
      </c>
      <c r="CW105" s="65">
        <v>7</v>
      </c>
      <c r="CX105" s="65">
        <v>13</v>
      </c>
      <c r="CY105" s="65">
        <v>6</v>
      </c>
      <c r="CZ105" s="65">
        <v>7</v>
      </c>
      <c r="DA105" s="65">
        <v>9</v>
      </c>
      <c r="DB105" s="65">
        <v>7</v>
      </c>
      <c r="DC105" s="65">
        <v>5</v>
      </c>
      <c r="DD105" s="65">
        <v>13</v>
      </c>
      <c r="DE105" s="65">
        <v>11</v>
      </c>
      <c r="DF105" s="65">
        <v>8</v>
      </c>
      <c r="DG105" s="65">
        <v>7</v>
      </c>
      <c r="DH105" s="65">
        <v>6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85" t="s">
        <v>775</v>
      </c>
      <c r="DU105" s="385" t="s">
        <v>453</v>
      </c>
      <c r="DV105" s="385">
        <v>34</v>
      </c>
      <c r="DW105" s="385" t="s">
        <v>1</v>
      </c>
      <c r="DX105" s="385">
        <v>34</v>
      </c>
      <c r="DY105" s="385">
        <v>6</v>
      </c>
      <c r="DZ105" s="385">
        <v>6</v>
      </c>
      <c r="EA105" s="385">
        <v>5</v>
      </c>
      <c r="EB105" s="385">
        <v>3</v>
      </c>
      <c r="EC105" s="385">
        <v>3</v>
      </c>
      <c r="ED105" s="385">
        <v>7</v>
      </c>
      <c r="EE105" s="385">
        <v>3</v>
      </c>
      <c r="EF105" s="385">
        <v>4</v>
      </c>
      <c r="EG105" s="385">
        <v>4</v>
      </c>
      <c r="EH105" s="385">
        <v>4</v>
      </c>
      <c r="EI105" s="385">
        <v>2</v>
      </c>
      <c r="EJ105" s="385">
        <v>7</v>
      </c>
      <c r="EK105" s="385">
        <v>7</v>
      </c>
      <c r="EL105" s="385">
        <v>4</v>
      </c>
      <c r="EM105" s="385">
        <v>3</v>
      </c>
      <c r="EN105" s="385">
        <v>3</v>
      </c>
      <c r="EO105" s="385">
        <v>6</v>
      </c>
      <c r="EP105" s="385">
        <v>4</v>
      </c>
      <c r="EQ105" s="385">
        <v>8</v>
      </c>
      <c r="ER105" s="385">
        <v>3</v>
      </c>
      <c r="ES105" s="385">
        <v>4</v>
      </c>
      <c r="ET105" s="385">
        <v>6</v>
      </c>
      <c r="EU105" s="385">
        <v>3</v>
      </c>
      <c r="EV105" s="385">
        <v>3</v>
      </c>
      <c r="EW105" s="385">
        <v>5</v>
      </c>
      <c r="EX105" s="385">
        <v>3</v>
      </c>
      <c r="EY105" s="385">
        <v>3</v>
      </c>
      <c r="EZ105" s="385">
        <v>6</v>
      </c>
      <c r="FA105" s="385">
        <v>4</v>
      </c>
      <c r="FB105" s="385">
        <v>4</v>
      </c>
      <c r="FC105" s="385">
        <v>4</v>
      </c>
      <c r="FD105" s="385">
        <v>3</v>
      </c>
      <c r="FE105" s="385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385"/>
      <c r="GK105" s="385"/>
      <c r="GL105" s="385"/>
      <c r="GM105" s="2"/>
      <c r="GN105" s="2"/>
      <c r="GO105" s="2"/>
      <c r="GP105" s="2"/>
      <c r="GQ105" s="2"/>
      <c r="GR105" s="2"/>
    </row>
    <row r="106" spans="1:200" x14ac:dyDescent="0.25">
      <c r="A106" s="2" t="s">
        <v>1027</v>
      </c>
      <c r="B106" s="2" t="s">
        <v>631</v>
      </c>
      <c r="C106" s="2" t="s">
        <v>1027</v>
      </c>
      <c r="D106" s="2">
        <v>0</v>
      </c>
      <c r="E106" s="2">
        <v>0</v>
      </c>
      <c r="F106" s="2">
        <v>17</v>
      </c>
      <c r="G106" s="2">
        <v>9</v>
      </c>
      <c r="H106" s="2">
        <v>0</v>
      </c>
      <c r="I106" s="2">
        <v>26</v>
      </c>
      <c r="J106" s="2">
        <v>75</v>
      </c>
      <c r="K106" s="2">
        <v>78</v>
      </c>
      <c r="L106" s="2">
        <v>0</v>
      </c>
      <c r="M106" s="2">
        <v>0</v>
      </c>
      <c r="N106" s="2">
        <v>999</v>
      </c>
      <c r="O106" s="2">
        <v>153</v>
      </c>
      <c r="P106" s="2">
        <v>153</v>
      </c>
      <c r="Q106" s="2">
        <v>153</v>
      </c>
      <c r="R106" s="2">
        <v>1152</v>
      </c>
      <c r="S106" s="2">
        <v>75</v>
      </c>
      <c r="T106" s="2">
        <v>-0.1875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0</v>
      </c>
      <c r="Z106" s="2">
        <v>12</v>
      </c>
      <c r="AA106" s="2">
        <v>0</v>
      </c>
      <c r="AB106" s="2">
        <v>14</v>
      </c>
      <c r="AG106" s="2">
        <v>39</v>
      </c>
      <c r="AH106" s="2">
        <v>38</v>
      </c>
      <c r="AI106" s="2">
        <v>38</v>
      </c>
      <c r="AJ106" s="2">
        <v>38</v>
      </c>
      <c r="AK106" s="2">
        <v>38</v>
      </c>
      <c r="AL106" s="2">
        <v>42</v>
      </c>
      <c r="AM106" s="2">
        <v>554.20399999999995</v>
      </c>
      <c r="AN106" s="2">
        <v>0</v>
      </c>
      <c r="AP106" s="2">
        <v>153.00106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10</v>
      </c>
      <c r="CT106" s="65">
        <v>12</v>
      </c>
      <c r="CU106" s="65">
        <v>15</v>
      </c>
      <c r="CV106" s="65">
        <v>9</v>
      </c>
      <c r="CW106" s="65">
        <v>9</v>
      </c>
      <c r="CX106" s="65">
        <v>13</v>
      </c>
      <c r="CY106" s="65">
        <v>7</v>
      </c>
      <c r="CZ106" s="65">
        <v>7</v>
      </c>
      <c r="DA106" s="65">
        <v>10</v>
      </c>
      <c r="DB106" s="65">
        <v>9</v>
      </c>
      <c r="DC106" s="65">
        <v>7</v>
      </c>
      <c r="DD106" s="65">
        <v>11</v>
      </c>
      <c r="DE106" s="65">
        <v>9</v>
      </c>
      <c r="DF106" s="65">
        <v>8</v>
      </c>
      <c r="DG106" s="65">
        <v>11</v>
      </c>
      <c r="DH106" s="65">
        <v>6</v>
      </c>
      <c r="DI106" s="65">
        <v>0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634</v>
      </c>
      <c r="DU106" s="2" t="s">
        <v>751</v>
      </c>
      <c r="DV106" s="385">
        <v>38</v>
      </c>
      <c r="DW106" s="2" t="s">
        <v>1</v>
      </c>
      <c r="DX106" s="2">
        <v>38</v>
      </c>
      <c r="DY106" s="2">
        <v>5</v>
      </c>
      <c r="DZ106" s="2">
        <v>7</v>
      </c>
      <c r="EA106" s="2">
        <v>6</v>
      </c>
      <c r="EB106" s="2">
        <v>5</v>
      </c>
      <c r="EC106" s="2">
        <v>4</v>
      </c>
      <c r="ED106" s="2">
        <v>6</v>
      </c>
      <c r="EE106" s="2">
        <v>4</v>
      </c>
      <c r="EF106" s="2">
        <v>3</v>
      </c>
      <c r="EG106" s="2">
        <v>5</v>
      </c>
      <c r="EH106" s="2">
        <v>4</v>
      </c>
      <c r="EI106" s="2">
        <v>3</v>
      </c>
      <c r="EJ106" s="2">
        <v>5</v>
      </c>
      <c r="EK106" s="2">
        <v>4</v>
      </c>
      <c r="EL106" s="2">
        <v>4</v>
      </c>
      <c r="EM106" s="2">
        <v>7</v>
      </c>
      <c r="EN106" s="2">
        <v>3</v>
      </c>
      <c r="EO106" s="2">
        <v>5</v>
      </c>
      <c r="EP106" s="2">
        <v>5</v>
      </c>
      <c r="EQ106" s="2">
        <v>9</v>
      </c>
      <c r="ER106" s="2">
        <v>4</v>
      </c>
      <c r="ES106" s="2">
        <v>5</v>
      </c>
      <c r="ET106" s="2">
        <v>7</v>
      </c>
      <c r="EU106" s="2">
        <v>3</v>
      </c>
      <c r="EV106" s="2">
        <v>4</v>
      </c>
      <c r="EW106" s="2">
        <v>5</v>
      </c>
      <c r="EX106" s="2">
        <v>5</v>
      </c>
      <c r="EY106" s="2">
        <v>4</v>
      </c>
      <c r="EZ106" s="2">
        <v>6</v>
      </c>
      <c r="FA106" s="385">
        <v>5</v>
      </c>
      <c r="FB106" s="385">
        <v>4</v>
      </c>
      <c r="FC106" s="385">
        <v>4</v>
      </c>
      <c r="FD106" s="385">
        <v>3</v>
      </c>
      <c r="FE106" s="385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385"/>
      <c r="GK106" s="385"/>
      <c r="GL106" s="385"/>
      <c r="GM106" s="2"/>
      <c r="GN106" s="2"/>
      <c r="GO106" s="2"/>
      <c r="GP106" s="2"/>
      <c r="GQ106" s="2"/>
      <c r="GR106" s="2"/>
    </row>
    <row r="107" spans="1:200" x14ac:dyDescent="0.25">
      <c r="A107" s="2" t="s">
        <v>1028</v>
      </c>
      <c r="B107" s="2" t="s">
        <v>611</v>
      </c>
      <c r="C107" s="2" t="s">
        <v>1028</v>
      </c>
      <c r="D107" s="2">
        <v>7</v>
      </c>
      <c r="E107" s="2">
        <v>0</v>
      </c>
      <c r="F107" s="2">
        <v>9</v>
      </c>
      <c r="G107" s="2">
        <v>1</v>
      </c>
      <c r="H107" s="2">
        <v>7</v>
      </c>
      <c r="I107" s="2">
        <v>10</v>
      </c>
      <c r="J107" s="2">
        <v>62</v>
      </c>
      <c r="K107" s="2">
        <v>54</v>
      </c>
      <c r="L107" s="2">
        <v>0</v>
      </c>
      <c r="M107" s="2">
        <v>0</v>
      </c>
      <c r="N107" s="2">
        <v>999</v>
      </c>
      <c r="O107" s="2">
        <v>116</v>
      </c>
      <c r="P107" s="2">
        <v>116</v>
      </c>
      <c r="Q107" s="2">
        <v>116</v>
      </c>
      <c r="R107" s="2">
        <v>1115</v>
      </c>
      <c r="S107" s="2">
        <v>62</v>
      </c>
      <c r="T107" s="2">
        <v>0.5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3</v>
      </c>
      <c r="Z107" s="2">
        <v>8</v>
      </c>
      <c r="AA107" s="2">
        <v>4</v>
      </c>
      <c r="AB107" s="2">
        <v>2</v>
      </c>
      <c r="AG107" s="2">
        <v>19</v>
      </c>
      <c r="AH107" s="2">
        <v>15</v>
      </c>
      <c r="AI107" s="2">
        <v>15</v>
      </c>
      <c r="AJ107" s="2">
        <v>15</v>
      </c>
      <c r="AK107" s="2">
        <v>15</v>
      </c>
      <c r="AL107" s="2">
        <v>15</v>
      </c>
      <c r="AM107" s="2">
        <v>904.12800000000004</v>
      </c>
      <c r="AN107" s="2">
        <v>986.78200000000004</v>
      </c>
      <c r="AO107" s="2">
        <v>-82.653999999999996</v>
      </c>
      <c r="AP107" s="2">
        <v>116.00107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0</v>
      </c>
      <c r="BT107" s="65">
        <v>0</v>
      </c>
      <c r="BU107" s="65">
        <v>1</v>
      </c>
      <c r="BV107" s="65">
        <v>1</v>
      </c>
      <c r="BW107" s="65">
        <v>1</v>
      </c>
      <c r="BX107" s="65">
        <v>0</v>
      </c>
      <c r="BY107" s="65">
        <v>1</v>
      </c>
      <c r="BZ107" s="65">
        <v>0</v>
      </c>
      <c r="CA107" s="65">
        <v>0</v>
      </c>
      <c r="CB107" s="65">
        <v>0</v>
      </c>
      <c r="CC107" s="65">
        <v>1</v>
      </c>
      <c r="CD107" s="65">
        <v>0</v>
      </c>
      <c r="CE107" s="65">
        <v>0</v>
      </c>
      <c r="CF107" s="65">
        <v>0</v>
      </c>
      <c r="CG107" s="65">
        <v>1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8</v>
      </c>
      <c r="CT107" s="65">
        <v>9</v>
      </c>
      <c r="CU107" s="65">
        <v>9</v>
      </c>
      <c r="CV107" s="65">
        <v>5</v>
      </c>
      <c r="CW107" s="65">
        <v>6</v>
      </c>
      <c r="CX107" s="65">
        <v>9</v>
      </c>
      <c r="CY107" s="65">
        <v>6</v>
      </c>
      <c r="CZ107" s="65">
        <v>6</v>
      </c>
      <c r="DA107" s="65">
        <v>8</v>
      </c>
      <c r="DB107" s="65">
        <v>7</v>
      </c>
      <c r="DC107" s="65">
        <v>6</v>
      </c>
      <c r="DD107" s="65">
        <v>7</v>
      </c>
      <c r="DE107" s="65">
        <v>8</v>
      </c>
      <c r="DF107" s="65">
        <v>8</v>
      </c>
      <c r="DG107" s="65">
        <v>8</v>
      </c>
      <c r="DH107" s="65">
        <v>6</v>
      </c>
      <c r="DI107" s="65">
        <v>0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518</v>
      </c>
      <c r="DU107" s="2" t="s">
        <v>453</v>
      </c>
      <c r="DV107" s="385">
        <v>15</v>
      </c>
      <c r="DW107" s="2" t="s">
        <v>1</v>
      </c>
      <c r="DX107" s="2">
        <v>15</v>
      </c>
      <c r="DY107" s="2">
        <v>5</v>
      </c>
      <c r="DZ107" s="2">
        <v>5</v>
      </c>
      <c r="EA107" s="2">
        <v>5</v>
      </c>
      <c r="EB107" s="2">
        <v>3</v>
      </c>
      <c r="EC107" s="2">
        <v>4</v>
      </c>
      <c r="ED107" s="2">
        <v>4</v>
      </c>
      <c r="EE107" s="2">
        <v>3</v>
      </c>
      <c r="EF107" s="2">
        <v>4</v>
      </c>
      <c r="EG107" s="2">
        <v>4</v>
      </c>
      <c r="EH107" s="2">
        <v>4</v>
      </c>
      <c r="EI107" s="2">
        <v>3</v>
      </c>
      <c r="EJ107" s="2">
        <v>3</v>
      </c>
      <c r="EK107" s="2">
        <v>4</v>
      </c>
      <c r="EL107" s="2">
        <v>4</v>
      </c>
      <c r="EM107" s="2">
        <v>5</v>
      </c>
      <c r="EN107" s="2">
        <v>2</v>
      </c>
      <c r="EO107" s="2">
        <v>3</v>
      </c>
      <c r="EP107" s="2">
        <v>4</v>
      </c>
      <c r="EQ107" s="2">
        <v>4</v>
      </c>
      <c r="ER107" s="2">
        <v>2</v>
      </c>
      <c r="ES107" s="2">
        <v>2</v>
      </c>
      <c r="ET107" s="2">
        <v>5</v>
      </c>
      <c r="EU107" s="2">
        <v>3</v>
      </c>
      <c r="EV107" s="2">
        <v>2</v>
      </c>
      <c r="EW107" s="2">
        <v>4</v>
      </c>
      <c r="EX107" s="2">
        <v>3</v>
      </c>
      <c r="EY107" s="2">
        <v>3</v>
      </c>
      <c r="EZ107" s="2">
        <v>4</v>
      </c>
      <c r="FA107" s="385">
        <v>4</v>
      </c>
      <c r="FB107" s="385">
        <v>4</v>
      </c>
      <c r="FC107" s="385">
        <v>3</v>
      </c>
      <c r="FD107" s="385">
        <v>4</v>
      </c>
      <c r="FE107" s="385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385"/>
      <c r="GK107" s="385"/>
      <c r="GL107" s="385"/>
      <c r="GM107" s="2"/>
      <c r="GN107" s="2"/>
      <c r="GO107" s="2"/>
      <c r="GP107" s="2"/>
      <c r="GQ107" s="2"/>
      <c r="GR107" s="2"/>
    </row>
    <row r="108" spans="1:200" x14ac:dyDescent="0.25">
      <c r="A108" s="2" t="s">
        <v>1029</v>
      </c>
      <c r="B108" s="2" t="s">
        <v>767</v>
      </c>
      <c r="C108" s="2" t="s">
        <v>1029</v>
      </c>
      <c r="D108" s="2">
        <v>2</v>
      </c>
      <c r="E108" s="2">
        <v>1</v>
      </c>
      <c r="F108" s="2">
        <v>13</v>
      </c>
      <c r="G108" s="2">
        <v>4</v>
      </c>
      <c r="H108" s="2">
        <v>3</v>
      </c>
      <c r="I108" s="2">
        <v>17</v>
      </c>
      <c r="J108" s="2">
        <v>67</v>
      </c>
      <c r="K108" s="2">
        <v>63</v>
      </c>
      <c r="L108" s="2">
        <v>0</v>
      </c>
      <c r="M108" s="2">
        <v>0</v>
      </c>
      <c r="N108" s="2">
        <v>999</v>
      </c>
      <c r="O108" s="2">
        <v>130</v>
      </c>
      <c r="P108" s="2">
        <v>130</v>
      </c>
      <c r="Q108" s="2">
        <v>130</v>
      </c>
      <c r="R108" s="2">
        <v>1129</v>
      </c>
      <c r="S108" s="2">
        <v>67</v>
      </c>
      <c r="T108" s="2">
        <v>0.25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1</v>
      </c>
      <c r="Z108" s="2">
        <v>9</v>
      </c>
      <c r="AA108" s="2">
        <v>2</v>
      </c>
      <c r="AB108" s="2">
        <v>8</v>
      </c>
      <c r="AG108" s="2">
        <v>32</v>
      </c>
      <c r="AH108" s="2">
        <v>30</v>
      </c>
      <c r="AI108" s="2">
        <v>30</v>
      </c>
      <c r="AJ108" s="2">
        <v>30</v>
      </c>
      <c r="AK108" s="2">
        <v>30</v>
      </c>
      <c r="AL108" s="2">
        <v>32</v>
      </c>
      <c r="AM108" s="2">
        <v>771.72500000000002</v>
      </c>
      <c r="AN108" s="2">
        <v>891.976</v>
      </c>
      <c r="AO108" s="2">
        <v>-120.25099999999998</v>
      </c>
      <c r="AP108" s="2">
        <v>130.00108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1</v>
      </c>
      <c r="CF108" s="65">
        <v>0</v>
      </c>
      <c r="CG108" s="65">
        <v>1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7</v>
      </c>
      <c r="CT108" s="65">
        <v>11</v>
      </c>
      <c r="CU108" s="65">
        <v>11</v>
      </c>
      <c r="CV108" s="65">
        <v>7</v>
      </c>
      <c r="CW108" s="65">
        <v>7</v>
      </c>
      <c r="CX108" s="65">
        <v>10</v>
      </c>
      <c r="CY108" s="65">
        <v>8</v>
      </c>
      <c r="CZ108" s="65">
        <v>9</v>
      </c>
      <c r="DA108" s="65">
        <v>10</v>
      </c>
      <c r="DB108" s="65">
        <v>8</v>
      </c>
      <c r="DC108" s="65">
        <v>6</v>
      </c>
      <c r="DD108" s="65">
        <v>9</v>
      </c>
      <c r="DE108" s="65">
        <v>8</v>
      </c>
      <c r="DF108" s="65">
        <v>6</v>
      </c>
      <c r="DG108" s="65">
        <v>8</v>
      </c>
      <c r="DH108" s="65">
        <v>5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766</v>
      </c>
      <c r="DU108" s="2" t="s">
        <v>453</v>
      </c>
      <c r="DV108" s="385">
        <v>30</v>
      </c>
      <c r="DW108" s="2" t="s">
        <v>1</v>
      </c>
      <c r="DX108" s="2">
        <v>30</v>
      </c>
      <c r="DY108" s="2">
        <v>5</v>
      </c>
      <c r="DZ108" s="2">
        <v>5</v>
      </c>
      <c r="EA108" s="2">
        <v>6</v>
      </c>
      <c r="EB108" s="2">
        <v>3</v>
      </c>
      <c r="EC108" s="2">
        <v>4</v>
      </c>
      <c r="ED108" s="2">
        <v>5</v>
      </c>
      <c r="EE108" s="2">
        <v>3</v>
      </c>
      <c r="EF108" s="2">
        <v>6</v>
      </c>
      <c r="EG108" s="2">
        <v>5</v>
      </c>
      <c r="EH108" s="2">
        <v>4</v>
      </c>
      <c r="EI108" s="2">
        <v>3</v>
      </c>
      <c r="EJ108" s="2">
        <v>4</v>
      </c>
      <c r="EK108" s="2">
        <v>4</v>
      </c>
      <c r="EL108" s="2">
        <v>4</v>
      </c>
      <c r="EM108" s="2">
        <v>4</v>
      </c>
      <c r="EN108" s="2">
        <v>2</v>
      </c>
      <c r="EO108" s="2">
        <v>2</v>
      </c>
      <c r="EP108" s="2">
        <v>6</v>
      </c>
      <c r="EQ108" s="2">
        <v>5</v>
      </c>
      <c r="ER108" s="2">
        <v>4</v>
      </c>
      <c r="ES108" s="2">
        <v>3</v>
      </c>
      <c r="ET108" s="2">
        <v>5</v>
      </c>
      <c r="EU108" s="2">
        <v>5</v>
      </c>
      <c r="EV108" s="2">
        <v>3</v>
      </c>
      <c r="EW108" s="2">
        <v>5</v>
      </c>
      <c r="EX108" s="2">
        <v>4</v>
      </c>
      <c r="EY108" s="2">
        <v>3</v>
      </c>
      <c r="EZ108" s="2">
        <v>5</v>
      </c>
      <c r="FA108" s="385">
        <v>4</v>
      </c>
      <c r="FB108" s="385">
        <v>2</v>
      </c>
      <c r="FC108" s="385">
        <v>4</v>
      </c>
      <c r="FD108" s="385">
        <v>3</v>
      </c>
      <c r="FE108" s="385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385"/>
      <c r="GK108" s="385"/>
      <c r="GL108" s="385"/>
      <c r="GM108" s="2"/>
      <c r="GN108" s="2"/>
      <c r="GO108" s="2"/>
      <c r="GP108" s="2"/>
      <c r="GQ108" s="2"/>
      <c r="GR108" s="2"/>
    </row>
    <row r="109" spans="1:200" x14ac:dyDescent="0.25">
      <c r="A109" s="2" t="s">
        <v>1030</v>
      </c>
      <c r="B109" s="2" t="s">
        <v>331</v>
      </c>
      <c r="C109" s="2" t="s">
        <v>1030</v>
      </c>
      <c r="D109" s="2">
        <v>3</v>
      </c>
      <c r="E109" s="2">
        <v>0</v>
      </c>
      <c r="F109" s="2">
        <v>12</v>
      </c>
      <c r="G109" s="2">
        <v>5</v>
      </c>
      <c r="H109" s="2">
        <v>3</v>
      </c>
      <c r="I109" s="2">
        <v>17</v>
      </c>
      <c r="J109" s="2">
        <v>66</v>
      </c>
      <c r="K109" s="2">
        <v>67</v>
      </c>
      <c r="L109" s="2">
        <v>0</v>
      </c>
      <c r="M109" s="2">
        <v>0</v>
      </c>
      <c r="N109" s="2">
        <v>999</v>
      </c>
      <c r="O109" s="2">
        <v>133</v>
      </c>
      <c r="P109" s="2">
        <v>133</v>
      </c>
      <c r="Q109" s="2">
        <v>133</v>
      </c>
      <c r="R109" s="2">
        <v>1132</v>
      </c>
      <c r="S109" s="2">
        <v>66</v>
      </c>
      <c r="T109" s="2">
        <v>-6.25E-2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1</v>
      </c>
      <c r="Z109" s="2">
        <v>8</v>
      </c>
      <c r="AA109" s="2">
        <v>2</v>
      </c>
      <c r="AB109" s="2">
        <v>9</v>
      </c>
      <c r="AG109" s="2">
        <v>1</v>
      </c>
      <c r="AH109" s="2">
        <v>3</v>
      </c>
      <c r="AI109" s="2">
        <v>3</v>
      </c>
      <c r="AJ109" s="2">
        <v>3</v>
      </c>
      <c r="AK109" s="2">
        <v>3</v>
      </c>
      <c r="AL109" s="2">
        <v>33</v>
      </c>
      <c r="AM109" s="2">
        <v>743.35199999999998</v>
      </c>
      <c r="AN109" s="2">
        <v>0</v>
      </c>
      <c r="AP109" s="2">
        <v>133.00109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1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1</v>
      </c>
      <c r="BZ109" s="65">
        <v>0</v>
      </c>
      <c r="CA109" s="65">
        <v>0</v>
      </c>
      <c r="CB109" s="65">
        <v>0</v>
      </c>
      <c r="CC109" s="65">
        <v>0</v>
      </c>
      <c r="CD109" s="65">
        <v>1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8</v>
      </c>
      <c r="CT109" s="65">
        <v>8</v>
      </c>
      <c r="CU109" s="65">
        <v>10</v>
      </c>
      <c r="CV109" s="65">
        <v>7</v>
      </c>
      <c r="CW109" s="65">
        <v>8</v>
      </c>
      <c r="CX109" s="65">
        <v>15</v>
      </c>
      <c r="CY109" s="65">
        <v>8</v>
      </c>
      <c r="CZ109" s="65">
        <v>5</v>
      </c>
      <c r="DA109" s="65">
        <v>8</v>
      </c>
      <c r="DB109" s="65">
        <v>8</v>
      </c>
      <c r="DC109" s="65">
        <v>6</v>
      </c>
      <c r="DD109" s="65">
        <v>11</v>
      </c>
      <c r="DE109" s="65">
        <v>7</v>
      </c>
      <c r="DF109" s="65">
        <v>7</v>
      </c>
      <c r="DG109" s="65">
        <v>9</v>
      </c>
      <c r="DH109" s="65">
        <v>8</v>
      </c>
      <c r="DI109" s="65">
        <v>0</v>
      </c>
      <c r="DJ109" s="65">
        <v>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776</v>
      </c>
      <c r="DU109" s="2" t="s">
        <v>455</v>
      </c>
      <c r="DV109" s="385">
        <v>3</v>
      </c>
      <c r="DW109" s="2" t="s">
        <v>14</v>
      </c>
      <c r="DX109" s="2">
        <v>3</v>
      </c>
      <c r="DY109" s="2">
        <v>4</v>
      </c>
      <c r="DZ109" s="2">
        <v>5</v>
      </c>
      <c r="EA109" s="2">
        <v>5</v>
      </c>
      <c r="EB109" s="2">
        <v>4</v>
      </c>
      <c r="EC109" s="2">
        <v>3</v>
      </c>
      <c r="ED109" s="2">
        <v>8</v>
      </c>
      <c r="EE109" s="2">
        <v>4</v>
      </c>
      <c r="EF109" s="2">
        <v>2</v>
      </c>
      <c r="EG109" s="2">
        <v>4</v>
      </c>
      <c r="EH109" s="2">
        <v>4</v>
      </c>
      <c r="EI109" s="2">
        <v>3</v>
      </c>
      <c r="EJ109" s="2">
        <v>4</v>
      </c>
      <c r="EK109" s="2">
        <v>4</v>
      </c>
      <c r="EL109" s="2">
        <v>3</v>
      </c>
      <c r="EM109" s="2">
        <v>5</v>
      </c>
      <c r="EN109" s="2">
        <v>4</v>
      </c>
      <c r="EO109" s="2">
        <v>4</v>
      </c>
      <c r="EP109" s="2">
        <v>3</v>
      </c>
      <c r="EQ109" s="2">
        <v>5</v>
      </c>
      <c r="ER109" s="2">
        <v>3</v>
      </c>
      <c r="ES109" s="2">
        <v>5</v>
      </c>
      <c r="ET109" s="2">
        <v>7</v>
      </c>
      <c r="EU109" s="2">
        <v>4</v>
      </c>
      <c r="EV109" s="2">
        <v>3</v>
      </c>
      <c r="EW109" s="2">
        <v>4</v>
      </c>
      <c r="EX109" s="2">
        <v>4</v>
      </c>
      <c r="EY109" s="2">
        <v>3</v>
      </c>
      <c r="EZ109" s="2">
        <v>7</v>
      </c>
      <c r="FA109" s="385">
        <v>3</v>
      </c>
      <c r="FB109" s="385">
        <v>4</v>
      </c>
      <c r="FC109" s="385">
        <v>4</v>
      </c>
      <c r="FD109" s="385">
        <v>4</v>
      </c>
      <c r="FE109" s="385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385"/>
      <c r="GK109" s="385"/>
      <c r="GL109" s="385"/>
      <c r="GM109" s="2"/>
      <c r="GN109" s="2"/>
      <c r="GO109" s="2"/>
      <c r="GP109" s="2"/>
      <c r="GQ109" s="2"/>
      <c r="GR109" s="2"/>
    </row>
    <row r="110" spans="1:200" x14ac:dyDescent="0.25">
      <c r="A110" s="2" t="s">
        <v>1031</v>
      </c>
      <c r="B110" s="2" t="s">
        <v>400</v>
      </c>
      <c r="C110" s="2" t="s">
        <v>1016</v>
      </c>
      <c r="D110" s="2">
        <v>3</v>
      </c>
      <c r="E110" s="2">
        <v>0</v>
      </c>
      <c r="F110" s="2">
        <v>5</v>
      </c>
      <c r="G110" s="2">
        <v>0</v>
      </c>
      <c r="H110" s="2">
        <v>3</v>
      </c>
      <c r="I110" s="2">
        <v>5</v>
      </c>
      <c r="J110" s="2">
        <v>59</v>
      </c>
      <c r="K110" s="2">
        <v>55</v>
      </c>
      <c r="L110" s="2">
        <v>0</v>
      </c>
      <c r="M110" s="2">
        <v>0</v>
      </c>
      <c r="N110" s="2">
        <v>999</v>
      </c>
      <c r="O110" s="2">
        <v>114</v>
      </c>
      <c r="P110" s="2">
        <v>114</v>
      </c>
      <c r="Q110" s="2">
        <v>114</v>
      </c>
      <c r="R110" s="2">
        <v>1113</v>
      </c>
      <c r="S110" s="2">
        <v>59</v>
      </c>
      <c r="T110" s="2">
        <v>0.25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1</v>
      </c>
      <c r="Z110" s="2">
        <v>4</v>
      </c>
      <c r="AA110" s="2">
        <v>2</v>
      </c>
      <c r="AB110" s="2">
        <v>1</v>
      </c>
      <c r="AG110" s="2">
        <v>16</v>
      </c>
      <c r="AH110" s="2">
        <v>13</v>
      </c>
      <c r="AI110" s="2">
        <v>13</v>
      </c>
      <c r="AJ110" s="2">
        <v>13</v>
      </c>
      <c r="AK110" s="2">
        <v>13</v>
      </c>
      <c r="AL110" s="2">
        <v>14</v>
      </c>
      <c r="AM110" s="2">
        <v>923.04300000000001</v>
      </c>
      <c r="AN110" s="2">
        <v>0</v>
      </c>
      <c r="AP110" s="2">
        <v>114.00109999999999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1</v>
      </c>
      <c r="BT110" s="65">
        <v>0</v>
      </c>
      <c r="BU110" s="65">
        <v>0</v>
      </c>
      <c r="BV110" s="65">
        <v>1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1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8</v>
      </c>
      <c r="CT110" s="65">
        <v>7</v>
      </c>
      <c r="CU110" s="65">
        <v>9</v>
      </c>
      <c r="CV110" s="65">
        <v>6</v>
      </c>
      <c r="CW110" s="65">
        <v>6</v>
      </c>
      <c r="CX110" s="65">
        <v>11</v>
      </c>
      <c r="CY110" s="65">
        <v>6</v>
      </c>
      <c r="CZ110" s="65">
        <v>6</v>
      </c>
      <c r="DA110" s="65">
        <v>8</v>
      </c>
      <c r="DB110" s="65">
        <v>7</v>
      </c>
      <c r="DC110" s="65">
        <v>6</v>
      </c>
      <c r="DD110" s="65">
        <v>8</v>
      </c>
      <c r="DE110" s="65">
        <v>8</v>
      </c>
      <c r="DF110" s="65">
        <v>7</v>
      </c>
      <c r="DG110" s="65">
        <v>6</v>
      </c>
      <c r="DH110" s="65">
        <v>5</v>
      </c>
      <c r="DI110" s="65">
        <v>0</v>
      </c>
      <c r="DJ110" s="65">
        <v>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85" t="s">
        <v>765</v>
      </c>
      <c r="DU110" s="385" t="s">
        <v>453</v>
      </c>
      <c r="DV110" s="385">
        <v>13</v>
      </c>
      <c r="DW110" s="385" t="s">
        <v>1</v>
      </c>
      <c r="DX110" s="385">
        <v>13</v>
      </c>
      <c r="DY110" s="385">
        <v>4</v>
      </c>
      <c r="DZ110" s="385">
        <v>3</v>
      </c>
      <c r="EA110" s="385">
        <v>5</v>
      </c>
      <c r="EB110" s="385">
        <v>3</v>
      </c>
      <c r="EC110" s="385">
        <v>4</v>
      </c>
      <c r="ED110" s="385">
        <v>6</v>
      </c>
      <c r="EE110" s="385">
        <v>3</v>
      </c>
      <c r="EF110" s="385">
        <v>3</v>
      </c>
      <c r="EG110" s="385">
        <v>4</v>
      </c>
      <c r="EH110" s="385">
        <v>4</v>
      </c>
      <c r="EI110" s="385">
        <v>3</v>
      </c>
      <c r="EJ110" s="385">
        <v>4</v>
      </c>
      <c r="EK110" s="385">
        <v>4</v>
      </c>
      <c r="EL110" s="385">
        <v>3</v>
      </c>
      <c r="EM110" s="385">
        <v>3</v>
      </c>
      <c r="EN110" s="385">
        <v>3</v>
      </c>
      <c r="EO110" s="385">
        <v>4</v>
      </c>
      <c r="EP110" s="385">
        <v>4</v>
      </c>
      <c r="EQ110" s="385">
        <v>4</v>
      </c>
      <c r="ER110" s="385">
        <v>3</v>
      </c>
      <c r="ES110" s="385">
        <v>2</v>
      </c>
      <c r="ET110" s="385">
        <v>5</v>
      </c>
      <c r="EU110" s="385">
        <v>3</v>
      </c>
      <c r="EV110" s="385">
        <v>3</v>
      </c>
      <c r="EW110" s="385">
        <v>4</v>
      </c>
      <c r="EX110" s="385">
        <v>3</v>
      </c>
      <c r="EY110" s="385">
        <v>3</v>
      </c>
      <c r="EZ110" s="385">
        <v>4</v>
      </c>
      <c r="FA110" s="385">
        <v>4</v>
      </c>
      <c r="FB110" s="385">
        <v>4</v>
      </c>
      <c r="FC110" s="385">
        <v>3</v>
      </c>
      <c r="FD110" s="385">
        <v>2</v>
      </c>
      <c r="FE110" s="385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385"/>
      <c r="GK110" s="385"/>
      <c r="GL110" s="385"/>
      <c r="GM110" s="2"/>
      <c r="GN110" s="2"/>
      <c r="GO110" s="2"/>
      <c r="GP110" s="2"/>
      <c r="GQ110" s="2"/>
      <c r="GR110" s="2"/>
    </row>
    <row r="111" spans="1:200" x14ac:dyDescent="0.25">
      <c r="A111" s="2" t="s">
        <v>1032</v>
      </c>
      <c r="B111" s="2" t="s">
        <v>775</v>
      </c>
      <c r="C111" s="2" t="s">
        <v>1021</v>
      </c>
      <c r="D111" s="2">
        <v>9</v>
      </c>
      <c r="E111" s="2">
        <v>0</v>
      </c>
      <c r="F111" s="2">
        <v>3</v>
      </c>
      <c r="G111" s="2">
        <v>2</v>
      </c>
      <c r="H111" s="2">
        <v>9</v>
      </c>
      <c r="I111" s="2">
        <v>5</v>
      </c>
      <c r="J111" s="2">
        <v>54</v>
      </c>
      <c r="K111" s="2">
        <v>56</v>
      </c>
      <c r="L111" s="2">
        <v>0</v>
      </c>
      <c r="M111" s="2">
        <v>0</v>
      </c>
      <c r="N111" s="2">
        <v>999</v>
      </c>
      <c r="O111" s="2">
        <v>110</v>
      </c>
      <c r="P111" s="2">
        <v>110</v>
      </c>
      <c r="Q111" s="2">
        <v>110</v>
      </c>
      <c r="R111" s="2">
        <v>1109</v>
      </c>
      <c r="S111" s="2">
        <v>54</v>
      </c>
      <c r="T111" s="2">
        <v>-0.125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5</v>
      </c>
      <c r="Z111" s="2">
        <v>2</v>
      </c>
      <c r="AA111" s="2">
        <v>4</v>
      </c>
      <c r="AB111" s="2">
        <v>3</v>
      </c>
      <c r="AG111" s="2">
        <v>9</v>
      </c>
      <c r="AH111" s="2">
        <v>7</v>
      </c>
      <c r="AI111" s="2">
        <v>7</v>
      </c>
      <c r="AJ111" s="2">
        <v>7</v>
      </c>
      <c r="AK111" s="2">
        <v>7</v>
      </c>
      <c r="AL111" s="2">
        <v>9</v>
      </c>
      <c r="AM111" s="2">
        <v>960.87300000000005</v>
      </c>
      <c r="AN111" s="2">
        <v>974.69899999999996</v>
      </c>
      <c r="AO111" s="2">
        <v>-13.825999999999908</v>
      </c>
      <c r="AP111" s="2">
        <v>110.00111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1</v>
      </c>
      <c r="BS111" s="65">
        <v>1</v>
      </c>
      <c r="BT111" s="65">
        <v>0</v>
      </c>
      <c r="BU111" s="65">
        <v>1</v>
      </c>
      <c r="BV111" s="65">
        <v>1</v>
      </c>
      <c r="BW111" s="65">
        <v>1</v>
      </c>
      <c r="BX111" s="65">
        <v>0</v>
      </c>
      <c r="BY111" s="65">
        <v>0</v>
      </c>
      <c r="BZ111" s="65">
        <v>1</v>
      </c>
      <c r="CA111" s="65">
        <v>0</v>
      </c>
      <c r="CB111" s="65">
        <v>0</v>
      </c>
      <c r="CC111" s="65">
        <v>0</v>
      </c>
      <c r="CD111" s="65">
        <v>0</v>
      </c>
      <c r="CE111" s="65">
        <v>2</v>
      </c>
      <c r="CF111" s="65">
        <v>0</v>
      </c>
      <c r="CG111" s="65">
        <v>1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7</v>
      </c>
      <c r="CT111" s="65">
        <v>8</v>
      </c>
      <c r="CU111" s="65">
        <v>9</v>
      </c>
      <c r="CV111" s="65">
        <v>5</v>
      </c>
      <c r="CW111" s="65">
        <v>5</v>
      </c>
      <c r="CX111" s="65">
        <v>9</v>
      </c>
      <c r="CY111" s="65">
        <v>6</v>
      </c>
      <c r="CZ111" s="65">
        <v>8</v>
      </c>
      <c r="DA111" s="65">
        <v>7</v>
      </c>
      <c r="DB111" s="65">
        <v>6</v>
      </c>
      <c r="DC111" s="65">
        <v>6</v>
      </c>
      <c r="DD111" s="65">
        <v>10</v>
      </c>
      <c r="DE111" s="65">
        <v>8</v>
      </c>
      <c r="DF111" s="65">
        <v>4</v>
      </c>
      <c r="DG111" s="65">
        <v>6</v>
      </c>
      <c r="DH111" s="65">
        <v>6</v>
      </c>
      <c r="DI111" s="65">
        <v>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392</v>
      </c>
      <c r="DU111" s="2" t="s">
        <v>453</v>
      </c>
      <c r="DV111" s="385">
        <v>7</v>
      </c>
      <c r="DW111" s="2" t="s">
        <v>1</v>
      </c>
      <c r="DX111" s="2">
        <v>7</v>
      </c>
      <c r="DY111" s="2">
        <v>3</v>
      </c>
      <c r="DZ111" s="2">
        <v>3</v>
      </c>
      <c r="EA111" s="2">
        <v>5</v>
      </c>
      <c r="EB111" s="2">
        <v>3</v>
      </c>
      <c r="EC111" s="2">
        <v>3</v>
      </c>
      <c r="ED111" s="2">
        <v>5</v>
      </c>
      <c r="EE111" s="2">
        <v>3</v>
      </c>
      <c r="EF111" s="2">
        <v>5</v>
      </c>
      <c r="EG111" s="2">
        <v>3</v>
      </c>
      <c r="EH111" s="2">
        <v>3</v>
      </c>
      <c r="EI111" s="2">
        <v>3</v>
      </c>
      <c r="EJ111" s="2">
        <v>4</v>
      </c>
      <c r="EK111" s="2">
        <v>4</v>
      </c>
      <c r="EL111" s="2">
        <v>2</v>
      </c>
      <c r="EM111" s="2">
        <v>3</v>
      </c>
      <c r="EN111" s="2">
        <v>2</v>
      </c>
      <c r="EO111" s="2">
        <v>4</v>
      </c>
      <c r="EP111" s="2">
        <v>5</v>
      </c>
      <c r="EQ111" s="2">
        <v>4</v>
      </c>
      <c r="ER111" s="2">
        <v>2</v>
      </c>
      <c r="ES111" s="2">
        <v>2</v>
      </c>
      <c r="ET111" s="2">
        <v>4</v>
      </c>
      <c r="EU111" s="2">
        <v>3</v>
      </c>
      <c r="EV111" s="2">
        <v>3</v>
      </c>
      <c r="EW111" s="2">
        <v>4</v>
      </c>
      <c r="EX111" s="2">
        <v>3</v>
      </c>
      <c r="EY111" s="2">
        <v>3</v>
      </c>
      <c r="EZ111" s="2">
        <v>6</v>
      </c>
      <c r="FA111" s="385">
        <v>4</v>
      </c>
      <c r="FB111" s="385">
        <v>2</v>
      </c>
      <c r="FC111" s="385">
        <v>3</v>
      </c>
      <c r="FD111" s="385">
        <v>4</v>
      </c>
      <c r="FE111" s="385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385"/>
      <c r="GK111" s="385"/>
      <c r="GL111" s="385"/>
      <c r="GM111" s="2"/>
      <c r="GN111" s="2"/>
      <c r="GO111" s="2"/>
      <c r="GP111" s="2"/>
      <c r="GQ111" s="2"/>
      <c r="GR111" s="2"/>
    </row>
    <row r="112" spans="1:200" x14ac:dyDescent="0.25">
      <c r="A112" s="2" t="s">
        <v>1033</v>
      </c>
      <c r="B112" s="2" t="s">
        <v>591</v>
      </c>
      <c r="C112" s="2" t="s">
        <v>1033</v>
      </c>
      <c r="D112" s="2">
        <v>3</v>
      </c>
      <c r="E112" s="2">
        <v>0</v>
      </c>
      <c r="F112" s="2">
        <v>9</v>
      </c>
      <c r="G112" s="2">
        <v>2</v>
      </c>
      <c r="H112" s="2">
        <v>3</v>
      </c>
      <c r="I112" s="2">
        <v>11</v>
      </c>
      <c r="J112" s="2">
        <v>62</v>
      </c>
      <c r="K112" s="2">
        <v>60</v>
      </c>
      <c r="L112" s="2">
        <v>0</v>
      </c>
      <c r="M112" s="2">
        <v>0</v>
      </c>
      <c r="N112" s="2">
        <v>999</v>
      </c>
      <c r="O112" s="2">
        <v>122</v>
      </c>
      <c r="P112" s="2">
        <v>122</v>
      </c>
      <c r="Q112" s="2">
        <v>122</v>
      </c>
      <c r="R112" s="2">
        <v>1121</v>
      </c>
      <c r="S112" s="2">
        <v>62</v>
      </c>
      <c r="T112" s="2">
        <v>0.125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1</v>
      </c>
      <c r="Z112" s="2">
        <v>5</v>
      </c>
      <c r="AA112" s="2">
        <v>2</v>
      </c>
      <c r="AB112" s="2">
        <v>6</v>
      </c>
      <c r="AG112" s="2">
        <v>19</v>
      </c>
      <c r="AH112" s="2">
        <v>20</v>
      </c>
      <c r="AI112" s="2">
        <v>20</v>
      </c>
      <c r="AJ112" s="2">
        <v>20</v>
      </c>
      <c r="AK112" s="2">
        <v>20</v>
      </c>
      <c r="AL112" s="2">
        <v>20</v>
      </c>
      <c r="AM112" s="2">
        <v>847.38400000000001</v>
      </c>
      <c r="AN112" s="2">
        <v>822.93700000000001</v>
      </c>
      <c r="AO112" s="2">
        <v>24.447000000000003</v>
      </c>
      <c r="AP112" s="2">
        <v>122.00112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1</v>
      </c>
      <c r="BZ112" s="65">
        <v>0</v>
      </c>
      <c r="CA112" s="65">
        <v>0</v>
      </c>
      <c r="CB112" s="65">
        <v>0</v>
      </c>
      <c r="CC112" s="65">
        <v>0</v>
      </c>
      <c r="CD112" s="65">
        <v>0</v>
      </c>
      <c r="CE112" s="65">
        <v>1</v>
      </c>
      <c r="CF112" s="65">
        <v>0</v>
      </c>
      <c r="CG112" s="65">
        <v>1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8</v>
      </c>
      <c r="CT112" s="65">
        <v>9</v>
      </c>
      <c r="CU112" s="65">
        <v>9</v>
      </c>
      <c r="CV112" s="65">
        <v>6</v>
      </c>
      <c r="CW112" s="65">
        <v>7</v>
      </c>
      <c r="CX112" s="65">
        <v>10</v>
      </c>
      <c r="CY112" s="65">
        <v>6</v>
      </c>
      <c r="CZ112" s="65">
        <v>5</v>
      </c>
      <c r="DA112" s="65">
        <v>8</v>
      </c>
      <c r="DB112" s="65">
        <v>8</v>
      </c>
      <c r="DC112" s="65">
        <v>7</v>
      </c>
      <c r="DD112" s="65">
        <v>10</v>
      </c>
      <c r="DE112" s="65">
        <v>9</v>
      </c>
      <c r="DF112" s="65">
        <v>6</v>
      </c>
      <c r="DG112" s="65">
        <v>8</v>
      </c>
      <c r="DH112" s="65">
        <v>6</v>
      </c>
      <c r="DI112" s="65">
        <v>0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394</v>
      </c>
      <c r="DU112" s="2" t="s">
        <v>453</v>
      </c>
      <c r="DV112" s="385">
        <v>20</v>
      </c>
      <c r="DW112" s="2" t="s">
        <v>1</v>
      </c>
      <c r="DX112" s="2">
        <v>20</v>
      </c>
      <c r="DY112" s="2">
        <v>4</v>
      </c>
      <c r="DZ112" s="2">
        <v>5</v>
      </c>
      <c r="EA112" s="2">
        <v>4</v>
      </c>
      <c r="EB112" s="2">
        <v>3</v>
      </c>
      <c r="EC112" s="2">
        <v>3</v>
      </c>
      <c r="ED112" s="2">
        <v>5</v>
      </c>
      <c r="EE112" s="2">
        <v>3</v>
      </c>
      <c r="EF112" s="2">
        <v>3</v>
      </c>
      <c r="EG112" s="2">
        <v>4</v>
      </c>
      <c r="EH112" s="2">
        <v>5</v>
      </c>
      <c r="EI112" s="2">
        <v>3</v>
      </c>
      <c r="EJ112" s="2">
        <v>6</v>
      </c>
      <c r="EK112" s="2">
        <v>4</v>
      </c>
      <c r="EL112" s="2">
        <v>2</v>
      </c>
      <c r="EM112" s="2">
        <v>4</v>
      </c>
      <c r="EN112" s="2">
        <v>4</v>
      </c>
      <c r="EO112" s="2">
        <v>4</v>
      </c>
      <c r="EP112" s="2">
        <v>4</v>
      </c>
      <c r="EQ112" s="2">
        <v>5</v>
      </c>
      <c r="ER112" s="2">
        <v>3</v>
      </c>
      <c r="ES112" s="2">
        <v>4</v>
      </c>
      <c r="ET112" s="2">
        <v>5</v>
      </c>
      <c r="EU112" s="2">
        <v>3</v>
      </c>
      <c r="EV112" s="2">
        <v>2</v>
      </c>
      <c r="EW112" s="2">
        <v>4</v>
      </c>
      <c r="EX112" s="2">
        <v>3</v>
      </c>
      <c r="EY112" s="2">
        <v>4</v>
      </c>
      <c r="EZ112" s="2">
        <v>4</v>
      </c>
      <c r="FA112" s="385">
        <v>5</v>
      </c>
      <c r="FB112" s="385">
        <v>4</v>
      </c>
      <c r="FC112" s="385">
        <v>4</v>
      </c>
      <c r="FD112" s="385">
        <v>2</v>
      </c>
      <c r="FE112" s="385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385"/>
      <c r="GK112" s="385"/>
      <c r="GL112" s="385"/>
      <c r="GM112" s="2"/>
      <c r="GN112" s="2"/>
      <c r="GO112" s="2"/>
      <c r="GP112" s="2"/>
      <c r="GQ112" s="2"/>
      <c r="GR112" s="2"/>
    </row>
    <row r="113" spans="1:200" x14ac:dyDescent="0.25">
      <c r="A113" s="2" t="s">
        <v>1034</v>
      </c>
      <c r="B113" s="2" t="s">
        <v>206</v>
      </c>
      <c r="C113" s="2" t="s">
        <v>1034</v>
      </c>
      <c r="D113" s="2">
        <v>3</v>
      </c>
      <c r="E113" s="2">
        <v>0</v>
      </c>
      <c r="F113" s="2">
        <v>6</v>
      </c>
      <c r="G113" s="2">
        <v>3</v>
      </c>
      <c r="H113" s="2">
        <v>3</v>
      </c>
      <c r="I113" s="2">
        <v>9</v>
      </c>
      <c r="J113" s="2">
        <v>60</v>
      </c>
      <c r="K113" s="2">
        <v>61</v>
      </c>
      <c r="L113" s="2">
        <v>0</v>
      </c>
      <c r="M113" s="2">
        <v>0</v>
      </c>
      <c r="N113" s="2">
        <v>999</v>
      </c>
      <c r="O113" s="2">
        <v>121</v>
      </c>
      <c r="P113" s="2">
        <v>121</v>
      </c>
      <c r="Q113" s="2">
        <v>121</v>
      </c>
      <c r="R113" s="2">
        <v>1120</v>
      </c>
      <c r="S113" s="2">
        <v>60</v>
      </c>
      <c r="T113" s="2">
        <v>-6.25E-2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2</v>
      </c>
      <c r="Z113" s="2">
        <v>5</v>
      </c>
      <c r="AA113" s="2">
        <v>1</v>
      </c>
      <c r="AB113" s="2">
        <v>4</v>
      </c>
      <c r="AG113" s="2">
        <v>17</v>
      </c>
      <c r="AH113" s="2">
        <v>18</v>
      </c>
      <c r="AI113" s="2">
        <v>18</v>
      </c>
      <c r="AJ113" s="2">
        <v>18</v>
      </c>
      <c r="AK113" s="2">
        <v>18</v>
      </c>
      <c r="AL113" s="2">
        <v>18</v>
      </c>
      <c r="AM113" s="2">
        <v>856.84100000000001</v>
      </c>
      <c r="AN113" s="2">
        <v>815.03</v>
      </c>
      <c r="AO113" s="2">
        <v>41.811000000000035</v>
      </c>
      <c r="AP113" s="2">
        <v>121.00113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1</v>
      </c>
      <c r="BW113" s="65">
        <v>0</v>
      </c>
      <c r="BX113" s="65">
        <v>0</v>
      </c>
      <c r="BY113" s="65">
        <v>1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1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10</v>
      </c>
      <c r="CT113" s="65">
        <v>11</v>
      </c>
      <c r="CU113" s="65">
        <v>8</v>
      </c>
      <c r="CV113" s="65">
        <v>6</v>
      </c>
      <c r="CW113" s="65">
        <v>5</v>
      </c>
      <c r="CX113" s="65">
        <v>10</v>
      </c>
      <c r="CY113" s="65">
        <v>6</v>
      </c>
      <c r="CZ113" s="65">
        <v>5</v>
      </c>
      <c r="DA113" s="65">
        <v>9</v>
      </c>
      <c r="DB113" s="65">
        <v>7</v>
      </c>
      <c r="DC113" s="65">
        <v>6</v>
      </c>
      <c r="DD113" s="65">
        <v>8</v>
      </c>
      <c r="DE113" s="65">
        <v>9</v>
      </c>
      <c r="DF113" s="65">
        <v>6</v>
      </c>
      <c r="DG113" s="65">
        <v>8</v>
      </c>
      <c r="DH113" s="65">
        <v>7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500</v>
      </c>
      <c r="DU113" s="2" t="s">
        <v>453</v>
      </c>
      <c r="DV113" s="385">
        <v>18</v>
      </c>
      <c r="DW113" s="2" t="s">
        <v>1</v>
      </c>
      <c r="DX113" s="2">
        <v>18</v>
      </c>
      <c r="DY113" s="2">
        <v>6</v>
      </c>
      <c r="DZ113" s="2">
        <v>5</v>
      </c>
      <c r="EA113" s="2">
        <v>4</v>
      </c>
      <c r="EB113" s="2">
        <v>3</v>
      </c>
      <c r="EC113" s="2">
        <v>2</v>
      </c>
      <c r="ED113" s="2">
        <v>5</v>
      </c>
      <c r="EE113" s="2">
        <v>3</v>
      </c>
      <c r="EF113" s="2">
        <v>3</v>
      </c>
      <c r="EG113" s="2">
        <v>5</v>
      </c>
      <c r="EH113" s="2">
        <v>4</v>
      </c>
      <c r="EI113" s="2">
        <v>3</v>
      </c>
      <c r="EJ113" s="2">
        <v>4</v>
      </c>
      <c r="EK113" s="2">
        <v>4</v>
      </c>
      <c r="EL113" s="2">
        <v>2</v>
      </c>
      <c r="EM113" s="2">
        <v>3</v>
      </c>
      <c r="EN113" s="2">
        <v>4</v>
      </c>
      <c r="EO113" s="2">
        <v>4</v>
      </c>
      <c r="EP113" s="2">
        <v>6</v>
      </c>
      <c r="EQ113" s="2">
        <v>4</v>
      </c>
      <c r="ER113" s="2">
        <v>3</v>
      </c>
      <c r="ES113" s="2">
        <v>3</v>
      </c>
      <c r="ET113" s="2">
        <v>5</v>
      </c>
      <c r="EU113" s="2">
        <v>3</v>
      </c>
      <c r="EV113" s="2">
        <v>2</v>
      </c>
      <c r="EW113" s="2">
        <v>4</v>
      </c>
      <c r="EX113" s="2">
        <v>3</v>
      </c>
      <c r="EY113" s="2">
        <v>3</v>
      </c>
      <c r="EZ113" s="2">
        <v>4</v>
      </c>
      <c r="FA113" s="385">
        <v>5</v>
      </c>
      <c r="FB113" s="385">
        <v>4</v>
      </c>
      <c r="FC113" s="385">
        <v>5</v>
      </c>
      <c r="FD113" s="385">
        <v>3</v>
      </c>
      <c r="FE113" s="385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385"/>
      <c r="GK113" s="385"/>
      <c r="GL113" s="385"/>
      <c r="GM113" s="2"/>
      <c r="GN113" s="2"/>
      <c r="GO113" s="2"/>
      <c r="GP113" s="2"/>
      <c r="GQ113" s="2"/>
      <c r="GR113" s="2"/>
    </row>
    <row r="114" spans="1:200" x14ac:dyDescent="0.25">
      <c r="A114" s="2" t="s">
        <v>1035</v>
      </c>
      <c r="B114" s="2" t="s">
        <v>766</v>
      </c>
      <c r="C114" s="2" t="s">
        <v>1035</v>
      </c>
      <c r="D114" s="2">
        <v>0</v>
      </c>
      <c r="E114" s="2">
        <v>0</v>
      </c>
      <c r="F114" s="2">
        <v>8</v>
      </c>
      <c r="G114" s="2">
        <v>23</v>
      </c>
      <c r="H114" s="2">
        <v>0</v>
      </c>
      <c r="I114" s="2">
        <v>31</v>
      </c>
      <c r="J114" s="2">
        <v>93</v>
      </c>
      <c r="K114" s="2">
        <v>93</v>
      </c>
      <c r="L114" s="2">
        <v>0</v>
      </c>
      <c r="M114" s="2">
        <v>0</v>
      </c>
      <c r="N114" s="2">
        <v>999</v>
      </c>
      <c r="O114" s="2">
        <v>186</v>
      </c>
      <c r="P114" s="2">
        <v>186</v>
      </c>
      <c r="Q114" s="2">
        <v>186</v>
      </c>
      <c r="R114" s="2">
        <v>1185</v>
      </c>
      <c r="S114" s="2">
        <v>93</v>
      </c>
      <c r="T114" s="2">
        <v>0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0</v>
      </c>
      <c r="Z114" s="2">
        <v>15</v>
      </c>
      <c r="AA114" s="2">
        <v>0</v>
      </c>
      <c r="AB114" s="2">
        <v>16</v>
      </c>
      <c r="AG114" s="2">
        <v>7</v>
      </c>
      <c r="AH114" s="2">
        <v>7</v>
      </c>
      <c r="AI114" s="2">
        <v>7</v>
      </c>
      <c r="AJ114" s="2">
        <v>7</v>
      </c>
      <c r="AK114" s="2">
        <v>7</v>
      </c>
      <c r="AL114" s="2">
        <v>47</v>
      </c>
      <c r="AM114" s="2">
        <v>242.11</v>
      </c>
      <c r="AN114" s="2">
        <v>0</v>
      </c>
      <c r="AP114" s="2">
        <v>186.00113999999999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19</v>
      </c>
      <c r="CT114" s="65">
        <v>12</v>
      </c>
      <c r="CU114" s="65">
        <v>14</v>
      </c>
      <c r="CV114" s="65">
        <v>9</v>
      </c>
      <c r="CW114" s="65">
        <v>9</v>
      </c>
      <c r="CX114" s="65">
        <v>17</v>
      </c>
      <c r="CY114" s="65">
        <v>9</v>
      </c>
      <c r="CZ114" s="65">
        <v>9</v>
      </c>
      <c r="DA114" s="65">
        <v>14</v>
      </c>
      <c r="DB114" s="65">
        <v>10</v>
      </c>
      <c r="DC114" s="65">
        <v>8</v>
      </c>
      <c r="DD114" s="65">
        <v>16</v>
      </c>
      <c r="DE114" s="65">
        <v>11</v>
      </c>
      <c r="DF114" s="65">
        <v>9</v>
      </c>
      <c r="DG114" s="65">
        <v>12</v>
      </c>
      <c r="DH114" s="65">
        <v>8</v>
      </c>
      <c r="DI114" s="65">
        <v>0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777</v>
      </c>
      <c r="DU114" s="2" t="s">
        <v>455</v>
      </c>
      <c r="DV114" s="385">
        <v>7</v>
      </c>
      <c r="DW114" s="2" t="s">
        <v>14</v>
      </c>
      <c r="DX114" s="2">
        <v>7</v>
      </c>
      <c r="DY114" s="2">
        <v>9</v>
      </c>
      <c r="DZ114" s="2">
        <v>6</v>
      </c>
      <c r="EA114" s="2">
        <v>8</v>
      </c>
      <c r="EB114" s="2">
        <v>5</v>
      </c>
      <c r="EC114" s="2">
        <v>5</v>
      </c>
      <c r="ED114" s="2">
        <v>10</v>
      </c>
      <c r="EE114" s="2">
        <v>5</v>
      </c>
      <c r="EF114" s="2">
        <v>5</v>
      </c>
      <c r="EG114" s="2">
        <v>6</v>
      </c>
      <c r="EH114" s="2">
        <v>5</v>
      </c>
      <c r="EI114" s="2">
        <v>3</v>
      </c>
      <c r="EJ114" s="2">
        <v>7</v>
      </c>
      <c r="EK114" s="2">
        <v>5</v>
      </c>
      <c r="EL114" s="2">
        <v>4</v>
      </c>
      <c r="EM114" s="2">
        <v>6</v>
      </c>
      <c r="EN114" s="2">
        <v>4</v>
      </c>
      <c r="EO114" s="2">
        <v>10</v>
      </c>
      <c r="EP114" s="2">
        <v>6</v>
      </c>
      <c r="EQ114" s="2">
        <v>6</v>
      </c>
      <c r="ER114" s="2">
        <v>4</v>
      </c>
      <c r="ES114" s="2">
        <v>4</v>
      </c>
      <c r="ET114" s="2">
        <v>7</v>
      </c>
      <c r="EU114" s="2">
        <v>4</v>
      </c>
      <c r="EV114" s="2">
        <v>4</v>
      </c>
      <c r="EW114" s="2">
        <v>8</v>
      </c>
      <c r="EX114" s="2">
        <v>5</v>
      </c>
      <c r="EY114" s="2">
        <v>5</v>
      </c>
      <c r="EZ114" s="2">
        <v>9</v>
      </c>
      <c r="FA114" s="385">
        <v>6</v>
      </c>
      <c r="FB114" s="385">
        <v>5</v>
      </c>
      <c r="FC114" s="385">
        <v>6</v>
      </c>
      <c r="FD114" s="385">
        <v>4</v>
      </c>
      <c r="FE114" s="385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385"/>
      <c r="GK114" s="385"/>
      <c r="GL114" s="385"/>
      <c r="GM114" s="2"/>
      <c r="GN114" s="2"/>
      <c r="GO114" s="2"/>
      <c r="GP114" s="2"/>
      <c r="GQ114" s="2"/>
      <c r="GR114" s="2"/>
    </row>
    <row r="115" spans="1:200" x14ac:dyDescent="0.25">
      <c r="A115" s="2" t="s">
        <v>1036</v>
      </c>
      <c r="B115" s="2" t="s">
        <v>780</v>
      </c>
      <c r="C115" s="2" t="s">
        <v>1036</v>
      </c>
      <c r="D115" s="2">
        <v>8</v>
      </c>
      <c r="E115" s="2">
        <v>0</v>
      </c>
      <c r="F115" s="2">
        <v>2</v>
      </c>
      <c r="G115" s="2">
        <v>0</v>
      </c>
      <c r="H115" s="2">
        <v>8</v>
      </c>
      <c r="I115" s="2">
        <v>2</v>
      </c>
      <c r="J115" s="2">
        <v>54</v>
      </c>
      <c r="K115" s="2">
        <v>52</v>
      </c>
      <c r="L115" s="2">
        <v>0</v>
      </c>
      <c r="M115" s="2">
        <v>0</v>
      </c>
      <c r="N115" s="2">
        <v>999</v>
      </c>
      <c r="O115" s="2">
        <v>106</v>
      </c>
      <c r="P115" s="2">
        <v>106</v>
      </c>
      <c r="Q115" s="2">
        <v>106</v>
      </c>
      <c r="R115" s="2">
        <v>1105</v>
      </c>
      <c r="S115" s="2">
        <v>54</v>
      </c>
      <c r="T115" s="2">
        <v>0.125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3</v>
      </c>
      <c r="Z115" s="2">
        <v>1</v>
      </c>
      <c r="AA115" s="2">
        <v>5</v>
      </c>
      <c r="AB115" s="2">
        <v>1</v>
      </c>
      <c r="AG115" s="2">
        <v>9</v>
      </c>
      <c r="AH115" s="2">
        <v>2</v>
      </c>
      <c r="AI115" s="2">
        <v>2</v>
      </c>
      <c r="AJ115" s="2">
        <v>2</v>
      </c>
      <c r="AK115" s="2">
        <v>2</v>
      </c>
      <c r="AL115" s="2">
        <v>2</v>
      </c>
      <c r="AM115" s="2">
        <v>998.70299999999997</v>
      </c>
      <c r="AN115" s="2">
        <v>984.39</v>
      </c>
      <c r="AO115" s="2">
        <v>14.312999999999988</v>
      </c>
      <c r="AP115" s="2">
        <v>106.00115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1</v>
      </c>
      <c r="BS115" s="65">
        <v>1</v>
      </c>
      <c r="BT115" s="65">
        <v>0</v>
      </c>
      <c r="BU115" s="65">
        <v>0</v>
      </c>
      <c r="BV115" s="65">
        <v>0</v>
      </c>
      <c r="BW115" s="65">
        <v>1</v>
      </c>
      <c r="BX115" s="65">
        <v>1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2</v>
      </c>
      <c r="CF115" s="65">
        <v>1</v>
      </c>
      <c r="CG115" s="65">
        <v>1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8</v>
      </c>
      <c r="CT115" s="65">
        <v>7</v>
      </c>
      <c r="CU115" s="65">
        <v>9</v>
      </c>
      <c r="CV115" s="65">
        <v>6</v>
      </c>
      <c r="CW115" s="65">
        <v>6</v>
      </c>
      <c r="CX115" s="65">
        <v>9</v>
      </c>
      <c r="CY115" s="65">
        <v>5</v>
      </c>
      <c r="CZ115" s="65">
        <v>6</v>
      </c>
      <c r="DA115" s="65">
        <v>8</v>
      </c>
      <c r="DB115" s="65">
        <v>6</v>
      </c>
      <c r="DC115" s="65">
        <v>6</v>
      </c>
      <c r="DD115" s="65">
        <v>8</v>
      </c>
      <c r="DE115" s="65">
        <v>8</v>
      </c>
      <c r="DF115" s="65">
        <v>4</v>
      </c>
      <c r="DG115" s="65">
        <v>5</v>
      </c>
      <c r="DH115" s="65">
        <v>5</v>
      </c>
      <c r="DI115" s="65">
        <v>0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4</v>
      </c>
      <c r="DU115" s="2" t="s">
        <v>453</v>
      </c>
      <c r="DV115" s="385">
        <v>2</v>
      </c>
      <c r="DW115" s="2" t="s">
        <v>1</v>
      </c>
      <c r="DX115" s="2">
        <v>2</v>
      </c>
      <c r="DY115" s="2">
        <v>3</v>
      </c>
      <c r="DZ115" s="2">
        <v>3</v>
      </c>
      <c r="EA115" s="2">
        <v>5</v>
      </c>
      <c r="EB115" s="2">
        <v>3</v>
      </c>
      <c r="EC115" s="2">
        <v>3</v>
      </c>
      <c r="ED115" s="2">
        <v>5</v>
      </c>
      <c r="EE115" s="2">
        <v>3</v>
      </c>
      <c r="EF115" s="2">
        <v>3</v>
      </c>
      <c r="EG115" s="2">
        <v>4</v>
      </c>
      <c r="EH115" s="2">
        <v>3</v>
      </c>
      <c r="EI115" s="2">
        <v>3</v>
      </c>
      <c r="EJ115" s="2">
        <v>4</v>
      </c>
      <c r="EK115" s="2">
        <v>4</v>
      </c>
      <c r="EL115" s="2">
        <v>2</v>
      </c>
      <c r="EM115" s="2">
        <v>3</v>
      </c>
      <c r="EN115" s="2">
        <v>3</v>
      </c>
      <c r="EO115" s="2">
        <v>5</v>
      </c>
      <c r="EP115" s="2">
        <v>4</v>
      </c>
      <c r="EQ115" s="2">
        <v>4</v>
      </c>
      <c r="ER115" s="2">
        <v>3</v>
      </c>
      <c r="ES115" s="2">
        <v>3</v>
      </c>
      <c r="ET115" s="2">
        <v>4</v>
      </c>
      <c r="EU115" s="2">
        <v>2</v>
      </c>
      <c r="EV115" s="2">
        <v>3</v>
      </c>
      <c r="EW115" s="2">
        <v>4</v>
      </c>
      <c r="EX115" s="2">
        <v>3</v>
      </c>
      <c r="EY115" s="2">
        <v>3</v>
      </c>
      <c r="EZ115" s="2">
        <v>4</v>
      </c>
      <c r="FA115" s="385">
        <v>4</v>
      </c>
      <c r="FB115" s="385">
        <v>2</v>
      </c>
      <c r="FC115" s="385">
        <v>2</v>
      </c>
      <c r="FD115" s="385">
        <v>2</v>
      </c>
      <c r="FE115" s="385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385"/>
      <c r="GK115" s="385"/>
      <c r="GL115" s="385"/>
      <c r="GM115" s="2"/>
      <c r="GN115" s="2"/>
      <c r="GO115" s="2"/>
      <c r="GP115" s="2"/>
      <c r="GQ115" s="2"/>
      <c r="GR115" s="2"/>
    </row>
    <row r="116" spans="1:200" x14ac:dyDescent="0.25">
      <c r="A116" s="2" t="s">
        <v>1037</v>
      </c>
      <c r="B116" s="2" t="s">
        <v>491</v>
      </c>
      <c r="C116" s="2" t="s">
        <v>1013</v>
      </c>
      <c r="D116" s="2">
        <v>3</v>
      </c>
      <c r="E116" s="2">
        <v>0</v>
      </c>
      <c r="F116" s="2">
        <v>9</v>
      </c>
      <c r="G116" s="2">
        <v>3</v>
      </c>
      <c r="H116" s="2">
        <v>3</v>
      </c>
      <c r="I116" s="2">
        <v>12</v>
      </c>
      <c r="J116" s="2">
        <v>61</v>
      </c>
      <c r="K116" s="2">
        <v>63</v>
      </c>
      <c r="L116" s="2">
        <v>0</v>
      </c>
      <c r="M116" s="2">
        <v>0</v>
      </c>
      <c r="N116" s="2">
        <v>999</v>
      </c>
      <c r="O116" s="2">
        <v>124</v>
      </c>
      <c r="P116" s="2">
        <v>124</v>
      </c>
      <c r="Q116" s="2">
        <v>124</v>
      </c>
      <c r="R116" s="2">
        <v>1123</v>
      </c>
      <c r="S116" s="2">
        <v>61</v>
      </c>
      <c r="T116" s="2">
        <v>-0.125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2</v>
      </c>
      <c r="Z116" s="2">
        <v>5</v>
      </c>
      <c r="AA116" s="2">
        <v>1</v>
      </c>
      <c r="AB116" s="2">
        <v>7</v>
      </c>
      <c r="AG116" s="2">
        <v>18</v>
      </c>
      <c r="AH116" s="2">
        <v>22</v>
      </c>
      <c r="AI116" s="2">
        <v>22</v>
      </c>
      <c r="AJ116" s="2">
        <v>22</v>
      </c>
      <c r="AK116" s="2">
        <v>22</v>
      </c>
      <c r="AL116" s="2">
        <v>24</v>
      </c>
      <c r="AM116" s="2">
        <v>828.46900000000005</v>
      </c>
      <c r="AN116" s="2">
        <v>923.971</v>
      </c>
      <c r="AO116" s="2">
        <v>-95.501999999999953</v>
      </c>
      <c r="AP116" s="2">
        <v>124.00116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2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1</v>
      </c>
      <c r="BT116" s="65">
        <v>0</v>
      </c>
      <c r="BU116" s="65">
        <v>1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0</v>
      </c>
      <c r="CE116" s="65">
        <v>0</v>
      </c>
      <c r="CF116" s="65">
        <v>0</v>
      </c>
      <c r="CG116" s="65">
        <v>1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9</v>
      </c>
      <c r="CT116" s="65">
        <v>7</v>
      </c>
      <c r="CU116" s="65">
        <v>10</v>
      </c>
      <c r="CV116" s="65">
        <v>5</v>
      </c>
      <c r="CW116" s="65">
        <v>7</v>
      </c>
      <c r="CX116" s="65">
        <v>10</v>
      </c>
      <c r="CY116" s="65">
        <v>6</v>
      </c>
      <c r="CZ116" s="65">
        <v>7</v>
      </c>
      <c r="DA116" s="65">
        <v>8</v>
      </c>
      <c r="DB116" s="65">
        <v>6</v>
      </c>
      <c r="DC116" s="65">
        <v>6</v>
      </c>
      <c r="DD116" s="65">
        <v>10</v>
      </c>
      <c r="DE116" s="65">
        <v>9</v>
      </c>
      <c r="DF116" s="65">
        <v>9</v>
      </c>
      <c r="DG116" s="65">
        <v>10</v>
      </c>
      <c r="DH116" s="65">
        <v>5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778</v>
      </c>
      <c r="DU116" s="2" t="s">
        <v>453</v>
      </c>
      <c r="DV116" s="385">
        <v>22</v>
      </c>
      <c r="DW116" s="2" t="s">
        <v>1</v>
      </c>
      <c r="DX116" s="2">
        <v>22</v>
      </c>
      <c r="DY116" s="2">
        <v>4</v>
      </c>
      <c r="DZ116" s="2">
        <v>3</v>
      </c>
      <c r="EA116" s="2">
        <v>5</v>
      </c>
      <c r="EB116" s="2">
        <v>3</v>
      </c>
      <c r="EC116" s="2">
        <v>3</v>
      </c>
      <c r="ED116" s="2">
        <v>5</v>
      </c>
      <c r="EE116" s="2">
        <v>3</v>
      </c>
      <c r="EF116" s="2">
        <v>4</v>
      </c>
      <c r="EG116" s="2">
        <v>4</v>
      </c>
      <c r="EH116" s="2">
        <v>3</v>
      </c>
      <c r="EI116" s="2">
        <v>3</v>
      </c>
      <c r="EJ116" s="2">
        <v>5</v>
      </c>
      <c r="EK116" s="2">
        <v>4</v>
      </c>
      <c r="EL116" s="2">
        <v>5</v>
      </c>
      <c r="EM116" s="2">
        <v>5</v>
      </c>
      <c r="EN116" s="2">
        <v>2</v>
      </c>
      <c r="EO116" s="2">
        <v>5</v>
      </c>
      <c r="EP116" s="2">
        <v>4</v>
      </c>
      <c r="EQ116" s="2">
        <v>5</v>
      </c>
      <c r="ER116" s="2">
        <v>2</v>
      </c>
      <c r="ES116" s="2">
        <v>4</v>
      </c>
      <c r="ET116" s="2">
        <v>5</v>
      </c>
      <c r="EU116" s="2">
        <v>3</v>
      </c>
      <c r="EV116" s="2">
        <v>3</v>
      </c>
      <c r="EW116" s="2">
        <v>4</v>
      </c>
      <c r="EX116" s="2">
        <v>3</v>
      </c>
      <c r="EY116" s="2">
        <v>3</v>
      </c>
      <c r="EZ116" s="2">
        <v>5</v>
      </c>
      <c r="FA116" s="385">
        <v>5</v>
      </c>
      <c r="FB116" s="385">
        <v>4</v>
      </c>
      <c r="FC116" s="385">
        <v>5</v>
      </c>
      <c r="FD116" s="385">
        <v>3</v>
      </c>
      <c r="FE116" s="385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385"/>
      <c r="GK116" s="385"/>
      <c r="GL116" s="385"/>
      <c r="GM116" s="2"/>
      <c r="GN116" s="2"/>
      <c r="GO116" s="2"/>
      <c r="GP116" s="2"/>
      <c r="GQ116" s="2"/>
      <c r="GR116" s="2"/>
    </row>
    <row r="117" spans="1:200" x14ac:dyDescent="0.25">
      <c r="A117" s="2" t="s">
        <v>1038</v>
      </c>
      <c r="B117" s="2" t="s">
        <v>765</v>
      </c>
      <c r="C117" s="2" t="s">
        <v>1020</v>
      </c>
      <c r="D117" s="2">
        <v>1</v>
      </c>
      <c r="E117" s="2">
        <v>0</v>
      </c>
      <c r="F117" s="2">
        <v>11</v>
      </c>
      <c r="G117" s="2">
        <v>7</v>
      </c>
      <c r="H117" s="2">
        <v>1</v>
      </c>
      <c r="I117" s="2">
        <v>18</v>
      </c>
      <c r="J117" s="2">
        <v>63</v>
      </c>
      <c r="K117" s="2">
        <v>999</v>
      </c>
      <c r="L117" s="2">
        <v>0</v>
      </c>
      <c r="M117" s="2">
        <v>0</v>
      </c>
      <c r="N117" s="2">
        <v>999</v>
      </c>
      <c r="O117" s="2">
        <v>1062</v>
      </c>
      <c r="P117" s="2">
        <v>1062</v>
      </c>
      <c r="Q117" s="2">
        <v>1062</v>
      </c>
      <c r="R117" s="2">
        <v>2061</v>
      </c>
      <c r="S117" s="2">
        <v>0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1</v>
      </c>
      <c r="Z117" s="2">
        <v>7</v>
      </c>
      <c r="AG117" s="2">
        <v>23</v>
      </c>
      <c r="AH117" s="2" t="s">
        <v>895</v>
      </c>
      <c r="AI117" s="2" t="s">
        <v>895</v>
      </c>
      <c r="AJ117" s="2" t="s">
        <v>895</v>
      </c>
      <c r="AK117" s="2" t="s">
        <v>895</v>
      </c>
      <c r="AL117" s="2">
        <v>48</v>
      </c>
      <c r="AM117" s="2">
        <v>0</v>
      </c>
      <c r="AP117" s="2">
        <v>1062.00117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1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1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8</v>
      </c>
      <c r="CT117" s="65">
        <v>9</v>
      </c>
      <c r="CU117" s="65">
        <v>12</v>
      </c>
      <c r="CV117" s="65">
        <v>7</v>
      </c>
      <c r="CW117" s="65">
        <v>7</v>
      </c>
      <c r="CX117" s="65">
        <v>6</v>
      </c>
      <c r="CY117" s="65">
        <v>6</v>
      </c>
      <c r="CZ117" s="65">
        <v>6</v>
      </c>
      <c r="DA117" s="65">
        <v>11</v>
      </c>
      <c r="DB117" s="65">
        <v>10</v>
      </c>
      <c r="DC117" s="65">
        <v>7</v>
      </c>
      <c r="DD117" s="65">
        <v>16</v>
      </c>
      <c r="DE117" s="65">
        <v>11</v>
      </c>
      <c r="DF117" s="65">
        <v>8</v>
      </c>
      <c r="DG117" s="65">
        <v>9</v>
      </c>
      <c r="DH117" s="65">
        <v>6</v>
      </c>
      <c r="DI117" s="65">
        <v>0</v>
      </c>
      <c r="DJ117" s="65">
        <v>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398</v>
      </c>
      <c r="DU117" s="2" t="s">
        <v>453</v>
      </c>
      <c r="DV117" s="385" t="s">
        <v>895</v>
      </c>
      <c r="DW117" s="2" t="s">
        <v>1</v>
      </c>
      <c r="DX117" s="2" t="s">
        <v>895</v>
      </c>
      <c r="DY117" s="2">
        <v>4</v>
      </c>
      <c r="DZ117" s="2">
        <v>4</v>
      </c>
      <c r="EA117" s="2">
        <v>5</v>
      </c>
      <c r="EB117" s="2">
        <v>3</v>
      </c>
      <c r="EC117" s="2">
        <v>3</v>
      </c>
      <c r="ED117" s="2">
        <v>6</v>
      </c>
      <c r="EE117" s="2">
        <v>3</v>
      </c>
      <c r="EF117" s="2">
        <v>3</v>
      </c>
      <c r="EG117" s="2">
        <v>5</v>
      </c>
      <c r="EH117" s="2">
        <v>4</v>
      </c>
      <c r="EI117" s="2">
        <v>2</v>
      </c>
      <c r="EJ117" s="2">
        <v>5</v>
      </c>
      <c r="EK117" s="2">
        <v>4</v>
      </c>
      <c r="EL117" s="2">
        <v>4</v>
      </c>
      <c r="EM117" s="2">
        <v>5</v>
      </c>
      <c r="EN117" s="2">
        <v>3</v>
      </c>
      <c r="EO117" s="2">
        <v>4</v>
      </c>
      <c r="EP117" s="2">
        <v>5</v>
      </c>
      <c r="EQ117" s="2">
        <v>7</v>
      </c>
      <c r="ER117" s="2">
        <v>4</v>
      </c>
      <c r="ES117" s="2">
        <v>4</v>
      </c>
      <c r="ET117" s="2">
        <v>0</v>
      </c>
      <c r="EU117" s="2">
        <v>3</v>
      </c>
      <c r="EV117" s="2">
        <v>3</v>
      </c>
      <c r="EW117" s="2">
        <v>6</v>
      </c>
      <c r="EX117" s="2">
        <v>6</v>
      </c>
      <c r="EY117" s="2">
        <v>5</v>
      </c>
      <c r="EZ117" s="2">
        <v>11</v>
      </c>
      <c r="FA117" s="385">
        <v>7</v>
      </c>
      <c r="FB117" s="385">
        <v>4</v>
      </c>
      <c r="FC117" s="385">
        <v>4</v>
      </c>
      <c r="FD117" s="385">
        <v>3</v>
      </c>
      <c r="FE117" s="385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385"/>
      <c r="GK117" s="385"/>
      <c r="GL117" s="385"/>
      <c r="GM117" s="2"/>
      <c r="GN117" s="2"/>
      <c r="GO117" s="2"/>
      <c r="GP117" s="2"/>
      <c r="GQ117" s="2"/>
      <c r="GR117" s="2"/>
    </row>
    <row r="118" spans="1:200" x14ac:dyDescent="0.25">
      <c r="A118" s="2" t="s">
        <v>1039</v>
      </c>
      <c r="B118" s="2" t="s">
        <v>404</v>
      </c>
      <c r="C118" s="2" t="s">
        <v>1039</v>
      </c>
      <c r="D118" s="2">
        <v>2</v>
      </c>
      <c r="E118" s="2">
        <v>0</v>
      </c>
      <c r="F118" s="2">
        <v>13</v>
      </c>
      <c r="G118" s="2">
        <v>4</v>
      </c>
      <c r="H118" s="2">
        <v>2</v>
      </c>
      <c r="I118" s="2">
        <v>17</v>
      </c>
      <c r="J118" s="2">
        <v>64</v>
      </c>
      <c r="K118" s="2">
        <v>69</v>
      </c>
      <c r="L118" s="2">
        <v>0</v>
      </c>
      <c r="M118" s="2">
        <v>0</v>
      </c>
      <c r="N118" s="2">
        <v>999</v>
      </c>
      <c r="O118" s="2">
        <v>133</v>
      </c>
      <c r="P118" s="2">
        <v>133</v>
      </c>
      <c r="Q118" s="2">
        <v>133</v>
      </c>
      <c r="R118" s="2">
        <v>1132</v>
      </c>
      <c r="S118" s="2">
        <v>64</v>
      </c>
      <c r="T118" s="2">
        <v>-0.3125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1</v>
      </c>
      <c r="Z118" s="2">
        <v>8</v>
      </c>
      <c r="AA118" s="2">
        <v>1</v>
      </c>
      <c r="AB118" s="2">
        <v>9</v>
      </c>
      <c r="AG118" s="2">
        <v>27</v>
      </c>
      <c r="AH118" s="2">
        <v>31</v>
      </c>
      <c r="AI118" s="2">
        <v>31</v>
      </c>
      <c r="AJ118" s="2">
        <v>31</v>
      </c>
      <c r="AK118" s="2">
        <v>31</v>
      </c>
      <c r="AL118" s="2">
        <v>34</v>
      </c>
      <c r="AM118" s="2">
        <v>743.35199999999998</v>
      </c>
      <c r="AN118" s="2">
        <v>732.71799999999996</v>
      </c>
      <c r="AO118" s="2">
        <v>10.634000000000015</v>
      </c>
      <c r="AP118" s="2">
        <v>133.00118000000001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1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  <c r="CG118" s="65">
        <v>1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10</v>
      </c>
      <c r="CT118" s="65">
        <v>11</v>
      </c>
      <c r="CU118" s="65">
        <v>10</v>
      </c>
      <c r="CV118" s="65">
        <v>6</v>
      </c>
      <c r="CW118" s="65">
        <v>7</v>
      </c>
      <c r="CX118" s="65">
        <v>10</v>
      </c>
      <c r="CY118" s="65">
        <v>6</v>
      </c>
      <c r="CZ118" s="65">
        <v>6</v>
      </c>
      <c r="DA118" s="65">
        <v>10</v>
      </c>
      <c r="DB118" s="65">
        <v>6</v>
      </c>
      <c r="DC118" s="65">
        <v>7</v>
      </c>
      <c r="DD118" s="65">
        <v>14</v>
      </c>
      <c r="DE118" s="65">
        <v>9</v>
      </c>
      <c r="DF118" s="65">
        <v>7</v>
      </c>
      <c r="DG118" s="65">
        <v>9</v>
      </c>
      <c r="DH118" s="65">
        <v>5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779</v>
      </c>
      <c r="DU118" s="2" t="s">
        <v>453</v>
      </c>
      <c r="DV118" s="385">
        <v>31</v>
      </c>
      <c r="DW118" s="2" t="s">
        <v>1</v>
      </c>
      <c r="DX118" s="2">
        <v>31</v>
      </c>
      <c r="DY118" s="2">
        <v>5</v>
      </c>
      <c r="DZ118" s="2">
        <v>5</v>
      </c>
      <c r="EA118" s="2">
        <v>5</v>
      </c>
      <c r="EB118" s="2">
        <v>3</v>
      </c>
      <c r="EC118" s="2">
        <v>3</v>
      </c>
      <c r="ED118" s="2">
        <v>5</v>
      </c>
      <c r="EE118" s="2">
        <v>4</v>
      </c>
      <c r="EF118" s="2">
        <v>3</v>
      </c>
      <c r="EG118" s="2">
        <v>5</v>
      </c>
      <c r="EH118" s="2">
        <v>3</v>
      </c>
      <c r="EI118" s="2">
        <v>3</v>
      </c>
      <c r="EJ118" s="2">
        <v>6</v>
      </c>
      <c r="EK118" s="2">
        <v>4</v>
      </c>
      <c r="EL118" s="2">
        <v>4</v>
      </c>
      <c r="EM118" s="2">
        <v>4</v>
      </c>
      <c r="EN118" s="2">
        <v>2</v>
      </c>
      <c r="EO118" s="2">
        <v>5</v>
      </c>
      <c r="EP118" s="2">
        <v>6</v>
      </c>
      <c r="EQ118" s="2">
        <v>5</v>
      </c>
      <c r="ER118" s="2">
        <v>3</v>
      </c>
      <c r="ES118" s="2">
        <v>4</v>
      </c>
      <c r="ET118" s="2">
        <v>5</v>
      </c>
      <c r="EU118" s="2">
        <v>2</v>
      </c>
      <c r="EV118" s="2">
        <v>3</v>
      </c>
      <c r="EW118" s="2">
        <v>5</v>
      </c>
      <c r="EX118" s="2">
        <v>3</v>
      </c>
      <c r="EY118" s="2">
        <v>4</v>
      </c>
      <c r="EZ118" s="2">
        <v>8</v>
      </c>
      <c r="FA118" s="385">
        <v>5</v>
      </c>
      <c r="FB118" s="385">
        <v>3</v>
      </c>
      <c r="FC118" s="385">
        <v>5</v>
      </c>
      <c r="FD118" s="385">
        <v>3</v>
      </c>
      <c r="FE118" s="385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385"/>
      <c r="GK118" s="385"/>
      <c r="GL118" s="385"/>
      <c r="GM118" s="2"/>
      <c r="GN118" s="2"/>
      <c r="GO118" s="2"/>
      <c r="GP118" s="2"/>
      <c r="GQ118" s="2"/>
      <c r="GR118" s="2"/>
    </row>
    <row r="119" spans="1:200" x14ac:dyDescent="0.25">
      <c r="A119" s="2" t="s">
        <v>1040</v>
      </c>
      <c r="B119" s="2" t="s">
        <v>392</v>
      </c>
      <c r="C119" s="2" t="s">
        <v>1028</v>
      </c>
      <c r="D119" s="2">
        <v>7</v>
      </c>
      <c r="E119" s="2">
        <v>0</v>
      </c>
      <c r="F119" s="2">
        <v>7</v>
      </c>
      <c r="G119" s="2">
        <v>2</v>
      </c>
      <c r="H119" s="2">
        <v>7</v>
      </c>
      <c r="I119" s="2">
        <v>9</v>
      </c>
      <c r="J119" s="2">
        <v>52</v>
      </c>
      <c r="K119" s="2">
        <v>64</v>
      </c>
      <c r="L119" s="2">
        <v>0</v>
      </c>
      <c r="M119" s="2">
        <v>0</v>
      </c>
      <c r="N119" s="2">
        <v>999</v>
      </c>
      <c r="O119" s="2">
        <v>116</v>
      </c>
      <c r="P119" s="2">
        <v>116</v>
      </c>
      <c r="Q119" s="2">
        <v>116</v>
      </c>
      <c r="R119" s="2">
        <v>1115</v>
      </c>
      <c r="S119" s="2">
        <v>52</v>
      </c>
      <c r="T119" s="2">
        <v>-0.75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6</v>
      </c>
      <c r="Z119" s="2">
        <v>2</v>
      </c>
      <c r="AA119" s="2">
        <v>1</v>
      </c>
      <c r="AB119" s="2">
        <v>7</v>
      </c>
      <c r="AG119" s="2">
        <v>4</v>
      </c>
      <c r="AH119" s="2">
        <v>15</v>
      </c>
      <c r="AI119" s="2">
        <v>15</v>
      </c>
      <c r="AJ119" s="2">
        <v>15</v>
      </c>
      <c r="AK119" s="2">
        <v>15</v>
      </c>
      <c r="AL119" s="2">
        <v>16</v>
      </c>
      <c r="AM119" s="2">
        <v>904.12800000000004</v>
      </c>
      <c r="AN119" s="2">
        <v>951.38599999999997</v>
      </c>
      <c r="AO119" s="2">
        <v>-47.257999999999925</v>
      </c>
      <c r="AP119" s="2">
        <v>116.00118999999999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1</v>
      </c>
      <c r="BU119" s="65">
        <v>0</v>
      </c>
      <c r="BV119" s="65">
        <v>1</v>
      </c>
      <c r="BW119" s="65">
        <v>1</v>
      </c>
      <c r="BX119" s="65">
        <v>0</v>
      </c>
      <c r="BY119" s="65">
        <v>1</v>
      </c>
      <c r="BZ119" s="65">
        <v>1</v>
      </c>
      <c r="CA119" s="65">
        <v>0</v>
      </c>
      <c r="CB119" s="65">
        <v>0</v>
      </c>
      <c r="CC119" s="65">
        <v>0</v>
      </c>
      <c r="CD119" s="65">
        <v>0</v>
      </c>
      <c r="CE119" s="65">
        <v>1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10</v>
      </c>
      <c r="CT119" s="65">
        <v>7</v>
      </c>
      <c r="CU119" s="65">
        <v>7</v>
      </c>
      <c r="CV119" s="65">
        <v>6</v>
      </c>
      <c r="CW119" s="65">
        <v>6</v>
      </c>
      <c r="CX119" s="65">
        <v>9</v>
      </c>
      <c r="CY119" s="65">
        <v>6</v>
      </c>
      <c r="CZ119" s="65">
        <v>5</v>
      </c>
      <c r="DA119" s="65">
        <v>9</v>
      </c>
      <c r="DB119" s="65">
        <v>7</v>
      </c>
      <c r="DC119" s="65">
        <v>6</v>
      </c>
      <c r="DD119" s="65">
        <v>9</v>
      </c>
      <c r="DE119" s="65">
        <v>9</v>
      </c>
      <c r="DF119" s="65">
        <v>5</v>
      </c>
      <c r="DG119" s="65">
        <v>8</v>
      </c>
      <c r="DH119" s="65">
        <v>7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323</v>
      </c>
      <c r="DU119" s="2" t="s">
        <v>453</v>
      </c>
      <c r="DV119" s="385">
        <v>15</v>
      </c>
      <c r="DW119" s="2" t="s">
        <v>1</v>
      </c>
      <c r="DX119" s="2">
        <v>15</v>
      </c>
      <c r="DY119" s="2">
        <v>4</v>
      </c>
      <c r="DZ119" s="2">
        <v>3</v>
      </c>
      <c r="EA119" s="2">
        <v>3</v>
      </c>
      <c r="EB119" s="2">
        <v>3</v>
      </c>
      <c r="EC119" s="2">
        <v>2</v>
      </c>
      <c r="ED119" s="2">
        <v>4</v>
      </c>
      <c r="EE119" s="2">
        <v>3</v>
      </c>
      <c r="EF119" s="2">
        <v>2</v>
      </c>
      <c r="EG119" s="2">
        <v>3</v>
      </c>
      <c r="EH119" s="2">
        <v>3</v>
      </c>
      <c r="EI119" s="2">
        <v>3</v>
      </c>
      <c r="EJ119" s="2">
        <v>5</v>
      </c>
      <c r="EK119" s="2">
        <v>4</v>
      </c>
      <c r="EL119" s="2">
        <v>3</v>
      </c>
      <c r="EM119" s="2">
        <v>4</v>
      </c>
      <c r="EN119" s="2">
        <v>3</v>
      </c>
      <c r="EO119" s="2">
        <v>6</v>
      </c>
      <c r="EP119" s="2">
        <v>4</v>
      </c>
      <c r="EQ119" s="2">
        <v>4</v>
      </c>
      <c r="ER119" s="2">
        <v>3</v>
      </c>
      <c r="ES119" s="2">
        <v>4</v>
      </c>
      <c r="ET119" s="2">
        <v>5</v>
      </c>
      <c r="EU119" s="2">
        <v>3</v>
      </c>
      <c r="EV119" s="2">
        <v>3</v>
      </c>
      <c r="EW119" s="2">
        <v>6</v>
      </c>
      <c r="EX119" s="2">
        <v>4</v>
      </c>
      <c r="EY119" s="2">
        <v>3</v>
      </c>
      <c r="EZ119" s="2">
        <v>4</v>
      </c>
      <c r="FA119" s="385">
        <v>5</v>
      </c>
      <c r="FB119" s="385">
        <v>2</v>
      </c>
      <c r="FC119" s="385">
        <v>4</v>
      </c>
      <c r="FD119" s="385">
        <v>4</v>
      </c>
      <c r="FE119" s="385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385"/>
      <c r="GK119" s="385"/>
      <c r="GL119" s="385"/>
      <c r="GM119" s="2"/>
      <c r="GN119" s="2"/>
      <c r="GO119" s="2"/>
      <c r="GP119" s="2"/>
      <c r="GQ119" s="2"/>
      <c r="GR119" s="2"/>
    </row>
    <row r="120" spans="1:200" x14ac:dyDescent="0.25">
      <c r="A120" s="2" t="s">
        <v>1041</v>
      </c>
      <c r="B120" s="2" t="s">
        <v>208</v>
      </c>
      <c r="C120" s="2" t="s">
        <v>1041</v>
      </c>
      <c r="D120" s="2">
        <v>1</v>
      </c>
      <c r="E120" s="2">
        <v>0</v>
      </c>
      <c r="F120" s="2">
        <v>11</v>
      </c>
      <c r="G120" s="2">
        <v>3</v>
      </c>
      <c r="H120" s="2">
        <v>1</v>
      </c>
      <c r="I120" s="2">
        <v>14</v>
      </c>
      <c r="J120" s="2">
        <v>64</v>
      </c>
      <c r="K120" s="2">
        <v>65</v>
      </c>
      <c r="L120" s="2">
        <v>0</v>
      </c>
      <c r="M120" s="2">
        <v>0</v>
      </c>
      <c r="N120" s="2">
        <v>999</v>
      </c>
      <c r="O120" s="2">
        <v>129</v>
      </c>
      <c r="P120" s="2">
        <v>129</v>
      </c>
      <c r="Q120" s="2">
        <v>129</v>
      </c>
      <c r="R120" s="2">
        <v>1128</v>
      </c>
      <c r="S120" s="2">
        <v>64</v>
      </c>
      <c r="T120" s="2">
        <v>-6.25E-2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1</v>
      </c>
      <c r="Z120" s="2">
        <v>7</v>
      </c>
      <c r="AA120" s="2">
        <v>0</v>
      </c>
      <c r="AB120" s="2">
        <v>7</v>
      </c>
      <c r="AG120" s="2">
        <v>27</v>
      </c>
      <c r="AH120" s="2">
        <v>29</v>
      </c>
      <c r="AI120" s="2">
        <v>29</v>
      </c>
      <c r="AJ120" s="2">
        <v>29</v>
      </c>
      <c r="AK120" s="2">
        <v>29</v>
      </c>
      <c r="AL120" s="2">
        <v>31</v>
      </c>
      <c r="AM120" s="2">
        <v>781.18200000000002</v>
      </c>
      <c r="AN120" s="2">
        <v>797.58900000000006</v>
      </c>
      <c r="AO120" s="2">
        <v>-16.407000000000039</v>
      </c>
      <c r="AP120" s="2">
        <v>129.00120000000001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1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8</v>
      </c>
      <c r="CT120" s="65">
        <v>8</v>
      </c>
      <c r="CU120" s="65">
        <v>10</v>
      </c>
      <c r="CV120" s="65">
        <v>8</v>
      </c>
      <c r="CW120" s="65">
        <v>6</v>
      </c>
      <c r="CX120" s="65">
        <v>11</v>
      </c>
      <c r="CY120" s="65">
        <v>7</v>
      </c>
      <c r="CZ120" s="65">
        <v>6</v>
      </c>
      <c r="DA120" s="65">
        <v>10</v>
      </c>
      <c r="DB120" s="65">
        <v>6</v>
      </c>
      <c r="DC120" s="65">
        <v>6</v>
      </c>
      <c r="DD120" s="65">
        <v>13</v>
      </c>
      <c r="DE120" s="65">
        <v>11</v>
      </c>
      <c r="DF120" s="65">
        <v>6</v>
      </c>
      <c r="DG120" s="65">
        <v>7</v>
      </c>
      <c r="DH120" s="65">
        <v>6</v>
      </c>
      <c r="DI120" s="65">
        <v>0</v>
      </c>
      <c r="DJ120" s="65">
        <v>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780</v>
      </c>
      <c r="DU120" s="2" t="s">
        <v>453</v>
      </c>
      <c r="DV120" s="385">
        <v>29</v>
      </c>
      <c r="DW120" s="2" t="s">
        <v>1</v>
      </c>
      <c r="DX120" s="2">
        <v>29</v>
      </c>
      <c r="DY120" s="2">
        <v>4</v>
      </c>
      <c r="DZ120" s="2">
        <v>4</v>
      </c>
      <c r="EA120" s="2">
        <v>5</v>
      </c>
      <c r="EB120" s="2">
        <v>4</v>
      </c>
      <c r="EC120" s="2">
        <v>3</v>
      </c>
      <c r="ED120" s="2">
        <v>5</v>
      </c>
      <c r="EE120" s="2">
        <v>4</v>
      </c>
      <c r="EF120" s="2">
        <v>3</v>
      </c>
      <c r="EG120" s="2">
        <v>5</v>
      </c>
      <c r="EH120" s="2">
        <v>3</v>
      </c>
      <c r="EI120" s="2">
        <v>3</v>
      </c>
      <c r="EJ120" s="2">
        <v>6</v>
      </c>
      <c r="EK120" s="2">
        <v>6</v>
      </c>
      <c r="EL120" s="2">
        <v>2</v>
      </c>
      <c r="EM120" s="2">
        <v>4</v>
      </c>
      <c r="EN120" s="2">
        <v>3</v>
      </c>
      <c r="EO120" s="2">
        <v>4</v>
      </c>
      <c r="EP120" s="2">
        <v>4</v>
      </c>
      <c r="EQ120" s="2">
        <v>5</v>
      </c>
      <c r="ER120" s="2">
        <v>4</v>
      </c>
      <c r="ES120" s="2">
        <v>3</v>
      </c>
      <c r="ET120" s="2">
        <v>6</v>
      </c>
      <c r="EU120" s="2">
        <v>3</v>
      </c>
      <c r="EV120" s="2">
        <v>3</v>
      </c>
      <c r="EW120" s="2">
        <v>5</v>
      </c>
      <c r="EX120" s="2">
        <v>3</v>
      </c>
      <c r="EY120" s="2">
        <v>3</v>
      </c>
      <c r="EZ120" s="2">
        <v>7</v>
      </c>
      <c r="FA120" s="385">
        <v>5</v>
      </c>
      <c r="FB120" s="385">
        <v>4</v>
      </c>
      <c r="FC120" s="385">
        <v>3</v>
      </c>
      <c r="FD120" s="385">
        <v>3</v>
      </c>
      <c r="FE120" s="385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385"/>
      <c r="GK120" s="385"/>
      <c r="GL120" s="385"/>
      <c r="GM120" s="2"/>
      <c r="GN120" s="2"/>
      <c r="GO120" s="2"/>
      <c r="GP120" s="2"/>
      <c r="GQ120" s="2"/>
      <c r="GR120" s="2"/>
    </row>
    <row r="121" spans="1:200" x14ac:dyDescent="0.25">
      <c r="A121" s="2" t="s">
        <v>1042</v>
      </c>
      <c r="B121" s="2" t="s">
        <v>428</v>
      </c>
      <c r="C121" s="2" t="s">
        <v>1039</v>
      </c>
      <c r="D121" s="2">
        <v>0</v>
      </c>
      <c r="E121" s="2">
        <v>0</v>
      </c>
      <c r="F121" s="2">
        <v>12</v>
      </c>
      <c r="G121" s="2">
        <v>4</v>
      </c>
      <c r="H121" s="2">
        <v>0</v>
      </c>
      <c r="I121" s="2">
        <v>16</v>
      </c>
      <c r="J121" s="2">
        <v>67</v>
      </c>
      <c r="K121" s="2">
        <v>66</v>
      </c>
      <c r="L121" s="2">
        <v>0</v>
      </c>
      <c r="M121" s="2">
        <v>0</v>
      </c>
      <c r="N121" s="2">
        <v>999</v>
      </c>
      <c r="O121" s="2">
        <v>133</v>
      </c>
      <c r="P121" s="2">
        <v>133</v>
      </c>
      <c r="Q121" s="2">
        <v>133</v>
      </c>
      <c r="R121" s="2">
        <v>1132</v>
      </c>
      <c r="S121" s="2">
        <v>67</v>
      </c>
      <c r="T121" s="2">
        <v>6.25E-2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0</v>
      </c>
      <c r="Z121" s="2">
        <v>8</v>
      </c>
      <c r="AA121" s="2">
        <v>0</v>
      </c>
      <c r="AB121" s="2">
        <v>8</v>
      </c>
      <c r="AG121" s="2">
        <v>32</v>
      </c>
      <c r="AH121" s="2">
        <v>31</v>
      </c>
      <c r="AI121" s="2">
        <v>31</v>
      </c>
      <c r="AJ121" s="2">
        <v>31</v>
      </c>
      <c r="AK121" s="2">
        <v>31</v>
      </c>
      <c r="AL121" s="2">
        <v>35</v>
      </c>
      <c r="AM121" s="2">
        <v>743.35199999999998</v>
      </c>
      <c r="AN121" s="2">
        <v>646.99400000000003</v>
      </c>
      <c r="AO121" s="2">
        <v>96.357999999999947</v>
      </c>
      <c r="AP121" s="2">
        <v>133.00120999999999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8</v>
      </c>
      <c r="CT121" s="65">
        <v>9</v>
      </c>
      <c r="CU121" s="65">
        <v>13</v>
      </c>
      <c r="CV121" s="65">
        <v>6</v>
      </c>
      <c r="CW121" s="65">
        <v>7</v>
      </c>
      <c r="CX121" s="65">
        <v>10</v>
      </c>
      <c r="CY121" s="65">
        <v>8</v>
      </c>
      <c r="CZ121" s="65">
        <v>6</v>
      </c>
      <c r="DA121" s="65">
        <v>10</v>
      </c>
      <c r="DB121" s="65">
        <v>7</v>
      </c>
      <c r="DC121" s="65">
        <v>7</v>
      </c>
      <c r="DD121" s="65">
        <v>11</v>
      </c>
      <c r="DE121" s="65">
        <v>11</v>
      </c>
      <c r="DF121" s="65">
        <v>7</v>
      </c>
      <c r="DG121" s="65">
        <v>6</v>
      </c>
      <c r="DH121" s="65">
        <v>7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781</v>
      </c>
      <c r="DU121" s="2" t="s">
        <v>453</v>
      </c>
      <c r="DV121" s="385">
        <v>31</v>
      </c>
      <c r="DW121" s="2" t="s">
        <v>1</v>
      </c>
      <c r="DX121" s="385">
        <v>31</v>
      </c>
      <c r="DY121" s="2">
        <v>4</v>
      </c>
      <c r="DZ121" s="2">
        <v>4</v>
      </c>
      <c r="EA121" s="2">
        <v>7</v>
      </c>
      <c r="EB121" s="2">
        <v>3</v>
      </c>
      <c r="EC121" s="2">
        <v>3</v>
      </c>
      <c r="ED121" s="2">
        <v>5</v>
      </c>
      <c r="EE121" s="2">
        <v>4</v>
      </c>
      <c r="EF121" s="2">
        <v>3</v>
      </c>
      <c r="EG121" s="2">
        <v>5</v>
      </c>
      <c r="EH121" s="2">
        <v>4</v>
      </c>
      <c r="EI121" s="2">
        <v>3</v>
      </c>
      <c r="EJ121" s="2">
        <v>6</v>
      </c>
      <c r="EK121" s="2">
        <v>5</v>
      </c>
      <c r="EL121" s="2">
        <v>4</v>
      </c>
      <c r="EM121" s="2">
        <v>3</v>
      </c>
      <c r="EN121" s="2">
        <v>4</v>
      </c>
      <c r="EO121" s="2">
        <v>4</v>
      </c>
      <c r="EP121" s="2">
        <v>5</v>
      </c>
      <c r="EQ121" s="2">
        <v>6</v>
      </c>
      <c r="ER121" s="2">
        <v>3</v>
      </c>
      <c r="ES121" s="2">
        <v>4</v>
      </c>
      <c r="ET121" s="2">
        <v>5</v>
      </c>
      <c r="EU121" s="2">
        <v>4</v>
      </c>
      <c r="EV121" s="2">
        <v>3</v>
      </c>
      <c r="EW121" s="2">
        <v>5</v>
      </c>
      <c r="EX121" s="2">
        <v>3</v>
      </c>
      <c r="EY121" s="2">
        <v>4</v>
      </c>
      <c r="EZ121" s="2">
        <v>5</v>
      </c>
      <c r="FA121" s="385">
        <v>6</v>
      </c>
      <c r="FB121" s="385">
        <v>3</v>
      </c>
      <c r="FC121" s="385">
        <v>3</v>
      </c>
      <c r="FD121" s="385">
        <v>3</v>
      </c>
      <c r="FE121" s="385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385"/>
      <c r="GK121" s="385"/>
      <c r="GL121" s="385"/>
      <c r="GM121" s="2"/>
      <c r="GN121" s="2"/>
      <c r="GO121" s="2"/>
      <c r="GP121" s="2"/>
      <c r="GQ121" s="2"/>
      <c r="GR121" s="2"/>
    </row>
    <row r="122" spans="1:200" x14ac:dyDescent="0.25">
      <c r="A122" s="2" t="s">
        <v>1043</v>
      </c>
      <c r="B122" s="2" t="s">
        <v>768</v>
      </c>
      <c r="C122" s="2" t="s">
        <v>1043</v>
      </c>
      <c r="D122" s="2">
        <v>4</v>
      </c>
      <c r="E122" s="2">
        <v>0</v>
      </c>
      <c r="F122" s="2">
        <v>9</v>
      </c>
      <c r="G122" s="2">
        <v>5</v>
      </c>
      <c r="H122" s="2">
        <v>4</v>
      </c>
      <c r="I122" s="2">
        <v>14</v>
      </c>
      <c r="J122" s="2">
        <v>62</v>
      </c>
      <c r="K122" s="2">
        <v>66</v>
      </c>
      <c r="L122" s="2">
        <v>0</v>
      </c>
      <c r="M122" s="2">
        <v>0</v>
      </c>
      <c r="N122" s="2">
        <v>999</v>
      </c>
      <c r="O122" s="2">
        <v>128</v>
      </c>
      <c r="P122" s="2">
        <v>128</v>
      </c>
      <c r="Q122" s="2">
        <v>128</v>
      </c>
      <c r="R122" s="2">
        <v>1127</v>
      </c>
      <c r="S122" s="2">
        <v>62</v>
      </c>
      <c r="T122" s="2">
        <v>-0.25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2</v>
      </c>
      <c r="Z122" s="2">
        <v>5</v>
      </c>
      <c r="AA122" s="2">
        <v>2</v>
      </c>
      <c r="AB122" s="2">
        <v>9</v>
      </c>
      <c r="AG122" s="2">
        <v>19</v>
      </c>
      <c r="AH122" s="2">
        <v>28</v>
      </c>
      <c r="AI122" s="2">
        <v>28</v>
      </c>
      <c r="AJ122" s="2">
        <v>28</v>
      </c>
      <c r="AK122" s="2">
        <v>28</v>
      </c>
      <c r="AL122" s="2">
        <v>28</v>
      </c>
      <c r="AM122" s="2">
        <v>790.63900000000001</v>
      </c>
      <c r="AN122" s="2">
        <v>0</v>
      </c>
      <c r="AP122" s="2">
        <v>128.00121999999999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1</v>
      </c>
      <c r="BT122" s="65">
        <v>0</v>
      </c>
      <c r="BU122" s="65">
        <v>1</v>
      </c>
      <c r="BV122" s="65">
        <v>0</v>
      </c>
      <c r="BW122" s="65">
        <v>1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1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11</v>
      </c>
      <c r="CT122" s="65">
        <v>10</v>
      </c>
      <c r="CU122" s="65">
        <v>12</v>
      </c>
      <c r="CV122" s="65">
        <v>5</v>
      </c>
      <c r="CW122" s="65">
        <v>6</v>
      </c>
      <c r="CX122" s="65">
        <v>9</v>
      </c>
      <c r="CY122" s="65">
        <v>7</v>
      </c>
      <c r="CZ122" s="65">
        <v>7</v>
      </c>
      <c r="DA122" s="65">
        <v>10</v>
      </c>
      <c r="DB122" s="65">
        <v>7</v>
      </c>
      <c r="DC122" s="65">
        <v>6</v>
      </c>
      <c r="DD122" s="65">
        <v>9</v>
      </c>
      <c r="DE122" s="65">
        <v>7</v>
      </c>
      <c r="DF122" s="65">
        <v>9</v>
      </c>
      <c r="DG122" s="65">
        <v>7</v>
      </c>
      <c r="DH122" s="65">
        <v>6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782</v>
      </c>
      <c r="DU122" s="385" t="s">
        <v>453</v>
      </c>
      <c r="DV122" s="385">
        <v>28</v>
      </c>
      <c r="DW122" s="385" t="s">
        <v>1</v>
      </c>
      <c r="DX122" s="385">
        <v>28</v>
      </c>
      <c r="DY122" s="2">
        <v>6</v>
      </c>
      <c r="DZ122" s="2">
        <v>3</v>
      </c>
      <c r="EA122" s="2">
        <v>6</v>
      </c>
      <c r="EB122" s="2">
        <v>3</v>
      </c>
      <c r="EC122" s="2">
        <v>3</v>
      </c>
      <c r="ED122" s="2">
        <v>4</v>
      </c>
      <c r="EE122" s="2">
        <v>3</v>
      </c>
      <c r="EF122" s="2">
        <v>3</v>
      </c>
      <c r="EG122" s="2">
        <v>5</v>
      </c>
      <c r="EH122" s="2">
        <v>3</v>
      </c>
      <c r="EI122" s="2">
        <v>3</v>
      </c>
      <c r="EJ122" s="2">
        <v>5</v>
      </c>
      <c r="EK122" s="2">
        <v>4</v>
      </c>
      <c r="EL122" s="2">
        <v>5</v>
      </c>
      <c r="EM122" s="2">
        <v>3</v>
      </c>
      <c r="EN122" s="2">
        <v>3</v>
      </c>
      <c r="EO122" s="2">
        <v>5</v>
      </c>
      <c r="EP122" s="2">
        <v>7</v>
      </c>
      <c r="EQ122" s="2">
        <v>6</v>
      </c>
      <c r="ER122" s="2">
        <v>2</v>
      </c>
      <c r="ES122" s="2">
        <v>3</v>
      </c>
      <c r="ET122" s="2">
        <v>5</v>
      </c>
      <c r="EU122" s="2">
        <v>4</v>
      </c>
      <c r="EV122" s="2">
        <v>4</v>
      </c>
      <c r="EW122" s="2">
        <v>5</v>
      </c>
      <c r="EX122" s="2">
        <v>4</v>
      </c>
      <c r="EY122" s="2">
        <v>3</v>
      </c>
      <c r="EZ122" s="2">
        <v>4</v>
      </c>
      <c r="FA122" s="385">
        <v>3</v>
      </c>
      <c r="FB122" s="385">
        <v>4</v>
      </c>
      <c r="FC122" s="385">
        <v>4</v>
      </c>
      <c r="FD122" s="385">
        <v>3</v>
      </c>
      <c r="FE122" s="385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385"/>
      <c r="GK122" s="385"/>
      <c r="GL122" s="385"/>
      <c r="GM122" s="2"/>
      <c r="GN122" s="2"/>
      <c r="GO122" s="2"/>
      <c r="GP122" s="2"/>
      <c r="GQ122" s="2"/>
      <c r="GR122" s="2"/>
    </row>
    <row r="123" spans="1:200" x14ac:dyDescent="0.25">
      <c r="A123" s="2" t="s">
        <v>1044</v>
      </c>
      <c r="B123" s="2" t="s">
        <v>15</v>
      </c>
      <c r="C123" s="2" t="s">
        <v>1044</v>
      </c>
      <c r="D123" s="2">
        <v>11</v>
      </c>
      <c r="E123" s="2">
        <v>0</v>
      </c>
      <c r="F123" s="2">
        <v>6</v>
      </c>
      <c r="G123" s="2">
        <v>3</v>
      </c>
      <c r="H123" s="2">
        <v>11</v>
      </c>
      <c r="I123" s="2">
        <v>9</v>
      </c>
      <c r="J123" s="2">
        <v>57</v>
      </c>
      <c r="K123" s="2">
        <v>56</v>
      </c>
      <c r="L123" s="2">
        <v>0</v>
      </c>
      <c r="M123" s="2">
        <v>0</v>
      </c>
      <c r="N123" s="2">
        <v>999</v>
      </c>
      <c r="O123" s="2">
        <v>113</v>
      </c>
      <c r="P123" s="2">
        <v>113</v>
      </c>
      <c r="Q123" s="2">
        <v>113</v>
      </c>
      <c r="R123" s="2">
        <v>1112</v>
      </c>
      <c r="S123" s="2">
        <v>57</v>
      </c>
      <c r="T123" s="2">
        <v>6.25E-2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5</v>
      </c>
      <c r="Z123" s="2">
        <v>4</v>
      </c>
      <c r="AA123" s="2">
        <v>6</v>
      </c>
      <c r="AB123" s="2">
        <v>5</v>
      </c>
      <c r="AG123" s="2">
        <v>12</v>
      </c>
      <c r="AH123" s="2">
        <v>11</v>
      </c>
      <c r="AI123" s="2">
        <v>11</v>
      </c>
      <c r="AJ123" s="2">
        <v>11</v>
      </c>
      <c r="AK123" s="2">
        <v>11</v>
      </c>
      <c r="AL123" s="2">
        <v>11</v>
      </c>
      <c r="AM123" s="2">
        <v>932.50099999999998</v>
      </c>
      <c r="AN123" s="2">
        <v>953.45299999999997</v>
      </c>
      <c r="AO123" s="2">
        <v>-20.951999999999998</v>
      </c>
      <c r="AP123" s="2">
        <v>113.00123000000001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2</v>
      </c>
      <c r="BS123" s="65">
        <v>0</v>
      </c>
      <c r="BT123" s="65">
        <v>0</v>
      </c>
      <c r="BU123" s="65">
        <v>1</v>
      </c>
      <c r="BV123" s="65">
        <v>0</v>
      </c>
      <c r="BW123" s="65">
        <v>2</v>
      </c>
      <c r="BX123" s="65">
        <v>0</v>
      </c>
      <c r="BY123" s="65">
        <v>2</v>
      </c>
      <c r="BZ123" s="65">
        <v>2</v>
      </c>
      <c r="CA123" s="65">
        <v>0</v>
      </c>
      <c r="CB123" s="65">
        <v>1</v>
      </c>
      <c r="CC123" s="65">
        <v>0</v>
      </c>
      <c r="CD123" s="65">
        <v>1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6</v>
      </c>
      <c r="CT123" s="65">
        <v>11</v>
      </c>
      <c r="CU123" s="65">
        <v>9</v>
      </c>
      <c r="CV123" s="65">
        <v>5</v>
      </c>
      <c r="CW123" s="65">
        <v>6</v>
      </c>
      <c r="CX123" s="65">
        <v>8</v>
      </c>
      <c r="CY123" s="65">
        <v>7</v>
      </c>
      <c r="CZ123" s="65">
        <v>4</v>
      </c>
      <c r="DA123" s="65">
        <v>6</v>
      </c>
      <c r="DB123" s="65">
        <v>7</v>
      </c>
      <c r="DC123" s="65">
        <v>5</v>
      </c>
      <c r="DD123" s="65">
        <v>10</v>
      </c>
      <c r="DE123" s="65">
        <v>7</v>
      </c>
      <c r="DF123" s="65">
        <v>7</v>
      </c>
      <c r="DG123" s="65">
        <v>8</v>
      </c>
      <c r="DH123" s="65">
        <v>7</v>
      </c>
      <c r="DI123" s="65">
        <v>0</v>
      </c>
      <c r="DJ123" s="65">
        <v>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494</v>
      </c>
      <c r="DU123" s="385" t="s">
        <v>453</v>
      </c>
      <c r="DV123" s="385">
        <v>11</v>
      </c>
      <c r="DW123" s="385" t="s">
        <v>1</v>
      </c>
      <c r="DX123" s="385">
        <v>11</v>
      </c>
      <c r="DY123" s="2">
        <v>3</v>
      </c>
      <c r="DZ123" s="2">
        <v>6</v>
      </c>
      <c r="EA123" s="2">
        <v>4</v>
      </c>
      <c r="EB123" s="2">
        <v>2</v>
      </c>
      <c r="EC123" s="2">
        <v>3</v>
      </c>
      <c r="ED123" s="2">
        <v>4</v>
      </c>
      <c r="EE123" s="2">
        <v>4</v>
      </c>
      <c r="EF123" s="2">
        <v>2</v>
      </c>
      <c r="EG123" s="2">
        <v>3</v>
      </c>
      <c r="EH123" s="2">
        <v>4</v>
      </c>
      <c r="EI123" s="2">
        <v>3</v>
      </c>
      <c r="EJ123" s="2">
        <v>4</v>
      </c>
      <c r="EK123" s="2">
        <v>4</v>
      </c>
      <c r="EL123" s="2">
        <v>3</v>
      </c>
      <c r="EM123" s="2">
        <v>5</v>
      </c>
      <c r="EN123" s="2">
        <v>3</v>
      </c>
      <c r="EO123" s="2">
        <v>3</v>
      </c>
      <c r="EP123" s="2">
        <v>5</v>
      </c>
      <c r="EQ123" s="2">
        <v>5</v>
      </c>
      <c r="ER123" s="2">
        <v>3</v>
      </c>
      <c r="ES123" s="2">
        <v>3</v>
      </c>
      <c r="ET123" s="2">
        <v>4</v>
      </c>
      <c r="EU123" s="2">
        <v>3</v>
      </c>
      <c r="EV123" s="2">
        <v>2</v>
      </c>
      <c r="EW123" s="2">
        <v>3</v>
      </c>
      <c r="EX123" s="2">
        <v>3</v>
      </c>
      <c r="EY123" s="2">
        <v>2</v>
      </c>
      <c r="EZ123" s="2">
        <v>6</v>
      </c>
      <c r="FA123" s="385">
        <v>3</v>
      </c>
      <c r="FB123" s="385">
        <v>4</v>
      </c>
      <c r="FC123" s="385">
        <v>3</v>
      </c>
      <c r="FD123" s="385">
        <v>4</v>
      </c>
      <c r="FE123" s="385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385"/>
      <c r="GK123" s="385"/>
      <c r="GL123" s="385"/>
      <c r="GM123" s="2"/>
      <c r="GN123" s="2"/>
      <c r="GO123" s="2"/>
      <c r="GP123" s="2"/>
      <c r="GQ123" s="2"/>
      <c r="GR123" s="2"/>
    </row>
    <row r="124" spans="1:200" x14ac:dyDescent="0.25">
      <c r="A124" s="2" t="s">
        <v>1045</v>
      </c>
      <c r="B124" s="2" t="s">
        <v>764</v>
      </c>
      <c r="C124" s="2" t="s">
        <v>1034</v>
      </c>
      <c r="D124" s="2">
        <v>7</v>
      </c>
      <c r="E124" s="2">
        <v>0</v>
      </c>
      <c r="F124" s="2">
        <v>9</v>
      </c>
      <c r="G124" s="2">
        <v>3</v>
      </c>
      <c r="H124" s="2">
        <v>7</v>
      </c>
      <c r="I124" s="2">
        <v>12</v>
      </c>
      <c r="J124" s="2">
        <v>63</v>
      </c>
      <c r="K124" s="2">
        <v>58</v>
      </c>
      <c r="L124" s="2">
        <v>0</v>
      </c>
      <c r="M124" s="2">
        <v>0</v>
      </c>
      <c r="N124" s="2">
        <v>999</v>
      </c>
      <c r="O124" s="2">
        <v>121</v>
      </c>
      <c r="P124" s="2">
        <v>121</v>
      </c>
      <c r="Q124" s="2">
        <v>121</v>
      </c>
      <c r="R124" s="2">
        <v>1120</v>
      </c>
      <c r="S124" s="2">
        <v>63</v>
      </c>
      <c r="T124" s="2">
        <v>0.3125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3</v>
      </c>
      <c r="Z124" s="2">
        <v>7</v>
      </c>
      <c r="AA124" s="2">
        <v>4</v>
      </c>
      <c r="AB124" s="2">
        <v>5</v>
      </c>
      <c r="AG124" s="2">
        <v>23</v>
      </c>
      <c r="AH124" s="2">
        <v>18</v>
      </c>
      <c r="AI124" s="2">
        <v>18</v>
      </c>
      <c r="AJ124" s="2">
        <v>18</v>
      </c>
      <c r="AK124" s="2">
        <v>18</v>
      </c>
      <c r="AL124" s="2">
        <v>19</v>
      </c>
      <c r="AM124" s="2">
        <v>856.84100000000001</v>
      </c>
      <c r="AN124" s="2">
        <v>810.476</v>
      </c>
      <c r="AO124" s="2">
        <v>46.365000000000009</v>
      </c>
      <c r="AP124" s="2">
        <v>121.00124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2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1</v>
      </c>
      <c r="BZ124" s="65">
        <v>0</v>
      </c>
      <c r="CA124" s="65">
        <v>0</v>
      </c>
      <c r="CB124" s="65">
        <v>1</v>
      </c>
      <c r="CC124" s="65">
        <v>0</v>
      </c>
      <c r="CD124" s="65">
        <v>1</v>
      </c>
      <c r="CE124" s="65">
        <v>0</v>
      </c>
      <c r="CF124" s="65">
        <v>0</v>
      </c>
      <c r="CG124" s="65">
        <v>2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9</v>
      </c>
      <c r="CT124" s="65">
        <v>6</v>
      </c>
      <c r="CU124" s="65">
        <v>9</v>
      </c>
      <c r="CV124" s="65">
        <v>7</v>
      </c>
      <c r="CW124" s="65">
        <v>9</v>
      </c>
      <c r="CX124" s="65">
        <v>12</v>
      </c>
      <c r="CY124" s="65">
        <v>8</v>
      </c>
      <c r="CZ124" s="65">
        <v>6</v>
      </c>
      <c r="DA124" s="65">
        <v>8</v>
      </c>
      <c r="DB124" s="65">
        <v>7</v>
      </c>
      <c r="DC124" s="65">
        <v>5</v>
      </c>
      <c r="DD124" s="65">
        <v>11</v>
      </c>
      <c r="DE124" s="65">
        <v>7</v>
      </c>
      <c r="DF124" s="65">
        <v>6</v>
      </c>
      <c r="DG124" s="65">
        <v>7</v>
      </c>
      <c r="DH124" s="65">
        <v>4</v>
      </c>
      <c r="DI124" s="65">
        <v>0</v>
      </c>
      <c r="DJ124" s="65">
        <v>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611</v>
      </c>
      <c r="DU124" s="385" t="s">
        <v>751</v>
      </c>
      <c r="DV124" s="385">
        <v>18</v>
      </c>
      <c r="DW124" s="2" t="s">
        <v>1</v>
      </c>
      <c r="DX124" s="385">
        <v>18</v>
      </c>
      <c r="DY124" s="2">
        <v>5</v>
      </c>
      <c r="DZ124" s="2">
        <v>3</v>
      </c>
      <c r="EA124" s="2">
        <v>5</v>
      </c>
      <c r="EB124" s="2">
        <v>3</v>
      </c>
      <c r="EC124" s="2">
        <v>6</v>
      </c>
      <c r="ED124" s="2">
        <v>6</v>
      </c>
      <c r="EE124" s="2">
        <v>3</v>
      </c>
      <c r="EF124" s="2">
        <v>4</v>
      </c>
      <c r="EG124" s="2">
        <v>4</v>
      </c>
      <c r="EH124" s="2">
        <v>3</v>
      </c>
      <c r="EI124" s="2">
        <v>2</v>
      </c>
      <c r="EJ124" s="2">
        <v>6</v>
      </c>
      <c r="EK124" s="2">
        <v>4</v>
      </c>
      <c r="EL124" s="2">
        <v>3</v>
      </c>
      <c r="EM124" s="2">
        <v>4</v>
      </c>
      <c r="EN124" s="2">
        <v>2</v>
      </c>
      <c r="EO124" s="2">
        <v>4</v>
      </c>
      <c r="EP124" s="2">
        <v>3</v>
      </c>
      <c r="EQ124" s="2">
        <v>4</v>
      </c>
      <c r="ER124" s="2">
        <v>4</v>
      </c>
      <c r="ES124" s="2">
        <v>3</v>
      </c>
      <c r="ET124" s="2">
        <v>6</v>
      </c>
      <c r="EU124" s="2">
        <v>5</v>
      </c>
      <c r="EV124" s="2">
        <v>2</v>
      </c>
      <c r="EW124" s="2">
        <v>4</v>
      </c>
      <c r="EX124" s="2">
        <v>4</v>
      </c>
      <c r="EY124" s="2">
        <v>3</v>
      </c>
      <c r="EZ124" s="2">
        <v>5</v>
      </c>
      <c r="FA124" s="385">
        <v>3</v>
      </c>
      <c r="FB124" s="385">
        <v>3</v>
      </c>
      <c r="FC124" s="385">
        <v>3</v>
      </c>
      <c r="FD124" s="385">
        <v>2</v>
      </c>
      <c r="FE124" s="385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385"/>
      <c r="GK124" s="385"/>
      <c r="GL124" s="385"/>
      <c r="GM124" s="2"/>
      <c r="GN124" s="2"/>
      <c r="GO124" s="2"/>
      <c r="GP124" s="2"/>
      <c r="GQ124" s="2"/>
      <c r="GR124" s="2"/>
    </row>
    <row r="125" spans="1:200" x14ac:dyDescent="0.25">
      <c r="A125" s="2" t="s">
        <v>1046</v>
      </c>
      <c r="B125" s="2" t="s">
        <v>4</v>
      </c>
      <c r="C125" s="2" t="s">
        <v>1046</v>
      </c>
      <c r="D125" s="2">
        <v>0</v>
      </c>
      <c r="E125" s="2">
        <v>0</v>
      </c>
      <c r="F125" s="2">
        <v>15</v>
      </c>
      <c r="G125" s="2">
        <v>12</v>
      </c>
      <c r="H125" s="2">
        <v>0</v>
      </c>
      <c r="I125" s="2">
        <v>27</v>
      </c>
      <c r="J125" s="2">
        <v>77</v>
      </c>
      <c r="K125" s="2">
        <v>78</v>
      </c>
      <c r="L125" s="2">
        <v>0</v>
      </c>
      <c r="M125" s="2">
        <v>0</v>
      </c>
      <c r="N125" s="2">
        <v>999</v>
      </c>
      <c r="O125" s="2">
        <v>155</v>
      </c>
      <c r="P125" s="2">
        <v>155</v>
      </c>
      <c r="Q125" s="2">
        <v>155</v>
      </c>
      <c r="R125" s="2">
        <v>1154</v>
      </c>
      <c r="S125" s="2">
        <v>77</v>
      </c>
      <c r="T125" s="2">
        <v>-6.25E-2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0</v>
      </c>
      <c r="Z125" s="2">
        <v>13</v>
      </c>
      <c r="AA125" s="2">
        <v>0</v>
      </c>
      <c r="AB125" s="2">
        <v>14</v>
      </c>
      <c r="AG125" s="2">
        <v>6</v>
      </c>
      <c r="AH125" s="2">
        <v>5</v>
      </c>
      <c r="AI125" s="2">
        <v>5</v>
      </c>
      <c r="AJ125" s="2">
        <v>5</v>
      </c>
      <c r="AK125" s="2">
        <v>5</v>
      </c>
      <c r="AL125" s="2">
        <v>43</v>
      </c>
      <c r="AM125" s="2">
        <v>535.28899999999999</v>
      </c>
      <c r="AN125" s="2">
        <v>0</v>
      </c>
      <c r="AP125" s="2">
        <v>155.00125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10</v>
      </c>
      <c r="CT125" s="65">
        <v>9</v>
      </c>
      <c r="CU125" s="65">
        <v>11</v>
      </c>
      <c r="CV125" s="65">
        <v>9</v>
      </c>
      <c r="CW125" s="65">
        <v>8</v>
      </c>
      <c r="CX125" s="65">
        <v>14</v>
      </c>
      <c r="CY125" s="65">
        <v>9</v>
      </c>
      <c r="CZ125" s="65">
        <v>7</v>
      </c>
      <c r="DA125" s="65">
        <v>10</v>
      </c>
      <c r="DB125" s="65">
        <v>9</v>
      </c>
      <c r="DC125" s="65">
        <v>8</v>
      </c>
      <c r="DD125" s="65">
        <v>15</v>
      </c>
      <c r="DE125" s="65">
        <v>12</v>
      </c>
      <c r="DF125" s="65">
        <v>7</v>
      </c>
      <c r="DG125" s="65">
        <v>9</v>
      </c>
      <c r="DH125" s="65">
        <v>8</v>
      </c>
      <c r="DI125" s="65">
        <v>0</v>
      </c>
      <c r="DJ125" s="65">
        <v>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208</v>
      </c>
      <c r="DU125" s="385" t="s">
        <v>455</v>
      </c>
      <c r="DV125" s="385">
        <v>5</v>
      </c>
      <c r="DW125" s="2" t="s">
        <v>14</v>
      </c>
      <c r="DX125" s="2">
        <v>5</v>
      </c>
      <c r="DY125" s="2">
        <v>6</v>
      </c>
      <c r="DZ125" s="2">
        <v>5</v>
      </c>
      <c r="EA125" s="2">
        <v>5</v>
      </c>
      <c r="EB125" s="2">
        <v>5</v>
      </c>
      <c r="EC125" s="2">
        <v>4</v>
      </c>
      <c r="ED125" s="2">
        <v>7</v>
      </c>
      <c r="EE125" s="2">
        <v>4</v>
      </c>
      <c r="EF125" s="2">
        <v>3</v>
      </c>
      <c r="EG125" s="2">
        <v>4</v>
      </c>
      <c r="EH125" s="2">
        <v>5</v>
      </c>
      <c r="EI125" s="2">
        <v>4</v>
      </c>
      <c r="EJ125" s="2">
        <v>7</v>
      </c>
      <c r="EK125" s="2">
        <v>7</v>
      </c>
      <c r="EL125" s="2">
        <v>3</v>
      </c>
      <c r="EM125" s="2">
        <v>4</v>
      </c>
      <c r="EN125" s="2">
        <v>4</v>
      </c>
      <c r="EO125" s="2">
        <v>4</v>
      </c>
      <c r="EP125" s="2">
        <v>4</v>
      </c>
      <c r="EQ125" s="2">
        <v>6</v>
      </c>
      <c r="ER125" s="2">
        <v>4</v>
      </c>
      <c r="ES125" s="2">
        <v>4</v>
      </c>
      <c r="ET125" s="2">
        <v>7</v>
      </c>
      <c r="EU125" s="2">
        <v>5</v>
      </c>
      <c r="EV125" s="2">
        <v>4</v>
      </c>
      <c r="EW125" s="2">
        <v>6</v>
      </c>
      <c r="EX125" s="2">
        <v>4</v>
      </c>
      <c r="EY125" s="2">
        <v>4</v>
      </c>
      <c r="EZ125" s="2">
        <v>8</v>
      </c>
      <c r="FA125" s="385">
        <v>5</v>
      </c>
      <c r="FB125" s="385">
        <v>4</v>
      </c>
      <c r="FC125" s="385">
        <v>5</v>
      </c>
      <c r="FD125" s="385">
        <v>4</v>
      </c>
      <c r="FE125" s="385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385"/>
      <c r="GK125" s="385"/>
      <c r="GL125" s="385"/>
      <c r="GM125" s="2"/>
      <c r="GN125" s="2"/>
      <c r="GO125" s="2"/>
      <c r="GP125" s="2"/>
      <c r="GQ125" s="2"/>
      <c r="GR125" s="2"/>
    </row>
    <row r="126" spans="1:200" x14ac:dyDescent="0.25">
      <c r="A126" s="2" t="s">
        <v>1047</v>
      </c>
      <c r="B126" s="2" t="s">
        <v>779</v>
      </c>
      <c r="C126" s="2" t="s">
        <v>1023</v>
      </c>
      <c r="D126" s="2">
        <v>0</v>
      </c>
      <c r="E126" s="2">
        <v>0</v>
      </c>
      <c r="F126" s="2">
        <v>6</v>
      </c>
      <c r="G126" s="2">
        <v>4</v>
      </c>
      <c r="H126" s="2">
        <v>0</v>
      </c>
      <c r="I126" s="2">
        <v>10</v>
      </c>
      <c r="J126" s="2">
        <v>63</v>
      </c>
      <c r="K126" s="2">
        <v>64</v>
      </c>
      <c r="L126" s="2">
        <v>0</v>
      </c>
      <c r="M126" s="2">
        <v>0</v>
      </c>
      <c r="N126" s="2">
        <v>999</v>
      </c>
      <c r="O126" s="2">
        <v>127</v>
      </c>
      <c r="P126" s="2">
        <v>127</v>
      </c>
      <c r="Q126" s="2">
        <v>127</v>
      </c>
      <c r="R126" s="2">
        <v>1126</v>
      </c>
      <c r="S126" s="2">
        <v>63</v>
      </c>
      <c r="T126" s="2">
        <v>-6.25E-2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0</v>
      </c>
      <c r="Z126" s="2">
        <v>4</v>
      </c>
      <c r="AA126" s="2">
        <v>0</v>
      </c>
      <c r="AB126" s="2">
        <v>6</v>
      </c>
      <c r="AG126" s="2">
        <v>23</v>
      </c>
      <c r="AH126" s="2">
        <v>25</v>
      </c>
      <c r="AI126" s="2">
        <v>25</v>
      </c>
      <c r="AJ126" s="2">
        <v>25</v>
      </c>
      <c r="AK126" s="2">
        <v>25</v>
      </c>
      <c r="AL126" s="2">
        <v>26</v>
      </c>
      <c r="AM126" s="2">
        <v>800.09699999999998</v>
      </c>
      <c r="AN126" s="2">
        <v>855.303</v>
      </c>
      <c r="AO126" s="2">
        <v>-55.206000000000017</v>
      </c>
      <c r="AP126" s="2">
        <v>127.00126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8</v>
      </c>
      <c r="CT126" s="65">
        <v>9</v>
      </c>
      <c r="CU126" s="65">
        <v>10</v>
      </c>
      <c r="CV126" s="65">
        <v>6</v>
      </c>
      <c r="CW126" s="65">
        <v>7</v>
      </c>
      <c r="CX126" s="65">
        <v>11</v>
      </c>
      <c r="CY126" s="65">
        <v>6</v>
      </c>
      <c r="CZ126" s="65">
        <v>6</v>
      </c>
      <c r="DA126" s="65">
        <v>10</v>
      </c>
      <c r="DB126" s="65">
        <v>7</v>
      </c>
      <c r="DC126" s="65">
        <v>6</v>
      </c>
      <c r="DD126" s="65">
        <v>13</v>
      </c>
      <c r="DE126" s="65">
        <v>8</v>
      </c>
      <c r="DF126" s="65">
        <v>6</v>
      </c>
      <c r="DG126" s="65">
        <v>6</v>
      </c>
      <c r="DH126" s="65">
        <v>8</v>
      </c>
      <c r="DI126" s="65">
        <v>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623</v>
      </c>
      <c r="DU126" s="385" t="s">
        <v>453</v>
      </c>
      <c r="DV126" s="385">
        <v>25</v>
      </c>
      <c r="DW126" s="2" t="s">
        <v>1</v>
      </c>
      <c r="DX126" s="2">
        <v>25</v>
      </c>
      <c r="DY126" s="2">
        <v>4</v>
      </c>
      <c r="DZ126" s="2">
        <v>4</v>
      </c>
      <c r="EA126" s="2">
        <v>4</v>
      </c>
      <c r="EB126" s="2">
        <v>3</v>
      </c>
      <c r="EC126" s="2">
        <v>4</v>
      </c>
      <c r="ED126" s="2">
        <v>5</v>
      </c>
      <c r="EE126" s="2">
        <v>3</v>
      </c>
      <c r="EF126" s="2">
        <v>3</v>
      </c>
      <c r="EG126" s="2">
        <v>5</v>
      </c>
      <c r="EH126" s="2">
        <v>3</v>
      </c>
      <c r="EI126" s="2">
        <v>3</v>
      </c>
      <c r="EJ126" s="2">
        <v>7</v>
      </c>
      <c r="EK126" s="2">
        <v>4</v>
      </c>
      <c r="EL126" s="2">
        <v>3</v>
      </c>
      <c r="EM126" s="2">
        <v>3</v>
      </c>
      <c r="EN126" s="2">
        <v>5</v>
      </c>
      <c r="EO126" s="2">
        <v>4</v>
      </c>
      <c r="EP126" s="2">
        <v>5</v>
      </c>
      <c r="EQ126" s="2">
        <v>6</v>
      </c>
      <c r="ER126" s="2">
        <v>3</v>
      </c>
      <c r="ES126" s="2">
        <v>3</v>
      </c>
      <c r="ET126" s="2">
        <v>6</v>
      </c>
      <c r="EU126" s="2">
        <v>3</v>
      </c>
      <c r="EV126" s="2">
        <v>3</v>
      </c>
      <c r="EW126" s="2">
        <v>5</v>
      </c>
      <c r="EX126" s="2">
        <v>4</v>
      </c>
      <c r="EY126" s="2">
        <v>3</v>
      </c>
      <c r="EZ126" s="2">
        <v>6</v>
      </c>
      <c r="FA126" s="385">
        <v>4</v>
      </c>
      <c r="FB126" s="385">
        <v>3</v>
      </c>
      <c r="FC126" s="385">
        <v>3</v>
      </c>
      <c r="FD126" s="385">
        <v>3</v>
      </c>
      <c r="FE126" s="385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385"/>
      <c r="GK126" s="385"/>
      <c r="GL126" s="385"/>
      <c r="GM126" s="2"/>
      <c r="GN126" s="2"/>
      <c r="GO126" s="2"/>
      <c r="GP126" s="2"/>
      <c r="GQ126" s="2"/>
      <c r="GR126" s="2"/>
    </row>
    <row r="127" spans="1:200" x14ac:dyDescent="0.25">
      <c r="A127" s="2" t="s">
        <v>1048</v>
      </c>
      <c r="B127" s="2" t="s">
        <v>0</v>
      </c>
      <c r="C127" s="2" t="s">
        <v>1036</v>
      </c>
      <c r="D127" s="2">
        <v>14</v>
      </c>
      <c r="E127" s="2">
        <v>0</v>
      </c>
      <c r="F127" s="2">
        <v>4</v>
      </c>
      <c r="G127" s="2">
        <v>2</v>
      </c>
      <c r="H127" s="2">
        <v>14</v>
      </c>
      <c r="I127" s="2">
        <v>6</v>
      </c>
      <c r="J127" s="2">
        <v>53</v>
      </c>
      <c r="K127" s="2">
        <v>53</v>
      </c>
      <c r="L127" s="2">
        <v>0</v>
      </c>
      <c r="M127" s="2">
        <v>0</v>
      </c>
      <c r="N127" s="2">
        <v>999</v>
      </c>
      <c r="O127" s="2">
        <v>106</v>
      </c>
      <c r="P127" s="2">
        <v>106</v>
      </c>
      <c r="Q127" s="2">
        <v>106</v>
      </c>
      <c r="R127" s="2">
        <v>1105</v>
      </c>
      <c r="S127" s="2">
        <v>53</v>
      </c>
      <c r="T127" s="2">
        <v>0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9</v>
      </c>
      <c r="Z127" s="2">
        <v>4</v>
      </c>
      <c r="AA127" s="2">
        <v>5</v>
      </c>
      <c r="AB127" s="2">
        <v>2</v>
      </c>
      <c r="AG127" s="2">
        <v>7</v>
      </c>
      <c r="AH127" s="2">
        <v>2</v>
      </c>
      <c r="AI127" s="2">
        <v>2</v>
      </c>
      <c r="AJ127" s="2">
        <v>2</v>
      </c>
      <c r="AK127" s="2">
        <v>2</v>
      </c>
      <c r="AL127" s="2">
        <v>3</v>
      </c>
      <c r="AM127" s="2">
        <v>998.70299999999997</v>
      </c>
      <c r="AN127" s="2">
        <v>960.05499999999995</v>
      </c>
      <c r="AO127" s="2">
        <v>38.648000000000025</v>
      </c>
      <c r="AP127" s="2">
        <v>106.00127000000001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1</v>
      </c>
      <c r="BT127" s="65">
        <v>0</v>
      </c>
      <c r="BU127" s="65">
        <v>0</v>
      </c>
      <c r="BV127" s="65">
        <v>1</v>
      </c>
      <c r="BW127" s="65">
        <v>1</v>
      </c>
      <c r="BX127" s="65">
        <v>1</v>
      </c>
      <c r="BY127" s="65">
        <v>1</v>
      </c>
      <c r="BZ127" s="65">
        <v>2</v>
      </c>
      <c r="CA127" s="65">
        <v>1</v>
      </c>
      <c r="CB127" s="65">
        <v>1</v>
      </c>
      <c r="CC127" s="65">
        <v>0</v>
      </c>
      <c r="CD127" s="65">
        <v>1</v>
      </c>
      <c r="CE127" s="65">
        <v>2</v>
      </c>
      <c r="CF127" s="65">
        <v>0</v>
      </c>
      <c r="CG127" s="65">
        <v>1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8</v>
      </c>
      <c r="CT127" s="65">
        <v>7</v>
      </c>
      <c r="CU127" s="65">
        <v>10</v>
      </c>
      <c r="CV127" s="65">
        <v>6</v>
      </c>
      <c r="CW127" s="65">
        <v>5</v>
      </c>
      <c r="CX127" s="65">
        <v>9</v>
      </c>
      <c r="CY127" s="65">
        <v>5</v>
      </c>
      <c r="CZ127" s="65">
        <v>5</v>
      </c>
      <c r="DA127" s="65">
        <v>6</v>
      </c>
      <c r="DB127" s="65">
        <v>6</v>
      </c>
      <c r="DC127" s="65">
        <v>5</v>
      </c>
      <c r="DD127" s="65">
        <v>10</v>
      </c>
      <c r="DE127" s="65">
        <v>7</v>
      </c>
      <c r="DF127" s="65">
        <v>4</v>
      </c>
      <c r="DG127" s="65">
        <v>8</v>
      </c>
      <c r="DH127" s="65">
        <v>5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85" t="s">
        <v>10</v>
      </c>
      <c r="DU127" s="385" t="s">
        <v>453</v>
      </c>
      <c r="DV127" s="385">
        <v>2</v>
      </c>
      <c r="DW127" s="385" t="s">
        <v>1</v>
      </c>
      <c r="DX127" s="385">
        <v>2</v>
      </c>
      <c r="DY127" s="385">
        <v>5</v>
      </c>
      <c r="DZ127" s="385">
        <v>3</v>
      </c>
      <c r="EA127" s="385">
        <v>5</v>
      </c>
      <c r="EB127" s="385">
        <v>3</v>
      </c>
      <c r="EC127" s="385">
        <v>3</v>
      </c>
      <c r="ED127" s="385">
        <v>4</v>
      </c>
      <c r="EE127" s="385">
        <v>2</v>
      </c>
      <c r="EF127" s="385">
        <v>2</v>
      </c>
      <c r="EG127" s="385">
        <v>3</v>
      </c>
      <c r="EH127" s="385">
        <v>2</v>
      </c>
      <c r="EI127" s="385">
        <v>2</v>
      </c>
      <c r="EJ127" s="385">
        <v>6</v>
      </c>
      <c r="EK127" s="385">
        <v>3</v>
      </c>
      <c r="EL127" s="385">
        <v>2</v>
      </c>
      <c r="EM127" s="385">
        <v>5</v>
      </c>
      <c r="EN127" s="385">
        <v>3</v>
      </c>
      <c r="EO127" s="385">
        <v>3</v>
      </c>
      <c r="EP127" s="385">
        <v>4</v>
      </c>
      <c r="EQ127" s="385">
        <v>5</v>
      </c>
      <c r="ER127" s="385">
        <v>3</v>
      </c>
      <c r="ES127" s="385">
        <v>2</v>
      </c>
      <c r="ET127" s="385">
        <v>5</v>
      </c>
      <c r="EU127" s="385">
        <v>3</v>
      </c>
      <c r="EV127" s="385">
        <v>3</v>
      </c>
      <c r="EW127" s="385">
        <v>3</v>
      </c>
      <c r="EX127" s="385">
        <v>4</v>
      </c>
      <c r="EY127" s="385">
        <v>3</v>
      </c>
      <c r="EZ127" s="385">
        <v>4</v>
      </c>
      <c r="FA127" s="385">
        <v>4</v>
      </c>
      <c r="FB127" s="385">
        <v>2</v>
      </c>
      <c r="FC127" s="385">
        <v>3</v>
      </c>
      <c r="FD127" s="385">
        <v>2</v>
      </c>
      <c r="FE127" s="385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385"/>
      <c r="GK127" s="385"/>
      <c r="GL127" s="385"/>
      <c r="GM127" s="2"/>
      <c r="GN127" s="2"/>
      <c r="GO127" s="2"/>
      <c r="GP127" s="2"/>
      <c r="GQ127" s="2"/>
      <c r="GR127" s="2"/>
    </row>
    <row r="128" spans="1:200" x14ac:dyDescent="0.25">
      <c r="A128" s="2" t="s">
        <v>1049</v>
      </c>
      <c r="B128" s="2" t="s">
        <v>781</v>
      </c>
      <c r="C128" s="2" t="s">
        <v>1020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999</v>
      </c>
      <c r="K128" s="2">
        <v>999</v>
      </c>
      <c r="L128" s="2">
        <v>0</v>
      </c>
      <c r="M128" s="2">
        <v>0</v>
      </c>
      <c r="N128" s="2">
        <v>999</v>
      </c>
      <c r="O128" s="2">
        <v>1998</v>
      </c>
      <c r="P128" s="2">
        <v>1998</v>
      </c>
      <c r="Q128" s="2">
        <v>1998</v>
      </c>
      <c r="R128" s="2">
        <v>2997</v>
      </c>
      <c r="S128" s="2">
        <v>0</v>
      </c>
      <c r="U128" s="2">
        <v>0</v>
      </c>
      <c r="V128" s="2" t="e">
        <v>#DIV/0!</v>
      </c>
      <c r="W128" s="2">
        <v>0</v>
      </c>
      <c r="X128" s="2" t="e">
        <v>#DIV/0!</v>
      </c>
      <c r="AG128" s="2" t="s">
        <v>895</v>
      </c>
      <c r="AH128" s="2" t="s">
        <v>895</v>
      </c>
      <c r="AI128" s="2" t="s">
        <v>895</v>
      </c>
      <c r="AJ128" s="2" t="s">
        <v>895</v>
      </c>
      <c r="AK128" s="2" t="s">
        <v>895</v>
      </c>
      <c r="AL128" s="2">
        <v>50</v>
      </c>
      <c r="AM128" s="2">
        <v>0</v>
      </c>
      <c r="AP128" s="2">
        <v>1998.00128</v>
      </c>
      <c r="AQ128" s="65">
        <v>0</v>
      </c>
      <c r="AR128" s="65">
        <v>0</v>
      </c>
      <c r="AS128" s="65">
        <v>0</v>
      </c>
      <c r="AT128" s="65">
        <v>0</v>
      </c>
      <c r="AU128" s="65">
        <v>0</v>
      </c>
      <c r="AV128" s="65">
        <v>0</v>
      </c>
      <c r="AW128" s="65">
        <v>0</v>
      </c>
      <c r="AX128" s="65">
        <v>0</v>
      </c>
      <c r="AY128" s="65">
        <v>0</v>
      </c>
      <c r="AZ128" s="65">
        <v>0</v>
      </c>
      <c r="BA128" s="65">
        <v>0</v>
      </c>
      <c r="BB128" s="65">
        <v>0</v>
      </c>
      <c r="BC128" s="65">
        <v>0</v>
      </c>
      <c r="BD128" s="65">
        <v>0</v>
      </c>
      <c r="BE128" s="65">
        <v>0</v>
      </c>
      <c r="BF128" s="65">
        <v>0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0</v>
      </c>
      <c r="CT128" s="65">
        <v>0</v>
      </c>
      <c r="CU128" s="65">
        <v>0</v>
      </c>
      <c r="CV128" s="65">
        <v>0</v>
      </c>
      <c r="CW128" s="65">
        <v>0</v>
      </c>
      <c r="CX128" s="65">
        <v>0</v>
      </c>
      <c r="CY128" s="65">
        <v>0</v>
      </c>
      <c r="CZ128" s="65">
        <v>0</v>
      </c>
      <c r="DA128" s="65">
        <v>0</v>
      </c>
      <c r="DB128" s="65">
        <v>0</v>
      </c>
      <c r="DC128" s="65">
        <v>0</v>
      </c>
      <c r="DD128" s="65"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420</v>
      </c>
      <c r="DU128" s="385" t="s">
        <v>453</v>
      </c>
      <c r="DV128" s="385" t="s">
        <v>895</v>
      </c>
      <c r="DW128" s="2" t="s">
        <v>1</v>
      </c>
      <c r="DX128" s="2" t="s">
        <v>895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385">
        <v>0</v>
      </c>
      <c r="FB128" s="385">
        <v>0</v>
      </c>
      <c r="FC128" s="385">
        <v>0</v>
      </c>
      <c r="FD128" s="385">
        <v>0</v>
      </c>
      <c r="FE128" s="385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385"/>
      <c r="GK128" s="385"/>
      <c r="GL128" s="385"/>
      <c r="GM128" s="2"/>
      <c r="GN128" s="2"/>
      <c r="GO128" s="2"/>
      <c r="GP128" s="2"/>
      <c r="GQ128" s="2"/>
      <c r="GR128" s="2"/>
    </row>
    <row r="129" spans="1:200" x14ac:dyDescent="0.25">
      <c r="A129" s="2" t="s">
        <v>1050</v>
      </c>
      <c r="B129" s="2" t="s">
        <v>615</v>
      </c>
      <c r="C129" s="2" t="s">
        <v>1050</v>
      </c>
      <c r="D129" s="2">
        <v>0</v>
      </c>
      <c r="E129" s="2">
        <v>0</v>
      </c>
      <c r="F129" s="2">
        <v>15</v>
      </c>
      <c r="G129" s="2">
        <v>12</v>
      </c>
      <c r="H129" s="2">
        <v>0</v>
      </c>
      <c r="I129" s="2">
        <v>27</v>
      </c>
      <c r="J129" s="2">
        <v>78</v>
      </c>
      <c r="K129" s="2">
        <v>78</v>
      </c>
      <c r="L129" s="2">
        <v>0</v>
      </c>
      <c r="M129" s="2">
        <v>0</v>
      </c>
      <c r="N129" s="2">
        <v>999</v>
      </c>
      <c r="O129" s="2">
        <v>156</v>
      </c>
      <c r="P129" s="2">
        <v>156</v>
      </c>
      <c r="Q129" s="2">
        <v>156</v>
      </c>
      <c r="R129" s="2">
        <v>1155</v>
      </c>
      <c r="S129" s="2">
        <v>78</v>
      </c>
      <c r="T129" s="2">
        <v>0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0</v>
      </c>
      <c r="Z129" s="2">
        <v>13</v>
      </c>
      <c r="AA129" s="2">
        <v>0</v>
      </c>
      <c r="AB129" s="2">
        <v>14</v>
      </c>
      <c r="AG129" s="2">
        <v>41</v>
      </c>
      <c r="AH129" s="2">
        <v>40</v>
      </c>
      <c r="AI129" s="2">
        <v>40</v>
      </c>
      <c r="AJ129" s="2">
        <v>40</v>
      </c>
      <c r="AK129" s="2">
        <v>40</v>
      </c>
      <c r="AL129" s="2">
        <v>45</v>
      </c>
      <c r="AM129" s="2">
        <v>525.83199999999999</v>
      </c>
      <c r="AN129" s="2">
        <v>0</v>
      </c>
      <c r="AP129" s="2">
        <v>156.00129000000001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15</v>
      </c>
      <c r="CT129" s="65">
        <v>11</v>
      </c>
      <c r="CU129" s="65">
        <v>12</v>
      </c>
      <c r="CV129" s="65">
        <v>6</v>
      </c>
      <c r="CW129" s="65">
        <v>7</v>
      </c>
      <c r="CX129" s="65">
        <v>15</v>
      </c>
      <c r="CY129" s="65">
        <v>7</v>
      </c>
      <c r="CZ129" s="65">
        <v>8</v>
      </c>
      <c r="DA129" s="65">
        <v>10</v>
      </c>
      <c r="DB129" s="65">
        <v>9</v>
      </c>
      <c r="DC129" s="65">
        <v>8</v>
      </c>
      <c r="DD129" s="65">
        <v>13</v>
      </c>
      <c r="DE129" s="65">
        <v>9</v>
      </c>
      <c r="DF129" s="65">
        <v>8</v>
      </c>
      <c r="DG129" s="65">
        <v>9</v>
      </c>
      <c r="DH129" s="65">
        <v>9</v>
      </c>
      <c r="DI129" s="65">
        <v>0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768</v>
      </c>
      <c r="DU129" s="385" t="s">
        <v>453</v>
      </c>
      <c r="DV129" s="385">
        <v>40</v>
      </c>
      <c r="DW129" s="2" t="s">
        <v>1</v>
      </c>
      <c r="DX129" s="2">
        <v>40</v>
      </c>
      <c r="DY129" s="2">
        <v>8</v>
      </c>
      <c r="DZ129" s="2">
        <v>6</v>
      </c>
      <c r="EA129" s="2">
        <v>6</v>
      </c>
      <c r="EB129" s="2">
        <v>3</v>
      </c>
      <c r="EC129" s="2">
        <v>4</v>
      </c>
      <c r="ED129" s="2">
        <v>7</v>
      </c>
      <c r="EE129" s="2">
        <v>3</v>
      </c>
      <c r="EF129" s="2">
        <v>4</v>
      </c>
      <c r="EG129" s="2">
        <v>5</v>
      </c>
      <c r="EH129" s="2">
        <v>4</v>
      </c>
      <c r="EI129" s="2">
        <v>4</v>
      </c>
      <c r="EJ129" s="2">
        <v>6</v>
      </c>
      <c r="EK129" s="2">
        <v>4</v>
      </c>
      <c r="EL129" s="2">
        <v>4</v>
      </c>
      <c r="EM129" s="2">
        <v>5</v>
      </c>
      <c r="EN129" s="2">
        <v>5</v>
      </c>
      <c r="EO129" s="2">
        <v>7</v>
      </c>
      <c r="EP129" s="2">
        <v>5</v>
      </c>
      <c r="EQ129" s="2">
        <v>6</v>
      </c>
      <c r="ER129" s="2">
        <v>3</v>
      </c>
      <c r="ES129" s="2">
        <v>3</v>
      </c>
      <c r="ET129" s="2">
        <v>8</v>
      </c>
      <c r="EU129" s="2">
        <v>4</v>
      </c>
      <c r="EV129" s="2">
        <v>4</v>
      </c>
      <c r="EW129" s="2">
        <v>5</v>
      </c>
      <c r="EX129" s="2">
        <v>5</v>
      </c>
      <c r="EY129" s="2">
        <v>4</v>
      </c>
      <c r="EZ129" s="2">
        <v>7</v>
      </c>
      <c r="FA129" s="385">
        <v>5</v>
      </c>
      <c r="FB129" s="385">
        <v>4</v>
      </c>
      <c r="FC129" s="385">
        <v>4</v>
      </c>
      <c r="FD129" s="385">
        <v>4</v>
      </c>
      <c r="FE129" s="385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385"/>
      <c r="GK129" s="385"/>
      <c r="GL129" s="385"/>
      <c r="GM129" s="2"/>
      <c r="GN129" s="2"/>
      <c r="GO129" s="2"/>
      <c r="GP129" s="2"/>
      <c r="GQ129" s="2"/>
      <c r="GR129" s="2"/>
    </row>
    <row r="130" spans="1:200" x14ac:dyDescent="0.25">
      <c r="A130" s="2" t="s">
        <v>1051</v>
      </c>
      <c r="B130" s="2" t="s">
        <v>323</v>
      </c>
      <c r="C130" s="2" t="s">
        <v>1036</v>
      </c>
      <c r="D130" s="2">
        <v>12</v>
      </c>
      <c r="E130" s="2">
        <v>0</v>
      </c>
      <c r="F130" s="2">
        <v>6</v>
      </c>
      <c r="G130" s="2">
        <v>0</v>
      </c>
      <c r="H130" s="2">
        <v>12</v>
      </c>
      <c r="I130" s="2">
        <v>6</v>
      </c>
      <c r="J130" s="2">
        <v>51</v>
      </c>
      <c r="K130" s="2">
        <v>55</v>
      </c>
      <c r="L130" s="2">
        <v>0</v>
      </c>
      <c r="M130" s="2">
        <v>0</v>
      </c>
      <c r="N130" s="2">
        <v>999</v>
      </c>
      <c r="O130" s="2">
        <v>106</v>
      </c>
      <c r="P130" s="2">
        <v>106</v>
      </c>
      <c r="Q130" s="2">
        <v>106</v>
      </c>
      <c r="R130" s="2">
        <v>1105</v>
      </c>
      <c r="S130" s="2">
        <v>51</v>
      </c>
      <c r="T130" s="2">
        <v>-0.25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7</v>
      </c>
      <c r="Z130" s="2">
        <v>2</v>
      </c>
      <c r="AA130" s="2">
        <v>5</v>
      </c>
      <c r="AB130" s="2">
        <v>4</v>
      </c>
      <c r="AG130" s="2">
        <v>3</v>
      </c>
      <c r="AH130" s="2">
        <v>2</v>
      </c>
      <c r="AI130" s="2">
        <v>2</v>
      </c>
      <c r="AJ130" s="2">
        <v>2</v>
      </c>
      <c r="AK130" s="2">
        <v>2</v>
      </c>
      <c r="AL130" s="2">
        <v>4</v>
      </c>
      <c r="AM130" s="2">
        <v>998.70299999999997</v>
      </c>
      <c r="AN130" s="2">
        <v>981.98199999999997</v>
      </c>
      <c r="AO130" s="2">
        <v>16.721000000000004</v>
      </c>
      <c r="AP130" s="2">
        <v>106.0013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2</v>
      </c>
      <c r="BS130" s="65">
        <v>1</v>
      </c>
      <c r="BT130" s="65">
        <v>1</v>
      </c>
      <c r="BU130" s="65">
        <v>2</v>
      </c>
      <c r="BV130" s="65">
        <v>0</v>
      </c>
      <c r="BW130" s="65">
        <v>1</v>
      </c>
      <c r="BX130" s="65">
        <v>1</v>
      </c>
      <c r="BY130" s="65">
        <v>0</v>
      </c>
      <c r="BZ130" s="65">
        <v>0</v>
      </c>
      <c r="CA130" s="65">
        <v>0</v>
      </c>
      <c r="CB130" s="65">
        <v>1</v>
      </c>
      <c r="CC130" s="65">
        <v>1</v>
      </c>
      <c r="CD130" s="65">
        <v>1</v>
      </c>
      <c r="CE130" s="65">
        <v>0</v>
      </c>
      <c r="CF130" s="65">
        <v>0</v>
      </c>
      <c r="CG130" s="65">
        <v>1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6</v>
      </c>
      <c r="CT130" s="65">
        <v>8</v>
      </c>
      <c r="CU130" s="65">
        <v>8</v>
      </c>
      <c r="CV130" s="65">
        <v>4</v>
      </c>
      <c r="CW130" s="65">
        <v>6</v>
      </c>
      <c r="CX130" s="65">
        <v>9</v>
      </c>
      <c r="CY130" s="65">
        <v>5</v>
      </c>
      <c r="CZ130" s="65">
        <v>6</v>
      </c>
      <c r="DA130" s="65">
        <v>8</v>
      </c>
      <c r="DB130" s="65">
        <v>6</v>
      </c>
      <c r="DC130" s="65">
        <v>6</v>
      </c>
      <c r="DD130" s="65">
        <v>7</v>
      </c>
      <c r="DE130" s="65">
        <v>7</v>
      </c>
      <c r="DF130" s="65">
        <v>8</v>
      </c>
      <c r="DG130" s="65">
        <v>6</v>
      </c>
      <c r="DH130" s="65">
        <v>6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85" t="s">
        <v>783</v>
      </c>
      <c r="DU130" s="385" t="s">
        <v>453</v>
      </c>
      <c r="DV130" s="385">
        <v>2</v>
      </c>
      <c r="DW130" s="385" t="s">
        <v>1</v>
      </c>
      <c r="DX130" s="385">
        <v>2</v>
      </c>
      <c r="DY130" s="385">
        <v>3</v>
      </c>
      <c r="DZ130" s="385">
        <v>3</v>
      </c>
      <c r="EA130" s="385">
        <v>3</v>
      </c>
      <c r="EB130" s="385">
        <v>2</v>
      </c>
      <c r="EC130" s="385">
        <v>3</v>
      </c>
      <c r="ED130" s="385">
        <v>5</v>
      </c>
      <c r="EE130" s="385">
        <v>2</v>
      </c>
      <c r="EF130" s="385">
        <v>3</v>
      </c>
      <c r="EG130" s="385">
        <v>4</v>
      </c>
      <c r="EH130" s="385">
        <v>3</v>
      </c>
      <c r="EI130" s="385">
        <v>4</v>
      </c>
      <c r="EJ130" s="385">
        <v>4</v>
      </c>
      <c r="EK130" s="385">
        <v>3</v>
      </c>
      <c r="EL130" s="385">
        <v>4</v>
      </c>
      <c r="EM130" s="385">
        <v>3</v>
      </c>
      <c r="EN130" s="385">
        <v>2</v>
      </c>
      <c r="EO130" s="385">
        <v>3</v>
      </c>
      <c r="EP130" s="385">
        <v>5</v>
      </c>
      <c r="EQ130" s="385">
        <v>5</v>
      </c>
      <c r="ER130" s="385">
        <v>2</v>
      </c>
      <c r="ES130" s="385">
        <v>3</v>
      </c>
      <c r="ET130" s="385">
        <v>4</v>
      </c>
      <c r="EU130" s="385">
        <v>3</v>
      </c>
      <c r="EV130" s="385">
        <v>3</v>
      </c>
      <c r="EW130" s="385">
        <v>4</v>
      </c>
      <c r="EX130" s="385">
        <v>3</v>
      </c>
      <c r="EY130" s="385">
        <v>2</v>
      </c>
      <c r="EZ130" s="385">
        <v>3</v>
      </c>
      <c r="FA130" s="385">
        <v>4</v>
      </c>
      <c r="FB130" s="385">
        <v>4</v>
      </c>
      <c r="FC130" s="385">
        <v>3</v>
      </c>
      <c r="FD130" s="385">
        <v>4</v>
      </c>
      <c r="FE130" s="385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385"/>
      <c r="GK130" s="385"/>
      <c r="GL130" s="385"/>
      <c r="GM130" s="2"/>
      <c r="GN130" s="2"/>
      <c r="GO130" s="2"/>
      <c r="GP130" s="2"/>
      <c r="GQ130" s="2"/>
      <c r="GR130" s="2"/>
    </row>
    <row r="131" spans="1:200" x14ac:dyDescent="0.25">
      <c r="A131" s="2" t="s">
        <v>1052</v>
      </c>
      <c r="B131" s="2" t="s">
        <v>500</v>
      </c>
      <c r="C131" s="2" t="s">
        <v>1033</v>
      </c>
      <c r="D131" s="2">
        <v>4</v>
      </c>
      <c r="E131" s="2">
        <v>0</v>
      </c>
      <c r="F131" s="2">
        <v>6</v>
      </c>
      <c r="G131" s="2">
        <v>3</v>
      </c>
      <c r="H131" s="2">
        <v>4</v>
      </c>
      <c r="I131" s="2">
        <v>9</v>
      </c>
      <c r="J131" s="2">
        <v>64</v>
      </c>
      <c r="K131" s="2">
        <v>58</v>
      </c>
      <c r="L131" s="2">
        <v>0</v>
      </c>
      <c r="M131" s="2">
        <v>0</v>
      </c>
      <c r="N131" s="2">
        <v>999</v>
      </c>
      <c r="O131" s="2">
        <v>122</v>
      </c>
      <c r="P131" s="2">
        <v>122</v>
      </c>
      <c r="Q131" s="2">
        <v>122</v>
      </c>
      <c r="R131" s="2">
        <v>1121</v>
      </c>
      <c r="S131" s="2">
        <v>64</v>
      </c>
      <c r="T131" s="2">
        <v>0.375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0</v>
      </c>
      <c r="Z131" s="2">
        <v>6</v>
      </c>
      <c r="AA131" s="2">
        <v>4</v>
      </c>
      <c r="AB131" s="2">
        <v>3</v>
      </c>
      <c r="AG131" s="2">
        <v>27</v>
      </c>
      <c r="AH131" s="2">
        <v>20</v>
      </c>
      <c r="AI131" s="2">
        <v>20</v>
      </c>
      <c r="AJ131" s="2">
        <v>20</v>
      </c>
      <c r="AK131" s="2">
        <v>20</v>
      </c>
      <c r="AL131" s="2">
        <v>21</v>
      </c>
      <c r="AM131" s="2">
        <v>847.38400000000001</v>
      </c>
      <c r="AN131" s="2">
        <v>799.51599999999996</v>
      </c>
      <c r="AO131" s="2">
        <v>47.868000000000052</v>
      </c>
      <c r="AP131" s="2">
        <v>122.00131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1</v>
      </c>
      <c r="BY131" s="65">
        <v>1</v>
      </c>
      <c r="BZ131" s="65">
        <v>0</v>
      </c>
      <c r="CA131" s="65">
        <v>0</v>
      </c>
      <c r="CB131" s="65">
        <v>1</v>
      </c>
      <c r="CC131" s="65">
        <v>0</v>
      </c>
      <c r="CD131" s="65">
        <v>0</v>
      </c>
      <c r="CE131" s="65">
        <v>1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8</v>
      </c>
      <c r="CT131" s="65">
        <v>9</v>
      </c>
      <c r="CU131" s="65">
        <v>9</v>
      </c>
      <c r="CV131" s="65">
        <v>6</v>
      </c>
      <c r="CW131" s="65">
        <v>6</v>
      </c>
      <c r="CX131" s="65">
        <v>11</v>
      </c>
      <c r="CY131" s="65">
        <v>5</v>
      </c>
      <c r="CZ131" s="65">
        <v>5</v>
      </c>
      <c r="DA131" s="65">
        <v>9</v>
      </c>
      <c r="DB131" s="65">
        <v>8</v>
      </c>
      <c r="DC131" s="65">
        <v>5</v>
      </c>
      <c r="DD131" s="65">
        <v>12</v>
      </c>
      <c r="DE131" s="65">
        <v>9</v>
      </c>
      <c r="DF131" s="65">
        <v>7</v>
      </c>
      <c r="DG131" s="65">
        <v>7</v>
      </c>
      <c r="DH131" s="65">
        <v>6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784</v>
      </c>
      <c r="DU131" s="2" t="s">
        <v>453</v>
      </c>
      <c r="DV131" s="2">
        <v>20</v>
      </c>
      <c r="DW131" s="2" t="s">
        <v>1</v>
      </c>
      <c r="DX131" s="2">
        <v>20</v>
      </c>
      <c r="DY131" s="2">
        <v>4</v>
      </c>
      <c r="DZ131" s="2">
        <v>4</v>
      </c>
      <c r="EA131" s="2">
        <v>5</v>
      </c>
      <c r="EB131" s="2">
        <v>3</v>
      </c>
      <c r="EC131" s="2">
        <v>3</v>
      </c>
      <c r="ED131" s="2">
        <v>6</v>
      </c>
      <c r="EE131" s="2">
        <v>3</v>
      </c>
      <c r="EF131" s="2">
        <v>3</v>
      </c>
      <c r="EG131" s="2">
        <v>4</v>
      </c>
      <c r="EH131" s="2">
        <v>5</v>
      </c>
      <c r="EI131" s="2">
        <v>3</v>
      </c>
      <c r="EJ131" s="2">
        <v>4</v>
      </c>
      <c r="EK131" s="2">
        <v>5</v>
      </c>
      <c r="EL131" s="2">
        <v>5</v>
      </c>
      <c r="EM131" s="2">
        <v>4</v>
      </c>
      <c r="EN131" s="2">
        <v>3</v>
      </c>
      <c r="EO131" s="2">
        <v>4</v>
      </c>
      <c r="EP131" s="2">
        <v>5</v>
      </c>
      <c r="EQ131" s="2">
        <v>4</v>
      </c>
      <c r="ER131" s="2">
        <v>3</v>
      </c>
      <c r="ES131" s="2">
        <v>3</v>
      </c>
      <c r="ET131" s="2">
        <v>5</v>
      </c>
      <c r="EU131" s="2">
        <v>2</v>
      </c>
      <c r="EV131" s="2">
        <v>2</v>
      </c>
      <c r="EW131" s="2">
        <v>5</v>
      </c>
      <c r="EX131" s="2">
        <v>3</v>
      </c>
      <c r="EY131" s="2">
        <v>2</v>
      </c>
      <c r="EZ131" s="2">
        <v>8</v>
      </c>
      <c r="FA131" s="385">
        <v>4</v>
      </c>
      <c r="FB131" s="385">
        <v>2</v>
      </c>
      <c r="FC131" s="385">
        <v>3</v>
      </c>
      <c r="FD131" s="385">
        <v>3</v>
      </c>
      <c r="FE131" s="385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385"/>
      <c r="GK131" s="385"/>
      <c r="GL131" s="385"/>
      <c r="GM131" s="2"/>
      <c r="GN131" s="2"/>
      <c r="GO131" s="2"/>
      <c r="GP131" s="2"/>
      <c r="GQ131" s="2"/>
      <c r="GR131" s="2"/>
    </row>
    <row r="132" spans="1:200" x14ac:dyDescent="0.25">
      <c r="A132" s="2" t="s">
        <v>1053</v>
      </c>
      <c r="B132" s="2" t="s">
        <v>10</v>
      </c>
      <c r="C132" s="2" t="s">
        <v>1053</v>
      </c>
      <c r="D132" s="2">
        <v>0</v>
      </c>
      <c r="E132" s="2">
        <v>0</v>
      </c>
      <c r="F132" s="2">
        <v>10</v>
      </c>
      <c r="G132" s="2">
        <v>12</v>
      </c>
      <c r="H132" s="2">
        <v>0</v>
      </c>
      <c r="I132" s="2">
        <v>22</v>
      </c>
      <c r="J132" s="2">
        <v>74</v>
      </c>
      <c r="K132" s="2">
        <v>75</v>
      </c>
      <c r="L132" s="2">
        <v>0</v>
      </c>
      <c r="M132" s="2">
        <v>0</v>
      </c>
      <c r="N132" s="2">
        <v>999</v>
      </c>
      <c r="O132" s="2">
        <v>149</v>
      </c>
      <c r="P132" s="2">
        <v>149</v>
      </c>
      <c r="Q132" s="2">
        <v>149</v>
      </c>
      <c r="R132" s="2">
        <v>1148</v>
      </c>
      <c r="S132" s="2">
        <v>74</v>
      </c>
      <c r="T132" s="2">
        <v>-6.25E-2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0</v>
      </c>
      <c r="Z132" s="2">
        <v>11</v>
      </c>
      <c r="AA132" s="2">
        <v>0</v>
      </c>
      <c r="AB132" s="2">
        <v>11</v>
      </c>
      <c r="AG132" s="2">
        <v>37</v>
      </c>
      <c r="AH132" s="2">
        <v>36</v>
      </c>
      <c r="AI132" s="2">
        <v>36</v>
      </c>
      <c r="AJ132" s="2">
        <v>36</v>
      </c>
      <c r="AK132" s="2">
        <v>36</v>
      </c>
      <c r="AL132" s="2">
        <v>40</v>
      </c>
      <c r="AM132" s="2">
        <v>592.03399999999999</v>
      </c>
      <c r="AN132" s="2">
        <v>763.71500000000003</v>
      </c>
      <c r="AO132" s="2">
        <v>-171.68100000000004</v>
      </c>
      <c r="AP132" s="2">
        <v>149.00131999999999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13</v>
      </c>
      <c r="CT132" s="65">
        <v>11</v>
      </c>
      <c r="CU132" s="65">
        <v>12</v>
      </c>
      <c r="CV132" s="65">
        <v>6</v>
      </c>
      <c r="CW132" s="65">
        <v>7</v>
      </c>
      <c r="CX132" s="65">
        <v>15</v>
      </c>
      <c r="CY132" s="65">
        <v>7</v>
      </c>
      <c r="CZ132" s="65">
        <v>6</v>
      </c>
      <c r="DA132" s="65">
        <v>11</v>
      </c>
      <c r="DB132" s="65">
        <v>11</v>
      </c>
      <c r="DC132" s="65">
        <v>6</v>
      </c>
      <c r="DD132" s="65">
        <v>10</v>
      </c>
      <c r="DE132" s="65">
        <v>10</v>
      </c>
      <c r="DF132" s="65">
        <v>8</v>
      </c>
      <c r="DG132" s="65">
        <v>9</v>
      </c>
      <c r="DH132" s="65">
        <v>7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400</v>
      </c>
      <c r="DU132" s="2" t="s">
        <v>453</v>
      </c>
      <c r="DV132" s="2">
        <v>36</v>
      </c>
      <c r="DW132" s="2" t="s">
        <v>1</v>
      </c>
      <c r="DX132" s="2">
        <v>36</v>
      </c>
      <c r="DY132" s="2">
        <v>6</v>
      </c>
      <c r="DZ132" s="2">
        <v>5</v>
      </c>
      <c r="EA132" s="2">
        <v>6</v>
      </c>
      <c r="EB132" s="2">
        <v>3</v>
      </c>
      <c r="EC132" s="2">
        <v>4</v>
      </c>
      <c r="ED132" s="2">
        <v>8</v>
      </c>
      <c r="EE132" s="2">
        <v>3</v>
      </c>
      <c r="EF132" s="2">
        <v>3</v>
      </c>
      <c r="EG132" s="2">
        <v>6</v>
      </c>
      <c r="EH132" s="2">
        <v>5</v>
      </c>
      <c r="EI132" s="2">
        <v>3</v>
      </c>
      <c r="EJ132" s="2">
        <v>4</v>
      </c>
      <c r="EK132" s="2">
        <v>5</v>
      </c>
      <c r="EL132" s="2">
        <v>4</v>
      </c>
      <c r="EM132" s="2">
        <v>5</v>
      </c>
      <c r="EN132" s="2">
        <v>4</v>
      </c>
      <c r="EO132" s="2">
        <v>7</v>
      </c>
      <c r="EP132" s="2">
        <v>6</v>
      </c>
      <c r="EQ132" s="2">
        <v>6</v>
      </c>
      <c r="ER132" s="2">
        <v>3</v>
      </c>
      <c r="ES132" s="2">
        <v>3</v>
      </c>
      <c r="ET132" s="2">
        <v>7</v>
      </c>
      <c r="EU132" s="2">
        <v>4</v>
      </c>
      <c r="EV132" s="2">
        <v>3</v>
      </c>
      <c r="EW132" s="2">
        <v>5</v>
      </c>
      <c r="EX132" s="2">
        <v>6</v>
      </c>
      <c r="EY132" s="2">
        <v>3</v>
      </c>
      <c r="EZ132" s="2">
        <v>6</v>
      </c>
      <c r="FA132" s="385">
        <v>5</v>
      </c>
      <c r="FB132" s="385">
        <v>4</v>
      </c>
      <c r="FC132" s="385">
        <v>4</v>
      </c>
      <c r="FD132" s="385">
        <v>3</v>
      </c>
      <c r="FE132" s="385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385"/>
      <c r="GK132" s="385"/>
      <c r="GL132" s="385"/>
      <c r="GM132" s="2"/>
      <c r="GN132" s="2"/>
      <c r="GO132" s="2"/>
      <c r="GP132" s="2"/>
      <c r="GQ132" s="2"/>
      <c r="GR132" s="2"/>
    </row>
    <row r="133" spans="1:200" x14ac:dyDescent="0.25">
      <c r="A133" s="2" t="s">
        <v>1054</v>
      </c>
      <c r="B133" s="2" t="s">
        <v>394</v>
      </c>
      <c r="C133" s="2" t="s">
        <v>1044</v>
      </c>
      <c r="D133" s="2">
        <v>8</v>
      </c>
      <c r="E133" s="2">
        <v>0</v>
      </c>
      <c r="F133" s="2">
        <v>9</v>
      </c>
      <c r="G133" s="2">
        <v>0</v>
      </c>
      <c r="H133" s="2">
        <v>8</v>
      </c>
      <c r="I133" s="2">
        <v>9</v>
      </c>
      <c r="J133" s="2">
        <v>57</v>
      </c>
      <c r="K133" s="2">
        <v>56</v>
      </c>
      <c r="L133" s="2">
        <v>0</v>
      </c>
      <c r="M133" s="2">
        <v>0</v>
      </c>
      <c r="N133" s="2">
        <v>999</v>
      </c>
      <c r="O133" s="2">
        <v>113</v>
      </c>
      <c r="P133" s="2">
        <v>113</v>
      </c>
      <c r="Q133" s="2">
        <v>113</v>
      </c>
      <c r="R133" s="2">
        <v>1112</v>
      </c>
      <c r="S133" s="2">
        <v>57</v>
      </c>
      <c r="T133" s="2">
        <v>6.25E-2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4</v>
      </c>
      <c r="Z133" s="2">
        <v>5</v>
      </c>
      <c r="AA133" s="2">
        <v>4</v>
      </c>
      <c r="AB133" s="2">
        <v>4</v>
      </c>
      <c r="AG133" s="2">
        <v>12</v>
      </c>
      <c r="AH133" s="2">
        <v>11</v>
      </c>
      <c r="AI133" s="2">
        <v>11</v>
      </c>
      <c r="AJ133" s="2">
        <v>11</v>
      </c>
      <c r="AK133" s="2">
        <v>11</v>
      </c>
      <c r="AL133" s="2">
        <v>12</v>
      </c>
      <c r="AM133" s="2">
        <v>932.50099999999998</v>
      </c>
      <c r="AN133" s="2">
        <v>908.91600000000005</v>
      </c>
      <c r="AO133" s="2">
        <v>23.584999999999923</v>
      </c>
      <c r="AP133" s="2">
        <v>113.00133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1</v>
      </c>
      <c r="BT133" s="65">
        <v>0</v>
      </c>
      <c r="BU133" s="65">
        <v>1</v>
      </c>
      <c r="BV133" s="65">
        <v>0</v>
      </c>
      <c r="BW133" s="65">
        <v>2</v>
      </c>
      <c r="BX133" s="65">
        <v>0</v>
      </c>
      <c r="BY133" s="65">
        <v>0</v>
      </c>
      <c r="BZ133" s="65">
        <v>0</v>
      </c>
      <c r="CA133" s="65">
        <v>0</v>
      </c>
      <c r="CB133" s="65">
        <v>1</v>
      </c>
      <c r="CC133" s="65">
        <v>0</v>
      </c>
      <c r="CD133" s="65">
        <v>2</v>
      </c>
      <c r="CE133" s="65">
        <v>1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8</v>
      </c>
      <c r="CT133" s="65">
        <v>7</v>
      </c>
      <c r="CU133" s="65">
        <v>10</v>
      </c>
      <c r="CV133" s="65">
        <v>5</v>
      </c>
      <c r="CW133" s="65">
        <v>7</v>
      </c>
      <c r="CX133" s="65">
        <v>8</v>
      </c>
      <c r="CY133" s="65">
        <v>7</v>
      </c>
      <c r="CZ133" s="65">
        <v>7</v>
      </c>
      <c r="DA133" s="65">
        <v>9</v>
      </c>
      <c r="DB133" s="65">
        <v>6</v>
      </c>
      <c r="DC133" s="65">
        <v>5</v>
      </c>
      <c r="DD133" s="65">
        <v>10</v>
      </c>
      <c r="DE133" s="65">
        <v>6</v>
      </c>
      <c r="DF133" s="65">
        <v>5</v>
      </c>
      <c r="DG133" s="65">
        <v>7</v>
      </c>
      <c r="DH133" s="65">
        <v>6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785</v>
      </c>
      <c r="DU133" s="2" t="s">
        <v>453</v>
      </c>
      <c r="DV133" s="2">
        <v>11</v>
      </c>
      <c r="DW133" s="2" t="s">
        <v>1</v>
      </c>
      <c r="DX133" s="2">
        <v>11</v>
      </c>
      <c r="DY133" s="2">
        <v>4</v>
      </c>
      <c r="DZ133" s="2">
        <v>3</v>
      </c>
      <c r="EA133" s="2">
        <v>5</v>
      </c>
      <c r="EB133" s="2">
        <v>2</v>
      </c>
      <c r="EC133" s="2">
        <v>4</v>
      </c>
      <c r="ED133" s="2">
        <v>4</v>
      </c>
      <c r="EE133" s="2">
        <v>3</v>
      </c>
      <c r="EF133" s="2">
        <v>3</v>
      </c>
      <c r="EG133" s="2">
        <v>5</v>
      </c>
      <c r="EH133" s="2">
        <v>3</v>
      </c>
      <c r="EI133" s="2">
        <v>3</v>
      </c>
      <c r="EJ133" s="2">
        <v>5</v>
      </c>
      <c r="EK133" s="2">
        <v>3</v>
      </c>
      <c r="EL133" s="2">
        <v>3</v>
      </c>
      <c r="EM133" s="2">
        <v>4</v>
      </c>
      <c r="EN133" s="2">
        <v>3</v>
      </c>
      <c r="EO133" s="2">
        <v>4</v>
      </c>
      <c r="EP133" s="2">
        <v>4</v>
      </c>
      <c r="EQ133" s="2">
        <v>5</v>
      </c>
      <c r="ER133" s="2">
        <v>3</v>
      </c>
      <c r="ES133" s="2">
        <v>3</v>
      </c>
      <c r="ET133" s="2">
        <v>4</v>
      </c>
      <c r="EU133" s="2">
        <v>4</v>
      </c>
      <c r="EV133" s="2">
        <v>4</v>
      </c>
      <c r="EW133" s="2">
        <v>4</v>
      </c>
      <c r="EX133" s="2">
        <v>3</v>
      </c>
      <c r="EY133" s="2">
        <v>2</v>
      </c>
      <c r="EZ133" s="2">
        <v>5</v>
      </c>
      <c r="FA133" s="385">
        <v>3</v>
      </c>
      <c r="FB133" s="385">
        <v>2</v>
      </c>
      <c r="FC133" s="385">
        <v>3</v>
      </c>
      <c r="FD133" s="385">
        <v>3</v>
      </c>
      <c r="FE133" s="385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385"/>
      <c r="GK133" s="385"/>
      <c r="GL133" s="385"/>
      <c r="GM133" s="2"/>
      <c r="GN133" s="2"/>
      <c r="GO133" s="2"/>
      <c r="GP133" s="2"/>
      <c r="GQ133" s="2"/>
      <c r="GR133" s="2"/>
    </row>
    <row r="134" spans="1:200" x14ac:dyDescent="0.25">
      <c r="A134" s="2" t="s">
        <v>1055</v>
      </c>
      <c r="B134" s="2" t="s">
        <v>783</v>
      </c>
      <c r="C134" s="2" t="s">
        <v>1055</v>
      </c>
      <c r="D134" s="2">
        <v>0</v>
      </c>
      <c r="E134" s="2">
        <v>0</v>
      </c>
      <c r="F134" s="2">
        <v>10</v>
      </c>
      <c r="G134" s="2">
        <v>12</v>
      </c>
      <c r="H134" s="2">
        <v>0</v>
      </c>
      <c r="I134" s="2">
        <v>22</v>
      </c>
      <c r="J134" s="2">
        <v>73</v>
      </c>
      <c r="K134" s="2">
        <v>77</v>
      </c>
      <c r="L134" s="2">
        <v>0</v>
      </c>
      <c r="M134" s="2">
        <v>0</v>
      </c>
      <c r="N134" s="2">
        <v>999</v>
      </c>
      <c r="O134" s="2">
        <v>150</v>
      </c>
      <c r="P134" s="2">
        <v>150</v>
      </c>
      <c r="Q134" s="2">
        <v>150</v>
      </c>
      <c r="R134" s="2">
        <v>1149</v>
      </c>
      <c r="S134" s="2">
        <v>73</v>
      </c>
      <c r="T134" s="2">
        <v>-0.25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0</v>
      </c>
      <c r="Z134" s="2">
        <v>10</v>
      </c>
      <c r="AA134" s="2">
        <v>0</v>
      </c>
      <c r="AB134" s="2">
        <v>12</v>
      </c>
      <c r="AG134" s="2">
        <v>36</v>
      </c>
      <c r="AH134" s="2">
        <v>37</v>
      </c>
      <c r="AI134" s="2">
        <v>37</v>
      </c>
      <c r="AJ134" s="2">
        <v>37</v>
      </c>
      <c r="AK134" s="2">
        <v>37</v>
      </c>
      <c r="AL134" s="2">
        <v>41</v>
      </c>
      <c r="AM134" s="2">
        <v>582.57600000000002</v>
      </c>
      <c r="AN134" s="2">
        <v>0</v>
      </c>
      <c r="AP134" s="2">
        <v>150.00134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13</v>
      </c>
      <c r="CT134" s="65">
        <v>13</v>
      </c>
      <c r="CU134" s="65">
        <v>11</v>
      </c>
      <c r="CV134" s="65">
        <v>7</v>
      </c>
      <c r="CW134" s="65">
        <v>7</v>
      </c>
      <c r="CX134" s="65">
        <v>14</v>
      </c>
      <c r="CY134" s="65">
        <v>8</v>
      </c>
      <c r="CZ134" s="65">
        <v>6</v>
      </c>
      <c r="DA134" s="65">
        <v>10</v>
      </c>
      <c r="DB134" s="65">
        <v>10</v>
      </c>
      <c r="DC134" s="65">
        <v>7</v>
      </c>
      <c r="DD134" s="65">
        <v>12</v>
      </c>
      <c r="DE134" s="65">
        <v>10</v>
      </c>
      <c r="DF134" s="65">
        <v>7</v>
      </c>
      <c r="DG134" s="65">
        <v>8</v>
      </c>
      <c r="DH134" s="65">
        <v>7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615</v>
      </c>
      <c r="DU134" s="2" t="s">
        <v>453</v>
      </c>
      <c r="DV134" s="385">
        <v>37</v>
      </c>
      <c r="DW134" s="385" t="s">
        <v>1</v>
      </c>
      <c r="DX134" s="385">
        <v>37</v>
      </c>
      <c r="DY134" s="2">
        <v>6</v>
      </c>
      <c r="DZ134" s="2">
        <v>7</v>
      </c>
      <c r="EA134" s="2">
        <v>6</v>
      </c>
      <c r="EB134" s="2">
        <v>3</v>
      </c>
      <c r="EC134" s="2">
        <v>4</v>
      </c>
      <c r="ED134" s="2">
        <v>8</v>
      </c>
      <c r="EE134" s="2">
        <v>4</v>
      </c>
      <c r="EF134" s="2">
        <v>3</v>
      </c>
      <c r="EG134" s="2">
        <v>4</v>
      </c>
      <c r="EH134" s="2">
        <v>5</v>
      </c>
      <c r="EI134" s="2">
        <v>3</v>
      </c>
      <c r="EJ134" s="2">
        <v>5</v>
      </c>
      <c r="EK134" s="2">
        <v>4</v>
      </c>
      <c r="EL134" s="2">
        <v>4</v>
      </c>
      <c r="EM134" s="2">
        <v>3</v>
      </c>
      <c r="EN134" s="2">
        <v>4</v>
      </c>
      <c r="EO134" s="2">
        <v>7</v>
      </c>
      <c r="EP134" s="2">
        <v>6</v>
      </c>
      <c r="EQ134" s="2">
        <v>5</v>
      </c>
      <c r="ER134" s="2">
        <v>4</v>
      </c>
      <c r="ES134" s="2">
        <v>3</v>
      </c>
      <c r="ET134" s="2">
        <v>6</v>
      </c>
      <c r="EU134" s="2">
        <v>4</v>
      </c>
      <c r="EV134" s="2">
        <v>3</v>
      </c>
      <c r="EW134" s="2">
        <v>6</v>
      </c>
      <c r="EX134" s="2">
        <v>5</v>
      </c>
      <c r="EY134" s="2">
        <v>4</v>
      </c>
      <c r="EZ134" s="2">
        <v>7</v>
      </c>
      <c r="FA134" s="385">
        <v>6</v>
      </c>
      <c r="FB134" s="385">
        <v>3</v>
      </c>
      <c r="FC134" s="385">
        <v>5</v>
      </c>
      <c r="FD134" s="385">
        <v>3</v>
      </c>
      <c r="FE134" s="385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385"/>
      <c r="GK134" s="385"/>
      <c r="GL134" s="385"/>
      <c r="GM134" s="2"/>
      <c r="GN134" s="2"/>
      <c r="GO134" s="2"/>
      <c r="GP134" s="2"/>
      <c r="GQ134" s="2"/>
      <c r="GR134" s="2"/>
    </row>
    <row r="135" spans="1:200" x14ac:dyDescent="0.25">
      <c r="A135" s="2" t="s">
        <v>1056</v>
      </c>
      <c r="B135" s="2" t="s">
        <v>405</v>
      </c>
      <c r="C135" s="2" t="s">
        <v>1056</v>
      </c>
      <c r="D135" s="2">
        <v>0</v>
      </c>
      <c r="E135" s="2">
        <v>0</v>
      </c>
      <c r="F135" s="2">
        <v>10</v>
      </c>
      <c r="G135" s="2">
        <v>12</v>
      </c>
      <c r="H135" s="2">
        <v>0</v>
      </c>
      <c r="I135" s="2">
        <v>22</v>
      </c>
      <c r="J135" s="2">
        <v>74</v>
      </c>
      <c r="K135" s="2">
        <v>81</v>
      </c>
      <c r="L135" s="2">
        <v>0</v>
      </c>
      <c r="M135" s="2">
        <v>0</v>
      </c>
      <c r="N135" s="2">
        <v>999</v>
      </c>
      <c r="O135" s="2">
        <v>155</v>
      </c>
      <c r="P135" s="2">
        <v>155</v>
      </c>
      <c r="Q135" s="2">
        <v>155</v>
      </c>
      <c r="R135" s="2">
        <v>1154</v>
      </c>
      <c r="S135" s="2">
        <v>74</v>
      </c>
      <c r="T135" s="2">
        <v>-0.4375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0</v>
      </c>
      <c r="Z135" s="2">
        <v>11</v>
      </c>
      <c r="AA135" s="2">
        <v>0</v>
      </c>
      <c r="AB135" s="2">
        <v>11</v>
      </c>
      <c r="AG135" s="2">
        <v>37</v>
      </c>
      <c r="AH135" s="2">
        <v>39</v>
      </c>
      <c r="AI135" s="2">
        <v>39</v>
      </c>
      <c r="AJ135" s="2">
        <v>39</v>
      </c>
      <c r="AK135" s="2">
        <v>39</v>
      </c>
      <c r="AL135" s="2">
        <v>44</v>
      </c>
      <c r="AM135" s="2">
        <v>535.28899999999999</v>
      </c>
      <c r="AN135" s="2">
        <v>658.06299999999999</v>
      </c>
      <c r="AO135" s="2">
        <v>-122.774</v>
      </c>
      <c r="AP135" s="2">
        <v>155.00135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12</v>
      </c>
      <c r="CT135" s="65">
        <v>14</v>
      </c>
      <c r="CU135" s="65">
        <v>15</v>
      </c>
      <c r="CV135" s="65">
        <v>7</v>
      </c>
      <c r="CW135" s="65">
        <v>7</v>
      </c>
      <c r="CX135" s="65">
        <v>14</v>
      </c>
      <c r="CY135" s="65">
        <v>7</v>
      </c>
      <c r="CZ135" s="65">
        <v>8</v>
      </c>
      <c r="DA135" s="65">
        <v>11</v>
      </c>
      <c r="DB135" s="65">
        <v>10</v>
      </c>
      <c r="DC135" s="65">
        <v>8</v>
      </c>
      <c r="DD135" s="65">
        <v>13</v>
      </c>
      <c r="DE135" s="65">
        <v>9</v>
      </c>
      <c r="DF135" s="65">
        <v>8</v>
      </c>
      <c r="DG135" s="65">
        <v>6</v>
      </c>
      <c r="DH135" s="65">
        <v>6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631</v>
      </c>
      <c r="DU135" s="2" t="s">
        <v>751</v>
      </c>
      <c r="DV135" s="385">
        <v>39</v>
      </c>
      <c r="DW135" s="385" t="s">
        <v>1</v>
      </c>
      <c r="DX135" s="385">
        <v>39</v>
      </c>
      <c r="DY135" s="2">
        <v>5</v>
      </c>
      <c r="DZ135" s="2">
        <v>7</v>
      </c>
      <c r="EA135" s="2">
        <v>8</v>
      </c>
      <c r="EB135" s="2">
        <v>4</v>
      </c>
      <c r="EC135" s="2">
        <v>4</v>
      </c>
      <c r="ED135" s="2">
        <v>7</v>
      </c>
      <c r="EE135" s="2">
        <v>4</v>
      </c>
      <c r="EF135" s="2">
        <v>3</v>
      </c>
      <c r="EG135" s="2">
        <v>6</v>
      </c>
      <c r="EH135" s="2">
        <v>4</v>
      </c>
      <c r="EI135" s="2">
        <v>3</v>
      </c>
      <c r="EJ135" s="2">
        <v>5</v>
      </c>
      <c r="EK135" s="2">
        <v>4</v>
      </c>
      <c r="EL135" s="2">
        <v>4</v>
      </c>
      <c r="EM135" s="2">
        <v>3</v>
      </c>
      <c r="EN135" s="2">
        <v>3</v>
      </c>
      <c r="EO135" s="2">
        <v>7</v>
      </c>
      <c r="EP135" s="2">
        <v>7</v>
      </c>
      <c r="EQ135" s="2">
        <v>7</v>
      </c>
      <c r="ER135" s="2">
        <v>3</v>
      </c>
      <c r="ES135" s="2">
        <v>3</v>
      </c>
      <c r="ET135" s="2">
        <v>7</v>
      </c>
      <c r="EU135" s="2">
        <v>3</v>
      </c>
      <c r="EV135" s="2">
        <v>5</v>
      </c>
      <c r="EW135" s="2">
        <v>5</v>
      </c>
      <c r="EX135" s="2">
        <v>6</v>
      </c>
      <c r="EY135" s="2">
        <v>5</v>
      </c>
      <c r="EZ135" s="2">
        <v>8</v>
      </c>
      <c r="FA135" s="385">
        <v>5</v>
      </c>
      <c r="FB135" s="385">
        <v>4</v>
      </c>
      <c r="FC135" s="385">
        <v>3</v>
      </c>
      <c r="FD135" s="385">
        <v>3</v>
      </c>
      <c r="FE135" s="385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385"/>
      <c r="GK135" s="385"/>
      <c r="GL135" s="385"/>
      <c r="GM135" s="2"/>
      <c r="GN135" s="2"/>
      <c r="GO135" s="2"/>
      <c r="GP135" s="2"/>
      <c r="GQ135" s="2"/>
      <c r="GR135" s="2"/>
    </row>
    <row r="136" spans="1:200" x14ac:dyDescent="0.25">
      <c r="A136" s="2" t="s">
        <v>1057</v>
      </c>
      <c r="B136" s="2" t="s">
        <v>634</v>
      </c>
      <c r="C136" s="2" t="s">
        <v>1057</v>
      </c>
      <c r="D136" s="2">
        <v>4</v>
      </c>
      <c r="E136" s="2">
        <v>0</v>
      </c>
      <c r="F136" s="2">
        <v>10</v>
      </c>
      <c r="G136" s="2">
        <v>1</v>
      </c>
      <c r="H136" s="2">
        <v>4</v>
      </c>
      <c r="I136" s="2">
        <v>11</v>
      </c>
      <c r="J136" s="2">
        <v>64</v>
      </c>
      <c r="K136" s="2">
        <v>56</v>
      </c>
      <c r="L136" s="2">
        <v>0</v>
      </c>
      <c r="M136" s="2">
        <v>0</v>
      </c>
      <c r="N136" s="2">
        <v>999</v>
      </c>
      <c r="O136" s="2">
        <v>120</v>
      </c>
      <c r="P136" s="2">
        <v>120</v>
      </c>
      <c r="Q136" s="2">
        <v>120</v>
      </c>
      <c r="R136" s="2">
        <v>1119</v>
      </c>
      <c r="S136" s="2">
        <v>64</v>
      </c>
      <c r="T136" s="2">
        <v>0.5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1</v>
      </c>
      <c r="Z136" s="2">
        <v>8</v>
      </c>
      <c r="AA136" s="2">
        <v>3</v>
      </c>
      <c r="AB136" s="2">
        <v>3</v>
      </c>
      <c r="AG136" s="2">
        <v>27</v>
      </c>
      <c r="AH136" s="2">
        <v>17</v>
      </c>
      <c r="AI136" s="2">
        <v>17</v>
      </c>
      <c r="AJ136" s="2">
        <v>17</v>
      </c>
      <c r="AK136" s="2">
        <v>17</v>
      </c>
      <c r="AL136" s="2">
        <v>17</v>
      </c>
      <c r="AM136" s="2">
        <v>866.29899999999998</v>
      </c>
      <c r="AN136" s="2">
        <v>926.93600000000004</v>
      </c>
      <c r="AO136" s="2">
        <v>-60.637000000000057</v>
      </c>
      <c r="AP136" s="2">
        <v>120.00136000000001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1</v>
      </c>
      <c r="BT136" s="65">
        <v>0</v>
      </c>
      <c r="BU136" s="65">
        <v>2</v>
      </c>
      <c r="BV136" s="65">
        <v>0</v>
      </c>
      <c r="BW136" s="65">
        <v>0</v>
      </c>
      <c r="BX136" s="65">
        <v>1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9</v>
      </c>
      <c r="CT136" s="65">
        <v>7</v>
      </c>
      <c r="CU136" s="65">
        <v>10</v>
      </c>
      <c r="CV136" s="65">
        <v>4</v>
      </c>
      <c r="CW136" s="65">
        <v>7</v>
      </c>
      <c r="CX136" s="65">
        <v>11</v>
      </c>
      <c r="CY136" s="65">
        <v>6</v>
      </c>
      <c r="CZ136" s="65">
        <v>7</v>
      </c>
      <c r="DA136" s="65">
        <v>9</v>
      </c>
      <c r="DB136" s="65">
        <v>7</v>
      </c>
      <c r="DC136" s="65">
        <v>6</v>
      </c>
      <c r="DD136" s="65">
        <v>9</v>
      </c>
      <c r="DE136" s="65">
        <v>9</v>
      </c>
      <c r="DF136" s="65">
        <v>6</v>
      </c>
      <c r="DG136" s="65">
        <v>6</v>
      </c>
      <c r="DH136" s="65">
        <v>7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404</v>
      </c>
      <c r="DU136" s="2" t="s">
        <v>751</v>
      </c>
      <c r="DV136" s="385">
        <v>17</v>
      </c>
      <c r="DW136" s="385" t="s">
        <v>1</v>
      </c>
      <c r="DX136" s="385">
        <v>17</v>
      </c>
      <c r="DY136" s="2">
        <v>5</v>
      </c>
      <c r="DZ136" s="2">
        <v>4</v>
      </c>
      <c r="EA136" s="2">
        <v>6</v>
      </c>
      <c r="EB136" s="2">
        <v>2</v>
      </c>
      <c r="EC136" s="2">
        <v>4</v>
      </c>
      <c r="ED136" s="2">
        <v>5</v>
      </c>
      <c r="EE136" s="2">
        <v>4</v>
      </c>
      <c r="EF136" s="2">
        <v>4</v>
      </c>
      <c r="EG136" s="2">
        <v>4</v>
      </c>
      <c r="EH136" s="2">
        <v>4</v>
      </c>
      <c r="EI136" s="2">
        <v>3</v>
      </c>
      <c r="EJ136" s="2">
        <v>5</v>
      </c>
      <c r="EK136" s="2">
        <v>4</v>
      </c>
      <c r="EL136" s="2">
        <v>3</v>
      </c>
      <c r="EM136" s="2">
        <v>3</v>
      </c>
      <c r="EN136" s="2">
        <v>4</v>
      </c>
      <c r="EO136" s="2">
        <v>4</v>
      </c>
      <c r="EP136" s="2">
        <v>3</v>
      </c>
      <c r="EQ136" s="2">
        <v>4</v>
      </c>
      <c r="ER136" s="2">
        <v>2</v>
      </c>
      <c r="ES136" s="2">
        <v>3</v>
      </c>
      <c r="ET136" s="2">
        <v>6</v>
      </c>
      <c r="EU136" s="2">
        <v>2</v>
      </c>
      <c r="EV136" s="2">
        <v>3</v>
      </c>
      <c r="EW136" s="2">
        <v>5</v>
      </c>
      <c r="EX136" s="2">
        <v>3</v>
      </c>
      <c r="EY136" s="2">
        <v>3</v>
      </c>
      <c r="EZ136" s="2">
        <v>4</v>
      </c>
      <c r="FA136" s="385">
        <v>5</v>
      </c>
      <c r="FB136" s="385">
        <v>3</v>
      </c>
      <c r="FC136" s="385">
        <v>3</v>
      </c>
      <c r="FD136" s="385">
        <v>3</v>
      </c>
      <c r="FE136" s="385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385"/>
      <c r="GK136" s="385"/>
      <c r="GL136" s="385"/>
      <c r="GM136" s="2"/>
      <c r="GN136" s="2"/>
      <c r="GO136" s="2"/>
      <c r="GP136" s="2"/>
      <c r="GQ136" s="2"/>
      <c r="GR136" s="2"/>
    </row>
    <row r="137" spans="1:200" x14ac:dyDescent="0.25">
      <c r="A137" s="2" t="s">
        <v>1058</v>
      </c>
      <c r="B137" s="2" t="s">
        <v>776</v>
      </c>
      <c r="C137" s="2" t="s">
        <v>1020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999</v>
      </c>
      <c r="K137" s="2">
        <v>999</v>
      </c>
      <c r="L137" s="2">
        <v>0</v>
      </c>
      <c r="M137" s="2">
        <v>0</v>
      </c>
      <c r="N137" s="2">
        <v>999</v>
      </c>
      <c r="O137" s="2">
        <v>1998</v>
      </c>
      <c r="P137" s="2">
        <v>1998</v>
      </c>
      <c r="Q137" s="2">
        <v>1998</v>
      </c>
      <c r="R137" s="2">
        <v>2997</v>
      </c>
      <c r="S137" s="2">
        <v>0</v>
      </c>
      <c r="U137" s="2">
        <v>0</v>
      </c>
      <c r="V137" s="2" t="e">
        <v>#DIV/0!</v>
      </c>
      <c r="W137" s="2">
        <v>0</v>
      </c>
      <c r="X137" s="2" t="e">
        <v>#DIV/0!</v>
      </c>
      <c r="AG137" s="2" t="s">
        <v>895</v>
      </c>
      <c r="AH137" s="2" t="s">
        <v>895</v>
      </c>
      <c r="AI137" s="2" t="s">
        <v>895</v>
      </c>
      <c r="AJ137" s="2" t="s">
        <v>895</v>
      </c>
      <c r="AK137" s="2" t="s">
        <v>895</v>
      </c>
      <c r="AL137" s="2">
        <v>51</v>
      </c>
      <c r="AM137" s="2">
        <v>0</v>
      </c>
      <c r="AP137" s="2">
        <v>1998.00137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0</v>
      </c>
      <c r="DB137" s="65">
        <v>0</v>
      </c>
      <c r="DC137" s="65">
        <v>0</v>
      </c>
      <c r="DD137" s="65"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474</v>
      </c>
      <c r="DU137" s="2" t="s">
        <v>453</v>
      </c>
      <c r="DV137" s="385" t="s">
        <v>895</v>
      </c>
      <c r="DW137" s="385" t="s">
        <v>1</v>
      </c>
      <c r="DX137" s="385" t="s">
        <v>895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385">
        <v>0</v>
      </c>
      <c r="FB137" s="385">
        <v>0</v>
      </c>
      <c r="FC137" s="385">
        <v>0</v>
      </c>
      <c r="FD137" s="385">
        <v>0</v>
      </c>
      <c r="FE137" s="385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385"/>
      <c r="GK137" s="385"/>
      <c r="GL137" s="385"/>
      <c r="GM137" s="2"/>
      <c r="GN137" s="2"/>
      <c r="GO137" s="2"/>
      <c r="GP137" s="2"/>
      <c r="GQ137" s="2"/>
      <c r="GR137" s="2"/>
    </row>
    <row r="138" spans="1:200" x14ac:dyDescent="0.25">
      <c r="A138" s="2" t="s">
        <v>1059</v>
      </c>
      <c r="B138" s="2" t="s">
        <v>474</v>
      </c>
      <c r="C138" s="2" t="s">
        <v>1059</v>
      </c>
      <c r="D138" s="2">
        <v>1</v>
      </c>
      <c r="E138" s="2">
        <v>0</v>
      </c>
      <c r="F138" s="2">
        <v>15</v>
      </c>
      <c r="G138" s="2">
        <v>8</v>
      </c>
      <c r="H138" s="2">
        <v>1</v>
      </c>
      <c r="I138" s="2">
        <v>23</v>
      </c>
      <c r="J138" s="2">
        <v>74</v>
      </c>
      <c r="K138" s="2">
        <v>72</v>
      </c>
      <c r="L138" s="2">
        <v>0</v>
      </c>
      <c r="M138" s="2">
        <v>0</v>
      </c>
      <c r="N138" s="2">
        <v>999</v>
      </c>
      <c r="O138" s="2">
        <v>146</v>
      </c>
      <c r="P138" s="2">
        <v>146</v>
      </c>
      <c r="Q138" s="2">
        <v>146</v>
      </c>
      <c r="R138" s="2">
        <v>1145</v>
      </c>
      <c r="S138" s="2">
        <v>74</v>
      </c>
      <c r="T138" s="2">
        <v>0.125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0</v>
      </c>
      <c r="Z138" s="2">
        <v>14</v>
      </c>
      <c r="AA138" s="2">
        <v>1</v>
      </c>
      <c r="AB138" s="2">
        <v>9</v>
      </c>
      <c r="AG138" s="2">
        <v>4</v>
      </c>
      <c r="AH138" s="2">
        <v>4</v>
      </c>
      <c r="AI138" s="2">
        <v>4</v>
      </c>
      <c r="AJ138" s="2">
        <v>4</v>
      </c>
      <c r="AK138" s="2">
        <v>4</v>
      </c>
      <c r="AL138" s="2">
        <v>39</v>
      </c>
      <c r="AM138" s="2">
        <v>620.40599999999995</v>
      </c>
      <c r="AN138" s="2">
        <v>0</v>
      </c>
      <c r="AP138" s="2">
        <v>146.00138000000001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1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14</v>
      </c>
      <c r="CT138" s="65">
        <v>10</v>
      </c>
      <c r="CU138" s="65">
        <v>13</v>
      </c>
      <c r="CV138" s="65">
        <v>7</v>
      </c>
      <c r="CW138" s="65">
        <v>8</v>
      </c>
      <c r="CX138" s="65">
        <v>13</v>
      </c>
      <c r="CY138" s="65">
        <v>8</v>
      </c>
      <c r="CZ138" s="65">
        <v>6</v>
      </c>
      <c r="DA138" s="65">
        <v>12</v>
      </c>
      <c r="DB138" s="65">
        <v>7</v>
      </c>
      <c r="DC138" s="65">
        <v>5</v>
      </c>
      <c r="DD138" s="65">
        <v>10</v>
      </c>
      <c r="DE138" s="65">
        <v>9</v>
      </c>
      <c r="DF138" s="65">
        <v>9</v>
      </c>
      <c r="DG138" s="65">
        <v>8</v>
      </c>
      <c r="DH138" s="65">
        <v>7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786</v>
      </c>
      <c r="DU138" s="2" t="s">
        <v>455</v>
      </c>
      <c r="DV138" s="385">
        <v>4</v>
      </c>
      <c r="DW138" s="385" t="s">
        <v>14</v>
      </c>
      <c r="DX138" s="385">
        <v>4</v>
      </c>
      <c r="DY138" s="2">
        <v>6</v>
      </c>
      <c r="DZ138" s="2">
        <v>5</v>
      </c>
      <c r="EA138" s="2">
        <v>7</v>
      </c>
      <c r="EB138" s="2">
        <v>4</v>
      </c>
      <c r="EC138" s="2">
        <v>5</v>
      </c>
      <c r="ED138" s="2">
        <v>6</v>
      </c>
      <c r="EE138" s="2">
        <v>4</v>
      </c>
      <c r="EF138" s="2">
        <v>3</v>
      </c>
      <c r="EG138" s="2">
        <v>5</v>
      </c>
      <c r="EH138" s="2">
        <v>4</v>
      </c>
      <c r="EI138" s="2">
        <v>3</v>
      </c>
      <c r="EJ138" s="2">
        <v>5</v>
      </c>
      <c r="EK138" s="2">
        <v>5</v>
      </c>
      <c r="EL138" s="2">
        <v>4</v>
      </c>
      <c r="EM138" s="2">
        <v>4</v>
      </c>
      <c r="EN138" s="2">
        <v>4</v>
      </c>
      <c r="EO138" s="2">
        <v>8</v>
      </c>
      <c r="EP138" s="2">
        <v>5</v>
      </c>
      <c r="EQ138" s="2">
        <v>6</v>
      </c>
      <c r="ER138" s="2">
        <v>3</v>
      </c>
      <c r="ES138" s="2">
        <v>3</v>
      </c>
      <c r="ET138" s="2">
        <v>7</v>
      </c>
      <c r="EU138" s="2">
        <v>4</v>
      </c>
      <c r="EV138" s="2">
        <v>3</v>
      </c>
      <c r="EW138" s="2">
        <v>7</v>
      </c>
      <c r="EX138" s="2">
        <v>3</v>
      </c>
      <c r="EY138" s="2">
        <v>2</v>
      </c>
      <c r="EZ138" s="2">
        <v>5</v>
      </c>
      <c r="FA138" s="385">
        <v>4</v>
      </c>
      <c r="FB138" s="385">
        <v>5</v>
      </c>
      <c r="FC138" s="385">
        <v>4</v>
      </c>
      <c r="FD138" s="385">
        <v>3</v>
      </c>
      <c r="FE138" s="385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385"/>
      <c r="GK138" s="385"/>
      <c r="GL138" s="385"/>
      <c r="GM138" s="2"/>
      <c r="GN138" s="2"/>
      <c r="GO138" s="2"/>
      <c r="GP138" s="2"/>
      <c r="GQ138" s="2"/>
      <c r="GR138" s="2"/>
    </row>
    <row r="139" spans="1:200" x14ac:dyDescent="0.25">
      <c r="A139" s="2" t="s">
        <v>1060</v>
      </c>
      <c r="B139" s="2" t="s">
        <v>518</v>
      </c>
      <c r="C139" s="2" t="s">
        <v>1023</v>
      </c>
      <c r="D139" s="2">
        <v>9</v>
      </c>
      <c r="E139" s="2">
        <v>0</v>
      </c>
      <c r="F139" s="2">
        <v>5</v>
      </c>
      <c r="G139" s="2">
        <v>8</v>
      </c>
      <c r="H139" s="2">
        <v>9</v>
      </c>
      <c r="I139" s="2">
        <v>13</v>
      </c>
      <c r="J139" s="2">
        <v>66</v>
      </c>
      <c r="K139" s="2">
        <v>61</v>
      </c>
      <c r="L139" s="2">
        <v>0</v>
      </c>
      <c r="M139" s="2">
        <v>0</v>
      </c>
      <c r="N139" s="2">
        <v>999</v>
      </c>
      <c r="O139" s="2">
        <v>127</v>
      </c>
      <c r="P139" s="2">
        <v>127</v>
      </c>
      <c r="Q139" s="2">
        <v>127</v>
      </c>
      <c r="R139" s="2">
        <v>1126</v>
      </c>
      <c r="S139" s="2">
        <v>66</v>
      </c>
      <c r="T139" s="2">
        <v>0.3125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3</v>
      </c>
      <c r="Z139" s="2">
        <v>8</v>
      </c>
      <c r="AA139" s="2">
        <v>6</v>
      </c>
      <c r="AB139" s="2">
        <v>5</v>
      </c>
      <c r="AG139" s="2">
        <v>31</v>
      </c>
      <c r="AH139" s="2">
        <v>25</v>
      </c>
      <c r="AI139" s="2">
        <v>25</v>
      </c>
      <c r="AJ139" s="2">
        <v>25</v>
      </c>
      <c r="AK139" s="2">
        <v>25</v>
      </c>
      <c r="AL139" s="2">
        <v>27</v>
      </c>
      <c r="AM139" s="2">
        <v>800.09699999999998</v>
      </c>
      <c r="AN139" s="2">
        <v>953.83299999999997</v>
      </c>
      <c r="AO139" s="2">
        <v>-153.73599999999999</v>
      </c>
      <c r="AP139" s="2">
        <v>127.00139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2</v>
      </c>
      <c r="BS139" s="65">
        <v>0</v>
      </c>
      <c r="BT139" s="65">
        <v>1</v>
      </c>
      <c r="BU139" s="65">
        <v>1</v>
      </c>
      <c r="BV139" s="65">
        <v>0</v>
      </c>
      <c r="BW139" s="65">
        <v>1</v>
      </c>
      <c r="BX139" s="65">
        <v>0</v>
      </c>
      <c r="BY139" s="65">
        <v>1</v>
      </c>
      <c r="BZ139" s="65">
        <v>1</v>
      </c>
      <c r="CA139" s="65">
        <v>0</v>
      </c>
      <c r="CB139" s="65">
        <v>1</v>
      </c>
      <c r="CC139" s="65">
        <v>0</v>
      </c>
      <c r="CD139" s="65">
        <v>0</v>
      </c>
      <c r="CE139" s="65">
        <v>0</v>
      </c>
      <c r="CF139" s="65">
        <v>0</v>
      </c>
      <c r="CG139" s="65">
        <v>1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6</v>
      </c>
      <c r="CT139" s="65">
        <v>8</v>
      </c>
      <c r="CU139" s="65">
        <v>9</v>
      </c>
      <c r="CV139" s="65">
        <v>6</v>
      </c>
      <c r="CW139" s="65">
        <v>6</v>
      </c>
      <c r="CX139" s="65">
        <v>9</v>
      </c>
      <c r="CY139" s="65">
        <v>10</v>
      </c>
      <c r="CZ139" s="65">
        <v>5</v>
      </c>
      <c r="DA139" s="65">
        <v>8</v>
      </c>
      <c r="DB139" s="65">
        <v>7</v>
      </c>
      <c r="DC139" s="65">
        <v>5</v>
      </c>
      <c r="DD139" s="65">
        <v>15</v>
      </c>
      <c r="DE139" s="65">
        <v>10</v>
      </c>
      <c r="DF139" s="65">
        <v>9</v>
      </c>
      <c r="DG139" s="65">
        <v>8</v>
      </c>
      <c r="DH139" s="65">
        <v>6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405</v>
      </c>
      <c r="DU139" s="2" t="s">
        <v>453</v>
      </c>
      <c r="DV139" s="385">
        <v>25</v>
      </c>
      <c r="DW139" s="385" t="s">
        <v>1</v>
      </c>
      <c r="DX139" s="385">
        <v>25</v>
      </c>
      <c r="DY139" s="2">
        <v>3</v>
      </c>
      <c r="DZ139" s="2">
        <v>4</v>
      </c>
      <c r="EA139" s="2">
        <v>6</v>
      </c>
      <c r="EB139" s="2">
        <v>4</v>
      </c>
      <c r="EC139" s="2">
        <v>3</v>
      </c>
      <c r="ED139" s="2">
        <v>4</v>
      </c>
      <c r="EE139" s="2">
        <v>5</v>
      </c>
      <c r="EF139" s="2">
        <v>2</v>
      </c>
      <c r="EG139" s="2">
        <v>5</v>
      </c>
      <c r="EH139" s="2">
        <v>4</v>
      </c>
      <c r="EI139" s="2">
        <v>3</v>
      </c>
      <c r="EJ139" s="2">
        <v>7</v>
      </c>
      <c r="EK139" s="2">
        <v>4</v>
      </c>
      <c r="EL139" s="2">
        <v>5</v>
      </c>
      <c r="EM139" s="2">
        <v>3</v>
      </c>
      <c r="EN139" s="2">
        <v>4</v>
      </c>
      <c r="EO139" s="2">
        <v>3</v>
      </c>
      <c r="EP139" s="2">
        <v>4</v>
      </c>
      <c r="EQ139" s="2">
        <v>3</v>
      </c>
      <c r="ER139" s="2">
        <v>2</v>
      </c>
      <c r="ES139" s="2">
        <v>3</v>
      </c>
      <c r="ET139" s="2">
        <v>5</v>
      </c>
      <c r="EU139" s="2">
        <v>5</v>
      </c>
      <c r="EV139" s="2">
        <v>3</v>
      </c>
      <c r="EW139" s="2">
        <v>3</v>
      </c>
      <c r="EX139" s="2">
        <v>3</v>
      </c>
      <c r="EY139" s="2">
        <v>2</v>
      </c>
      <c r="EZ139" s="2">
        <v>8</v>
      </c>
      <c r="FA139" s="385">
        <v>6</v>
      </c>
      <c r="FB139" s="385">
        <v>4</v>
      </c>
      <c r="FC139" s="385">
        <v>5</v>
      </c>
      <c r="FD139" s="385">
        <v>2</v>
      </c>
      <c r="FE139" s="385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385"/>
      <c r="GK139" s="385"/>
      <c r="GL139" s="385"/>
      <c r="GM139" s="2"/>
      <c r="GN139" s="2"/>
      <c r="GO139" s="2"/>
      <c r="GP139" s="2"/>
      <c r="GQ139" s="2"/>
      <c r="GR139" s="2"/>
    </row>
    <row r="140" spans="1:200" x14ac:dyDescent="0.25">
      <c r="A140" s="2" t="s">
        <v>1061</v>
      </c>
      <c r="B140" s="2" t="s">
        <v>786</v>
      </c>
      <c r="C140" s="2" t="s">
        <v>1061</v>
      </c>
      <c r="D140" s="2">
        <v>10</v>
      </c>
      <c r="E140" s="2">
        <v>0</v>
      </c>
      <c r="F140" s="2">
        <v>7</v>
      </c>
      <c r="G140" s="2">
        <v>0</v>
      </c>
      <c r="H140" s="2">
        <v>10</v>
      </c>
      <c r="I140" s="2">
        <v>7</v>
      </c>
      <c r="J140" s="2">
        <v>50</v>
      </c>
      <c r="K140" s="2">
        <v>59</v>
      </c>
      <c r="L140" s="2">
        <v>0</v>
      </c>
      <c r="M140" s="2">
        <v>0</v>
      </c>
      <c r="N140" s="2">
        <v>999</v>
      </c>
      <c r="O140" s="2">
        <v>109</v>
      </c>
      <c r="P140" s="2">
        <v>109</v>
      </c>
      <c r="Q140" s="2">
        <v>109</v>
      </c>
      <c r="R140" s="2">
        <v>1108</v>
      </c>
      <c r="S140" s="2">
        <v>50</v>
      </c>
      <c r="T140" s="2">
        <v>-0.5625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7</v>
      </c>
      <c r="Z140" s="2">
        <v>1</v>
      </c>
      <c r="AA140" s="2">
        <v>3</v>
      </c>
      <c r="AB140" s="2">
        <v>6</v>
      </c>
      <c r="AG140" s="2">
        <v>2</v>
      </c>
      <c r="AH140" s="2">
        <v>6</v>
      </c>
      <c r="AI140" s="2">
        <v>6</v>
      </c>
      <c r="AJ140" s="2">
        <v>6</v>
      </c>
      <c r="AK140" s="2">
        <v>6</v>
      </c>
      <c r="AL140" s="2">
        <v>6</v>
      </c>
      <c r="AM140" s="2">
        <v>970.33</v>
      </c>
      <c r="AN140" s="2">
        <v>776.78300000000002</v>
      </c>
      <c r="AO140" s="2">
        <v>193.54700000000003</v>
      </c>
      <c r="AP140" s="2">
        <v>109.0014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2</v>
      </c>
      <c r="BT140" s="65">
        <v>0</v>
      </c>
      <c r="BU140" s="65">
        <v>0</v>
      </c>
      <c r="BV140" s="65">
        <v>0</v>
      </c>
      <c r="BW140" s="65">
        <v>1</v>
      </c>
      <c r="BX140" s="65">
        <v>1</v>
      </c>
      <c r="BY140" s="65">
        <v>1</v>
      </c>
      <c r="BZ140" s="65">
        <v>2</v>
      </c>
      <c r="CA140" s="65">
        <v>0</v>
      </c>
      <c r="CB140" s="65">
        <v>0</v>
      </c>
      <c r="CC140" s="65">
        <v>0</v>
      </c>
      <c r="CD140" s="65">
        <v>1</v>
      </c>
      <c r="CE140" s="65">
        <v>1</v>
      </c>
      <c r="CF140" s="65">
        <v>1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8</v>
      </c>
      <c r="CT140" s="65">
        <v>6</v>
      </c>
      <c r="CU140" s="65">
        <v>10</v>
      </c>
      <c r="CV140" s="65">
        <v>6</v>
      </c>
      <c r="CW140" s="65">
        <v>6</v>
      </c>
      <c r="CX140" s="65">
        <v>9</v>
      </c>
      <c r="CY140" s="65">
        <v>5</v>
      </c>
      <c r="CZ140" s="65">
        <v>5</v>
      </c>
      <c r="DA140" s="65">
        <v>6</v>
      </c>
      <c r="DB140" s="65">
        <v>7</v>
      </c>
      <c r="DC140" s="65">
        <v>7</v>
      </c>
      <c r="DD140" s="65">
        <v>8</v>
      </c>
      <c r="DE140" s="65">
        <v>8</v>
      </c>
      <c r="DF140" s="65">
        <v>6</v>
      </c>
      <c r="DG140" s="65">
        <v>5</v>
      </c>
      <c r="DH140" s="65">
        <v>7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491</v>
      </c>
      <c r="DU140" s="2" t="s">
        <v>751</v>
      </c>
      <c r="DV140" s="385">
        <v>6</v>
      </c>
      <c r="DW140" s="385" t="s">
        <v>1</v>
      </c>
      <c r="DX140" s="385">
        <v>6</v>
      </c>
      <c r="DY140" s="2">
        <v>4</v>
      </c>
      <c r="DZ140" s="2">
        <v>3</v>
      </c>
      <c r="EA140" s="2">
        <v>5</v>
      </c>
      <c r="EB140" s="2">
        <v>3</v>
      </c>
      <c r="EC140" s="2">
        <v>3</v>
      </c>
      <c r="ED140" s="2">
        <v>5</v>
      </c>
      <c r="EE140" s="2">
        <v>2</v>
      </c>
      <c r="EF140" s="2">
        <v>2</v>
      </c>
      <c r="EG140" s="2">
        <v>3</v>
      </c>
      <c r="EH140" s="2">
        <v>3</v>
      </c>
      <c r="EI140" s="2">
        <v>3</v>
      </c>
      <c r="EJ140" s="2">
        <v>4</v>
      </c>
      <c r="EK140" s="2">
        <v>3</v>
      </c>
      <c r="EL140" s="2">
        <v>2</v>
      </c>
      <c r="EM140" s="2">
        <v>2</v>
      </c>
      <c r="EN140" s="2">
        <v>3</v>
      </c>
      <c r="EO140" s="2">
        <v>4</v>
      </c>
      <c r="EP140" s="2">
        <v>3</v>
      </c>
      <c r="EQ140" s="2">
        <v>5</v>
      </c>
      <c r="ER140" s="2">
        <v>3</v>
      </c>
      <c r="ES140" s="2">
        <v>3</v>
      </c>
      <c r="ET140" s="2">
        <v>4</v>
      </c>
      <c r="EU140" s="2">
        <v>3</v>
      </c>
      <c r="EV140" s="2">
        <v>3</v>
      </c>
      <c r="EW140" s="2">
        <v>3</v>
      </c>
      <c r="EX140" s="2">
        <v>4</v>
      </c>
      <c r="EY140" s="2">
        <v>4</v>
      </c>
      <c r="EZ140" s="2">
        <v>4</v>
      </c>
      <c r="FA140" s="385">
        <v>5</v>
      </c>
      <c r="FB140" s="385">
        <v>4</v>
      </c>
      <c r="FC140" s="385">
        <v>3</v>
      </c>
      <c r="FD140" s="385">
        <v>4</v>
      </c>
      <c r="FE140" s="385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385"/>
      <c r="GK140" s="385"/>
      <c r="GL140" s="385"/>
      <c r="GM140" s="2"/>
      <c r="GN140" s="2"/>
      <c r="GO140" s="2"/>
      <c r="GP140" s="2"/>
      <c r="GQ140" s="2"/>
      <c r="GR140" s="2"/>
    </row>
    <row r="141" spans="1:200" x14ac:dyDescent="0.25">
      <c r="A141" s="2" t="s">
        <v>1062</v>
      </c>
      <c r="B141" s="2" t="s">
        <v>494</v>
      </c>
      <c r="C141" s="2" t="s">
        <v>1062</v>
      </c>
      <c r="D141" s="2">
        <v>1</v>
      </c>
      <c r="E141" s="2">
        <v>0</v>
      </c>
      <c r="F141" s="2">
        <v>14</v>
      </c>
      <c r="G141" s="2">
        <v>7</v>
      </c>
      <c r="H141" s="2">
        <v>1</v>
      </c>
      <c r="I141" s="2">
        <v>21</v>
      </c>
      <c r="J141" s="2">
        <v>75</v>
      </c>
      <c r="K141" s="2">
        <v>67</v>
      </c>
      <c r="L141" s="2">
        <v>0</v>
      </c>
      <c r="M141" s="2">
        <v>0</v>
      </c>
      <c r="N141" s="2">
        <v>999</v>
      </c>
      <c r="O141" s="2">
        <v>142</v>
      </c>
      <c r="P141" s="2">
        <v>142</v>
      </c>
      <c r="Q141" s="2">
        <v>142</v>
      </c>
      <c r="R141" s="2">
        <v>1141</v>
      </c>
      <c r="S141" s="2">
        <v>75</v>
      </c>
      <c r="T141" s="2">
        <v>0.5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0</v>
      </c>
      <c r="Z141" s="2">
        <v>13</v>
      </c>
      <c r="AA141" s="2">
        <v>1</v>
      </c>
      <c r="AB141" s="2">
        <v>8</v>
      </c>
      <c r="AG141" s="2">
        <v>39</v>
      </c>
      <c r="AH141" s="2">
        <v>35</v>
      </c>
      <c r="AI141" s="2">
        <v>35</v>
      </c>
      <c r="AJ141" s="2">
        <v>35</v>
      </c>
      <c r="AK141" s="2">
        <v>35</v>
      </c>
      <c r="AL141" s="2">
        <v>38</v>
      </c>
      <c r="AM141" s="2">
        <v>658.23599999999999</v>
      </c>
      <c r="AN141" s="2">
        <v>710.26900000000001</v>
      </c>
      <c r="AO141" s="2">
        <v>-52.033000000000015</v>
      </c>
      <c r="AP141" s="2">
        <v>142.00140999999999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1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11</v>
      </c>
      <c r="CU141" s="65">
        <v>14</v>
      </c>
      <c r="CV141" s="65">
        <v>8</v>
      </c>
      <c r="CW141" s="65">
        <v>8</v>
      </c>
      <c r="CX141" s="65">
        <v>12</v>
      </c>
      <c r="CY141" s="65">
        <v>6</v>
      </c>
      <c r="CZ141" s="65">
        <v>6</v>
      </c>
      <c r="DA141" s="65">
        <v>10</v>
      </c>
      <c r="DB141" s="65">
        <v>9</v>
      </c>
      <c r="DC141" s="65">
        <v>6</v>
      </c>
      <c r="DD141" s="65">
        <v>12</v>
      </c>
      <c r="DE141" s="65">
        <v>10</v>
      </c>
      <c r="DF141" s="65">
        <v>6</v>
      </c>
      <c r="DG141" s="65">
        <v>8</v>
      </c>
      <c r="DH141" s="65">
        <v>7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483</v>
      </c>
      <c r="DU141" s="2" t="s">
        <v>453</v>
      </c>
      <c r="DV141" s="385">
        <v>35</v>
      </c>
      <c r="DW141" s="385" t="s">
        <v>1</v>
      </c>
      <c r="DX141" s="385">
        <v>35</v>
      </c>
      <c r="DY141" s="2">
        <v>5</v>
      </c>
      <c r="DZ141" s="2">
        <v>5</v>
      </c>
      <c r="EA141" s="2">
        <v>7</v>
      </c>
      <c r="EB141" s="2">
        <v>5</v>
      </c>
      <c r="EC141" s="2">
        <v>4</v>
      </c>
      <c r="ED141" s="2">
        <v>6</v>
      </c>
      <c r="EE141" s="2">
        <v>3</v>
      </c>
      <c r="EF141" s="2">
        <v>3</v>
      </c>
      <c r="EG141" s="2">
        <v>5</v>
      </c>
      <c r="EH141" s="2">
        <v>6</v>
      </c>
      <c r="EI141" s="2">
        <v>3</v>
      </c>
      <c r="EJ141" s="2">
        <v>6</v>
      </c>
      <c r="EK141" s="2">
        <v>5</v>
      </c>
      <c r="EL141" s="2">
        <v>4</v>
      </c>
      <c r="EM141" s="2">
        <v>4</v>
      </c>
      <c r="EN141" s="2">
        <v>4</v>
      </c>
      <c r="EO141" s="2">
        <v>4</v>
      </c>
      <c r="EP141" s="2">
        <v>6</v>
      </c>
      <c r="EQ141" s="2">
        <v>7</v>
      </c>
      <c r="ER141" s="2">
        <v>3</v>
      </c>
      <c r="ES141" s="2">
        <v>4</v>
      </c>
      <c r="ET141" s="2">
        <v>6</v>
      </c>
      <c r="EU141" s="2">
        <v>3</v>
      </c>
      <c r="EV141" s="2">
        <v>3</v>
      </c>
      <c r="EW141" s="2">
        <v>5</v>
      </c>
      <c r="EX141" s="2">
        <v>3</v>
      </c>
      <c r="EY141" s="2">
        <v>3</v>
      </c>
      <c r="EZ141" s="2">
        <v>6</v>
      </c>
      <c r="FA141" s="385">
        <v>5</v>
      </c>
      <c r="FB141" s="385">
        <v>2</v>
      </c>
      <c r="FC141" s="385">
        <v>4</v>
      </c>
      <c r="FD141" s="385">
        <v>3</v>
      </c>
      <c r="FE141" s="385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385"/>
      <c r="GK141" s="385"/>
      <c r="GL141" s="385"/>
      <c r="GM141" s="2"/>
      <c r="GN141" s="2"/>
      <c r="GO141" s="2"/>
      <c r="GP141" s="2"/>
      <c r="GQ141" s="2"/>
      <c r="GR141" s="2"/>
    </row>
    <row r="142" spans="1:200" x14ac:dyDescent="0.25">
      <c r="B142" s="2" t="e">
        <v>#NUM!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999</v>
      </c>
      <c r="K142" s="2">
        <v>999</v>
      </c>
      <c r="L142" s="2">
        <v>0</v>
      </c>
      <c r="M142" s="2">
        <v>0</v>
      </c>
      <c r="N142" s="2">
        <v>999</v>
      </c>
      <c r="O142" s="2">
        <v>1998</v>
      </c>
      <c r="P142" s="2">
        <v>1998</v>
      </c>
      <c r="Q142" s="2">
        <v>1998</v>
      </c>
      <c r="R142" s="2">
        <v>2997</v>
      </c>
      <c r="S142" s="2">
        <v>0</v>
      </c>
      <c r="U142" s="2">
        <v>0</v>
      </c>
      <c r="V142" s="2" t="e">
        <v>#DIV/0!</v>
      </c>
      <c r="W142" s="2">
        <v>0</v>
      </c>
      <c r="X142" s="2" t="e">
        <v>#DIV/0!</v>
      </c>
      <c r="AG142" s="2" t="s">
        <v>895</v>
      </c>
      <c r="AH142" s="2" t="s">
        <v>895</v>
      </c>
      <c r="AI142" s="2" t="s">
        <v>895</v>
      </c>
      <c r="AJ142" s="2" t="s">
        <v>895</v>
      </c>
      <c r="AK142" s="2" t="s">
        <v>895</v>
      </c>
      <c r="AL142" s="2">
        <v>52</v>
      </c>
      <c r="AM142" s="2">
        <v>0</v>
      </c>
      <c r="AP142" s="2">
        <v>1998.0014200000001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385"/>
      <c r="FB142" s="385"/>
      <c r="FC142" s="385"/>
      <c r="FD142" s="385"/>
      <c r="FE142" s="385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385"/>
      <c r="GK142" s="385"/>
      <c r="GL142" s="385"/>
      <c r="GM142" s="2"/>
      <c r="GN142" s="2"/>
      <c r="GO142" s="2"/>
      <c r="GP142" s="2"/>
      <c r="GQ142" s="2"/>
      <c r="GR142" s="2"/>
    </row>
    <row r="143" spans="1:200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0</v>
      </c>
      <c r="M143" s="2">
        <v>0</v>
      </c>
      <c r="N143" s="2">
        <v>999</v>
      </c>
      <c r="O143" s="2">
        <v>1998</v>
      </c>
      <c r="P143" s="2">
        <v>1998</v>
      </c>
      <c r="Q143" s="2">
        <v>1998</v>
      </c>
      <c r="R143" s="2">
        <v>2997</v>
      </c>
      <c r="S143" s="2">
        <v>0</v>
      </c>
      <c r="U143" s="2">
        <v>0</v>
      </c>
      <c r="V143" s="2" t="e">
        <v>#DIV/0!</v>
      </c>
      <c r="W143" s="2">
        <v>0</v>
      </c>
      <c r="X143" s="2" t="e">
        <v>#DIV/0!</v>
      </c>
      <c r="AG143" s="2" t="s">
        <v>895</v>
      </c>
      <c r="AH143" s="2" t="s">
        <v>895</v>
      </c>
      <c r="AI143" s="2" t="s">
        <v>895</v>
      </c>
      <c r="AJ143" s="2" t="s">
        <v>895</v>
      </c>
      <c r="AK143" s="2" t="s">
        <v>895</v>
      </c>
      <c r="AL143" s="2">
        <v>53</v>
      </c>
      <c r="AM143" s="2">
        <v>0</v>
      </c>
      <c r="AN143" s="2">
        <v>0</v>
      </c>
      <c r="AP143" s="2">
        <v>1998.00143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385"/>
      <c r="FB143" s="385"/>
      <c r="FC143" s="385"/>
      <c r="FD143" s="385"/>
      <c r="FE143" s="385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385"/>
      <c r="GK143" s="385"/>
      <c r="GL143" s="385"/>
      <c r="GM143" s="2"/>
      <c r="GN143" s="2"/>
      <c r="GO143" s="2"/>
      <c r="GP143" s="2"/>
      <c r="GQ143" s="2"/>
      <c r="GR143" s="2"/>
    </row>
    <row r="144" spans="1:200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0</v>
      </c>
      <c r="M144" s="2">
        <v>0</v>
      </c>
      <c r="N144" s="2">
        <v>999</v>
      </c>
      <c r="O144" s="2">
        <v>1998</v>
      </c>
      <c r="P144" s="2">
        <v>1998</v>
      </c>
      <c r="Q144" s="2">
        <v>1998</v>
      </c>
      <c r="R144" s="2">
        <v>2997</v>
      </c>
      <c r="S144" s="2">
        <v>0</v>
      </c>
      <c r="U144" s="2">
        <v>0</v>
      </c>
      <c r="V144" s="2" t="e">
        <v>#DIV/0!</v>
      </c>
      <c r="W144" s="2">
        <v>0</v>
      </c>
      <c r="X144" s="2" t="e">
        <v>#DIV/0!</v>
      </c>
      <c r="AG144" s="2" t="s">
        <v>895</v>
      </c>
      <c r="AH144" s="2" t="s">
        <v>895</v>
      </c>
      <c r="AI144" s="2" t="s">
        <v>895</v>
      </c>
      <c r="AJ144" s="2" t="s">
        <v>895</v>
      </c>
      <c r="AK144" s="2" t="s">
        <v>895</v>
      </c>
      <c r="AL144" s="2">
        <v>54</v>
      </c>
      <c r="AM144" s="2">
        <v>0</v>
      </c>
      <c r="AP144" s="2">
        <v>1998.00144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385"/>
      <c r="FB144" s="385"/>
      <c r="FC144" s="385"/>
      <c r="FD144" s="385"/>
      <c r="FE144" s="385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385"/>
      <c r="GK144" s="385"/>
      <c r="GL144" s="385"/>
      <c r="GM144" s="2"/>
      <c r="GN144" s="2"/>
      <c r="GO144" s="2"/>
      <c r="GP144" s="2"/>
      <c r="GQ144" s="2"/>
      <c r="GR144" s="2"/>
    </row>
    <row r="145" spans="2:200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0</v>
      </c>
      <c r="M145" s="2">
        <v>0</v>
      </c>
      <c r="N145" s="2">
        <v>999</v>
      </c>
      <c r="O145" s="2">
        <v>1998</v>
      </c>
      <c r="P145" s="2">
        <v>1998</v>
      </c>
      <c r="Q145" s="2">
        <v>1998</v>
      </c>
      <c r="R145" s="2">
        <v>2997</v>
      </c>
      <c r="S145" s="2">
        <v>0</v>
      </c>
      <c r="U145" s="2">
        <v>0</v>
      </c>
      <c r="V145" s="2" t="e">
        <v>#DIV/0!</v>
      </c>
      <c r="W145" s="2">
        <v>0</v>
      </c>
      <c r="X145" s="2" t="e">
        <v>#DIV/0!</v>
      </c>
      <c r="AG145" s="2" t="s">
        <v>895</v>
      </c>
      <c r="AH145" s="2" t="s">
        <v>895</v>
      </c>
      <c r="AI145" s="2" t="s">
        <v>895</v>
      </c>
      <c r="AJ145" s="2" t="s">
        <v>895</v>
      </c>
      <c r="AK145" s="2" t="s">
        <v>895</v>
      </c>
      <c r="AL145" s="2">
        <v>55</v>
      </c>
      <c r="AM145" s="2">
        <v>0</v>
      </c>
      <c r="AP145" s="2">
        <v>1998.00145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385"/>
      <c r="FB145" s="385"/>
      <c r="FC145" s="385"/>
      <c r="FD145" s="385"/>
      <c r="FE145" s="385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385"/>
      <c r="GK145" s="385"/>
      <c r="GL145" s="385"/>
      <c r="GM145" s="2"/>
      <c r="GN145" s="2"/>
      <c r="GO145" s="2"/>
      <c r="GP145" s="2"/>
      <c r="GQ145" s="2"/>
      <c r="GR145" s="2"/>
    </row>
    <row r="146" spans="2:200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0</v>
      </c>
      <c r="M146" s="2">
        <v>0</v>
      </c>
      <c r="N146" s="2">
        <v>999</v>
      </c>
      <c r="O146" s="2">
        <v>1998</v>
      </c>
      <c r="P146" s="2">
        <v>1998</v>
      </c>
      <c r="Q146" s="2">
        <v>1998</v>
      </c>
      <c r="R146" s="2">
        <v>2997</v>
      </c>
      <c r="S146" s="2">
        <v>0</v>
      </c>
      <c r="U146" s="2">
        <v>0</v>
      </c>
      <c r="V146" s="2" t="e">
        <v>#DIV/0!</v>
      </c>
      <c r="W146" s="2">
        <v>0</v>
      </c>
      <c r="X146" s="2" t="e">
        <v>#DIV/0!</v>
      </c>
      <c r="AG146" s="2" t="s">
        <v>895</v>
      </c>
      <c r="AH146" s="2" t="s">
        <v>895</v>
      </c>
      <c r="AI146" s="2" t="s">
        <v>895</v>
      </c>
      <c r="AJ146" s="2" t="s">
        <v>895</v>
      </c>
      <c r="AK146" s="2" t="s">
        <v>895</v>
      </c>
      <c r="AL146" s="2">
        <v>56</v>
      </c>
      <c r="AM146" s="2">
        <v>0</v>
      </c>
      <c r="AP146" s="2">
        <v>1998.00146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385"/>
      <c r="FB146" s="385"/>
      <c r="FC146" s="385"/>
      <c r="FD146" s="385"/>
      <c r="FE146" s="385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385"/>
      <c r="GK146" s="385"/>
      <c r="GL146" s="385"/>
      <c r="GM146" s="2"/>
      <c r="GN146" s="2"/>
      <c r="GO146" s="2"/>
      <c r="GP146" s="2"/>
      <c r="GQ146" s="2"/>
      <c r="GR146" s="2"/>
    </row>
    <row r="147" spans="2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0</v>
      </c>
      <c r="M147" s="2">
        <v>0</v>
      </c>
      <c r="N147" s="2">
        <v>999</v>
      </c>
      <c r="O147" s="2">
        <v>1998</v>
      </c>
      <c r="P147" s="2">
        <v>1998</v>
      </c>
      <c r="Q147" s="2">
        <v>1998</v>
      </c>
      <c r="R147" s="2">
        <v>2997</v>
      </c>
      <c r="S147" s="2">
        <v>0</v>
      </c>
      <c r="U147" s="2">
        <v>0</v>
      </c>
      <c r="V147" s="2" t="e">
        <v>#DIV/0!</v>
      </c>
      <c r="W147" s="2">
        <v>0</v>
      </c>
      <c r="X147" s="2" t="e">
        <v>#DIV/0!</v>
      </c>
      <c r="AG147" s="2" t="s">
        <v>895</v>
      </c>
      <c r="AH147" s="2" t="s">
        <v>895</v>
      </c>
      <c r="AI147" s="2" t="s">
        <v>895</v>
      </c>
      <c r="AJ147" s="2" t="s">
        <v>895</v>
      </c>
      <c r="AK147" s="2" t="s">
        <v>895</v>
      </c>
      <c r="AL147" s="2">
        <v>57</v>
      </c>
      <c r="AM147" s="2">
        <v>0</v>
      </c>
      <c r="AP147" s="2">
        <v>1998.0014699999999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385"/>
      <c r="FB147" s="385"/>
      <c r="FC147" s="385"/>
      <c r="FD147" s="385"/>
      <c r="FE147" s="385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385"/>
      <c r="GK147" s="385"/>
      <c r="GL147" s="385"/>
      <c r="GM147" s="2"/>
      <c r="GN147" s="2"/>
      <c r="GO147" s="2"/>
      <c r="GP147" s="2"/>
      <c r="GQ147" s="2"/>
      <c r="GR147" s="2"/>
    </row>
    <row r="148" spans="2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0</v>
      </c>
      <c r="M148" s="2">
        <v>0</v>
      </c>
      <c r="N148" s="2">
        <v>999</v>
      </c>
      <c r="O148" s="2">
        <v>1998</v>
      </c>
      <c r="P148" s="2">
        <v>1998</v>
      </c>
      <c r="Q148" s="2">
        <v>1998</v>
      </c>
      <c r="R148" s="2">
        <v>2997</v>
      </c>
      <c r="S148" s="2">
        <v>0</v>
      </c>
      <c r="U148" s="2">
        <v>0</v>
      </c>
      <c r="V148" s="2" t="e">
        <v>#DIV/0!</v>
      </c>
      <c r="W148" s="2">
        <v>0</v>
      </c>
      <c r="X148" s="2" t="e">
        <v>#DIV/0!</v>
      </c>
      <c r="AG148" s="2" t="s">
        <v>895</v>
      </c>
      <c r="AH148" s="2" t="s">
        <v>895</v>
      </c>
      <c r="AI148" s="2" t="s">
        <v>895</v>
      </c>
      <c r="AJ148" s="2" t="s">
        <v>895</v>
      </c>
      <c r="AK148" s="2" t="s">
        <v>895</v>
      </c>
      <c r="AL148" s="2">
        <v>58</v>
      </c>
      <c r="AM148" s="2">
        <v>0</v>
      </c>
      <c r="AP148" s="2">
        <v>1998.0014799999999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385"/>
      <c r="FB148" s="385"/>
      <c r="FC148" s="385"/>
      <c r="FD148" s="385"/>
      <c r="FE148" s="385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385"/>
      <c r="GK148" s="385"/>
      <c r="GL148" s="385"/>
      <c r="GM148" s="2"/>
      <c r="GN148" s="2"/>
      <c r="GO148" s="2"/>
      <c r="GP148" s="2"/>
      <c r="GQ148" s="2"/>
      <c r="GR148" s="2"/>
    </row>
    <row r="149" spans="2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0</v>
      </c>
      <c r="M149" s="2">
        <v>0</v>
      </c>
      <c r="N149" s="2">
        <v>999</v>
      </c>
      <c r="O149" s="2">
        <v>1998</v>
      </c>
      <c r="P149" s="2">
        <v>1998</v>
      </c>
      <c r="Q149" s="2">
        <v>1998</v>
      </c>
      <c r="R149" s="2">
        <v>2997</v>
      </c>
      <c r="S149" s="2">
        <v>0</v>
      </c>
      <c r="U149" s="2">
        <v>0</v>
      </c>
      <c r="V149" s="2" t="e">
        <v>#DIV/0!</v>
      </c>
      <c r="W149" s="2">
        <v>0</v>
      </c>
      <c r="X149" s="2" t="e">
        <v>#DIV/0!</v>
      </c>
      <c r="AG149" s="2" t="s">
        <v>895</v>
      </c>
      <c r="AH149" s="2" t="s">
        <v>895</v>
      </c>
      <c r="AI149" s="2" t="s">
        <v>895</v>
      </c>
      <c r="AJ149" s="2" t="s">
        <v>895</v>
      </c>
      <c r="AK149" s="2" t="s">
        <v>895</v>
      </c>
      <c r="AL149" s="2">
        <v>59</v>
      </c>
      <c r="AM149" s="2">
        <v>0</v>
      </c>
      <c r="AP149" s="2">
        <v>1998.0014900000001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385"/>
      <c r="FB149" s="385"/>
      <c r="FC149" s="385"/>
      <c r="FD149" s="385"/>
      <c r="FE149" s="385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385"/>
      <c r="GK149" s="385"/>
      <c r="GL149" s="385"/>
      <c r="GM149" s="2"/>
      <c r="GN149" s="2"/>
      <c r="GO149" s="2"/>
      <c r="GP149" s="2"/>
      <c r="GQ149" s="2"/>
      <c r="GR149" s="2"/>
    </row>
    <row r="150" spans="2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0</v>
      </c>
      <c r="M150" s="2">
        <v>0</v>
      </c>
      <c r="N150" s="2">
        <v>999</v>
      </c>
      <c r="O150" s="2">
        <v>1998</v>
      </c>
      <c r="P150" s="2">
        <v>1998</v>
      </c>
      <c r="Q150" s="2">
        <v>1998</v>
      </c>
      <c r="R150" s="2">
        <v>2997</v>
      </c>
      <c r="S150" s="2">
        <v>0</v>
      </c>
      <c r="U150" s="2">
        <v>0</v>
      </c>
      <c r="V150" s="2" t="e">
        <v>#DIV/0!</v>
      </c>
      <c r="W150" s="2">
        <v>0</v>
      </c>
      <c r="X150" s="2" t="e">
        <v>#DIV/0!</v>
      </c>
      <c r="AG150" s="2" t="s">
        <v>895</v>
      </c>
      <c r="AH150" s="2" t="s">
        <v>895</v>
      </c>
      <c r="AI150" s="2" t="s">
        <v>895</v>
      </c>
      <c r="AJ150" s="2" t="s">
        <v>895</v>
      </c>
      <c r="AK150" s="2" t="s">
        <v>895</v>
      </c>
      <c r="AL150" s="2">
        <v>60</v>
      </c>
      <c r="AM150" s="2">
        <v>0</v>
      </c>
      <c r="AP150" s="2">
        <v>1998.0015000000001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385"/>
      <c r="FB150" s="385"/>
      <c r="FC150" s="385"/>
      <c r="FD150" s="385"/>
      <c r="FE150" s="385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385"/>
      <c r="GK150" s="385"/>
      <c r="GL150" s="385"/>
      <c r="GM150" s="2"/>
      <c r="GN150" s="2"/>
      <c r="GO150" s="2"/>
      <c r="GP150" s="2"/>
      <c r="GQ150" s="2"/>
      <c r="GR150" s="2"/>
    </row>
    <row r="151" spans="2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0</v>
      </c>
      <c r="M151" s="2">
        <v>0</v>
      </c>
      <c r="N151" s="2">
        <v>999</v>
      </c>
      <c r="O151" s="2">
        <v>1998</v>
      </c>
      <c r="P151" s="2">
        <v>1998</v>
      </c>
      <c r="Q151" s="2">
        <v>1998</v>
      </c>
      <c r="R151" s="2">
        <v>2997</v>
      </c>
      <c r="S151" s="2">
        <v>0</v>
      </c>
      <c r="U151" s="2">
        <v>0</v>
      </c>
      <c r="V151" s="2" t="e">
        <v>#DIV/0!</v>
      </c>
      <c r="W151" s="2">
        <v>0</v>
      </c>
      <c r="X151" s="2" t="e">
        <v>#DIV/0!</v>
      </c>
      <c r="AG151" s="2" t="s">
        <v>895</v>
      </c>
      <c r="AH151" s="2" t="s">
        <v>895</v>
      </c>
      <c r="AI151" s="2" t="s">
        <v>895</v>
      </c>
      <c r="AJ151" s="2" t="s">
        <v>895</v>
      </c>
      <c r="AK151" s="2" t="s">
        <v>895</v>
      </c>
      <c r="AL151" s="2">
        <v>61</v>
      </c>
      <c r="AM151" s="2">
        <v>0</v>
      </c>
      <c r="AP151" s="2">
        <v>1998.0015100000001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385"/>
      <c r="FB151" s="385"/>
      <c r="FC151" s="385"/>
      <c r="FD151" s="385"/>
      <c r="FE151" s="385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385"/>
      <c r="GK151" s="385"/>
      <c r="GL151" s="385"/>
      <c r="GM151" s="2"/>
      <c r="GN151" s="2"/>
      <c r="GO151" s="2"/>
      <c r="GP151" s="2"/>
      <c r="GQ151" s="2"/>
      <c r="GR151" s="2"/>
    </row>
    <row r="152" spans="2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0</v>
      </c>
      <c r="M152" s="2">
        <v>0</v>
      </c>
      <c r="N152" s="2">
        <v>999</v>
      </c>
      <c r="O152" s="2">
        <v>1998</v>
      </c>
      <c r="P152" s="2">
        <v>1998</v>
      </c>
      <c r="Q152" s="2">
        <v>1998</v>
      </c>
      <c r="R152" s="2">
        <v>2997</v>
      </c>
      <c r="S152" s="2">
        <v>0</v>
      </c>
      <c r="U152" s="2">
        <v>0</v>
      </c>
      <c r="V152" s="2" t="e">
        <v>#DIV/0!</v>
      </c>
      <c r="W152" s="2">
        <v>0</v>
      </c>
      <c r="X152" s="2" t="e">
        <v>#DIV/0!</v>
      </c>
      <c r="AG152" s="2" t="s">
        <v>895</v>
      </c>
      <c r="AH152" s="2" t="s">
        <v>895</v>
      </c>
      <c r="AI152" s="2" t="s">
        <v>895</v>
      </c>
      <c r="AJ152" s="2" t="s">
        <v>895</v>
      </c>
      <c r="AK152" s="2" t="s">
        <v>895</v>
      </c>
      <c r="AL152" s="2">
        <v>62</v>
      </c>
      <c r="AM152" s="2">
        <v>0</v>
      </c>
      <c r="AP152" s="2">
        <v>1998.00152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385"/>
      <c r="FB152" s="385"/>
      <c r="FC152" s="385"/>
      <c r="FD152" s="385"/>
      <c r="FE152" s="385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385"/>
      <c r="GK152" s="385"/>
      <c r="GL152" s="385"/>
      <c r="GM152" s="2"/>
      <c r="GN152" s="2"/>
      <c r="GO152" s="2"/>
      <c r="GP152" s="2"/>
      <c r="GQ152" s="2"/>
      <c r="GR152" s="2"/>
    </row>
    <row r="153" spans="2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0</v>
      </c>
      <c r="M153" s="2">
        <v>0</v>
      </c>
      <c r="N153" s="2">
        <v>999</v>
      </c>
      <c r="O153" s="2">
        <v>1998</v>
      </c>
      <c r="P153" s="2">
        <v>1998</v>
      </c>
      <c r="Q153" s="2">
        <v>1998</v>
      </c>
      <c r="R153" s="2">
        <v>2997</v>
      </c>
      <c r="S153" s="2">
        <v>0</v>
      </c>
      <c r="U153" s="2">
        <v>0</v>
      </c>
      <c r="V153" s="2" t="e">
        <v>#DIV/0!</v>
      </c>
      <c r="W153" s="2">
        <v>0</v>
      </c>
      <c r="X153" s="2" t="e">
        <v>#DIV/0!</v>
      </c>
      <c r="AG153" s="2" t="s">
        <v>895</v>
      </c>
      <c r="AH153" s="2" t="s">
        <v>895</v>
      </c>
      <c r="AI153" s="2" t="s">
        <v>895</v>
      </c>
      <c r="AJ153" s="2" t="s">
        <v>895</v>
      </c>
      <c r="AK153" s="2" t="s">
        <v>895</v>
      </c>
      <c r="AL153" s="2">
        <v>63</v>
      </c>
      <c r="AM153" s="2">
        <v>0</v>
      </c>
      <c r="AP153" s="2">
        <v>1998.00153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385"/>
      <c r="FB153" s="385"/>
      <c r="FC153" s="385"/>
      <c r="FD153" s="385"/>
      <c r="FE153" s="385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385"/>
      <c r="GK153" s="385"/>
      <c r="GL153" s="385"/>
      <c r="GM153" s="2"/>
      <c r="GN153" s="2"/>
      <c r="GO153" s="2"/>
      <c r="GP153" s="2"/>
      <c r="GQ153" s="2"/>
      <c r="GR153" s="2"/>
    </row>
    <row r="154" spans="2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0</v>
      </c>
      <c r="M154" s="2">
        <v>0</v>
      </c>
      <c r="N154" s="2">
        <v>999</v>
      </c>
      <c r="O154" s="2">
        <v>1998</v>
      </c>
      <c r="P154" s="2">
        <v>1998</v>
      </c>
      <c r="Q154" s="2">
        <v>1998</v>
      </c>
      <c r="R154" s="2">
        <v>2997</v>
      </c>
      <c r="S154" s="2">
        <v>0</v>
      </c>
      <c r="U154" s="2">
        <v>0</v>
      </c>
      <c r="V154" s="2" t="e">
        <v>#DIV/0!</v>
      </c>
      <c r="W154" s="2">
        <v>0</v>
      </c>
      <c r="X154" s="2" t="e">
        <v>#DIV/0!</v>
      </c>
      <c r="AG154" s="2" t="s">
        <v>895</v>
      </c>
      <c r="AH154" s="2" t="s">
        <v>895</v>
      </c>
      <c r="AI154" s="2" t="s">
        <v>895</v>
      </c>
      <c r="AJ154" s="2" t="s">
        <v>895</v>
      </c>
      <c r="AK154" s="2" t="s">
        <v>895</v>
      </c>
      <c r="AL154" s="2">
        <v>64</v>
      </c>
      <c r="AM154" s="2">
        <v>0</v>
      </c>
      <c r="AP154" s="2">
        <v>1998.00154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385"/>
      <c r="FB154" s="385"/>
      <c r="FC154" s="385"/>
      <c r="FD154" s="385"/>
      <c r="FE154" s="385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385"/>
      <c r="GK154" s="385"/>
      <c r="GL154" s="385"/>
      <c r="GM154" s="2"/>
      <c r="GN154" s="2"/>
      <c r="GO154" s="2"/>
      <c r="GP154" s="2"/>
      <c r="GQ154" s="2"/>
      <c r="GR154" s="2"/>
    </row>
    <row r="155" spans="2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0</v>
      </c>
      <c r="N155" s="2">
        <v>999</v>
      </c>
      <c r="O155" s="2">
        <v>1998</v>
      </c>
      <c r="P155" s="2">
        <v>1998</v>
      </c>
      <c r="Q155" s="2">
        <v>1998</v>
      </c>
      <c r="R155" s="2">
        <v>2997</v>
      </c>
      <c r="S155" s="2">
        <v>0</v>
      </c>
      <c r="U155" s="2">
        <v>0</v>
      </c>
      <c r="V155" s="2" t="e">
        <v>#DIV/0!</v>
      </c>
      <c r="W155" s="2">
        <v>0</v>
      </c>
      <c r="X155" s="2" t="e">
        <v>#DIV/0!</v>
      </c>
      <c r="AG155" s="2" t="s">
        <v>895</v>
      </c>
      <c r="AH155" s="2" t="s">
        <v>895</v>
      </c>
      <c r="AI155" s="2" t="s">
        <v>895</v>
      </c>
      <c r="AJ155" s="2" t="s">
        <v>895</v>
      </c>
      <c r="AK155" s="2" t="s">
        <v>895</v>
      </c>
      <c r="AL155" s="2">
        <v>65</v>
      </c>
      <c r="AM155" s="2">
        <v>0</v>
      </c>
      <c r="AP155" s="2">
        <v>1998.00155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385"/>
      <c r="FB155" s="385"/>
      <c r="FC155" s="385"/>
      <c r="FD155" s="385"/>
      <c r="FE155" s="385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385"/>
      <c r="GK155" s="385"/>
      <c r="GL155" s="385"/>
      <c r="GM155" s="2"/>
      <c r="GN155" s="2"/>
      <c r="GO155" s="2"/>
      <c r="GP155" s="2"/>
      <c r="GQ155" s="2"/>
      <c r="GR155" s="2"/>
    </row>
    <row r="156" spans="2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0</v>
      </c>
      <c r="N156" s="2">
        <v>999</v>
      </c>
      <c r="O156" s="2">
        <v>1998</v>
      </c>
      <c r="P156" s="2">
        <v>1998</v>
      </c>
      <c r="Q156" s="2">
        <v>1998</v>
      </c>
      <c r="R156" s="2">
        <v>2997</v>
      </c>
      <c r="S156" s="2">
        <v>0</v>
      </c>
      <c r="U156" s="2">
        <v>0</v>
      </c>
      <c r="V156" s="2" t="e">
        <v>#DIV/0!</v>
      </c>
      <c r="W156" s="2">
        <v>0</v>
      </c>
      <c r="X156" s="2" t="e">
        <v>#DIV/0!</v>
      </c>
      <c r="AG156" s="2" t="s">
        <v>895</v>
      </c>
      <c r="AH156" s="2" t="s">
        <v>895</v>
      </c>
      <c r="AI156" s="2" t="s">
        <v>895</v>
      </c>
      <c r="AJ156" s="2" t="s">
        <v>895</v>
      </c>
      <c r="AK156" s="2" t="s">
        <v>895</v>
      </c>
      <c r="AL156" s="2">
        <v>66</v>
      </c>
      <c r="AM156" s="2">
        <v>0</v>
      </c>
      <c r="AP156" s="2">
        <v>1998.0015599999999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385"/>
      <c r="FB156" s="385"/>
      <c r="FC156" s="385"/>
      <c r="FD156" s="385"/>
      <c r="FE156" s="385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385"/>
      <c r="GK156" s="385"/>
      <c r="GL156" s="385"/>
      <c r="GM156" s="2"/>
      <c r="GN156" s="2"/>
      <c r="GO156" s="2"/>
      <c r="GP156" s="2"/>
      <c r="GQ156" s="2"/>
      <c r="GR156" s="2"/>
    </row>
    <row r="157" spans="2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0</v>
      </c>
      <c r="N157" s="2">
        <v>999</v>
      </c>
      <c r="O157" s="2">
        <v>1998</v>
      </c>
      <c r="P157" s="2">
        <v>1998</v>
      </c>
      <c r="Q157" s="2">
        <v>1998</v>
      </c>
      <c r="R157" s="2">
        <v>2997</v>
      </c>
      <c r="S157" s="2">
        <v>0</v>
      </c>
      <c r="U157" s="2">
        <v>0</v>
      </c>
      <c r="V157" s="2" t="e">
        <v>#DIV/0!</v>
      </c>
      <c r="W157" s="2">
        <v>0</v>
      </c>
      <c r="X157" s="2" t="e">
        <v>#DIV/0!</v>
      </c>
      <c r="AG157" s="2" t="s">
        <v>895</v>
      </c>
      <c r="AH157" s="2" t="s">
        <v>895</v>
      </c>
      <c r="AI157" s="2" t="s">
        <v>895</v>
      </c>
      <c r="AJ157" s="2" t="s">
        <v>895</v>
      </c>
      <c r="AK157" s="2" t="s">
        <v>895</v>
      </c>
      <c r="AL157" s="2">
        <v>67</v>
      </c>
      <c r="AM157" s="2">
        <v>0</v>
      </c>
      <c r="AP157" s="2">
        <v>1998.0015699999999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385"/>
      <c r="FB157" s="385"/>
      <c r="FC157" s="385"/>
      <c r="FD157" s="385"/>
      <c r="FE157" s="385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385"/>
      <c r="GK157" s="385"/>
      <c r="GL157" s="385"/>
      <c r="GM157" s="2"/>
      <c r="GN157" s="2"/>
      <c r="GO157" s="2"/>
      <c r="GP157" s="2"/>
      <c r="GQ157" s="2"/>
      <c r="GR157" s="2"/>
    </row>
    <row r="158" spans="2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0</v>
      </c>
      <c r="N158" s="2">
        <v>999</v>
      </c>
      <c r="O158" s="2">
        <v>1998</v>
      </c>
      <c r="P158" s="2">
        <v>1998</v>
      </c>
      <c r="Q158" s="2">
        <v>1998</v>
      </c>
      <c r="R158" s="2">
        <v>2997</v>
      </c>
      <c r="S158" s="2">
        <v>0</v>
      </c>
      <c r="U158" s="2">
        <v>0</v>
      </c>
      <c r="V158" s="2" t="e">
        <v>#DIV/0!</v>
      </c>
      <c r="W158" s="2">
        <v>0</v>
      </c>
      <c r="X158" s="2" t="e">
        <v>#DIV/0!</v>
      </c>
      <c r="AG158" s="2" t="s">
        <v>895</v>
      </c>
      <c r="AH158" s="2" t="s">
        <v>895</v>
      </c>
      <c r="AI158" s="2" t="s">
        <v>895</v>
      </c>
      <c r="AJ158" s="2" t="s">
        <v>895</v>
      </c>
      <c r="AK158" s="2" t="s">
        <v>895</v>
      </c>
      <c r="AL158" s="2">
        <v>68</v>
      </c>
      <c r="AM158" s="2">
        <v>0</v>
      </c>
      <c r="AP158" s="2">
        <v>1998.0015800000001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385"/>
      <c r="FB158" s="385"/>
      <c r="FC158" s="385"/>
      <c r="FD158" s="385"/>
      <c r="FE158" s="385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385"/>
      <c r="GK158" s="385"/>
      <c r="GL158" s="385"/>
      <c r="GM158" s="2"/>
      <c r="GN158" s="2"/>
      <c r="GO158" s="2"/>
      <c r="GP158" s="2"/>
      <c r="GQ158" s="2"/>
      <c r="GR158" s="2"/>
    </row>
    <row r="159" spans="2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0</v>
      </c>
      <c r="N159" s="2">
        <v>999</v>
      </c>
      <c r="O159" s="2">
        <v>1998</v>
      </c>
      <c r="P159" s="2">
        <v>1998</v>
      </c>
      <c r="Q159" s="2">
        <v>1998</v>
      </c>
      <c r="R159" s="2">
        <v>2997</v>
      </c>
      <c r="S159" s="2">
        <v>0</v>
      </c>
      <c r="U159" s="2">
        <v>0</v>
      </c>
      <c r="V159" s="2" t="e">
        <v>#DIV/0!</v>
      </c>
      <c r="W159" s="2">
        <v>0</v>
      </c>
      <c r="X159" s="2" t="e">
        <v>#DIV/0!</v>
      </c>
      <c r="AG159" s="2" t="s">
        <v>895</v>
      </c>
      <c r="AH159" s="2" t="s">
        <v>895</v>
      </c>
      <c r="AI159" s="2" t="s">
        <v>895</v>
      </c>
      <c r="AJ159" s="2" t="s">
        <v>895</v>
      </c>
      <c r="AK159" s="2" t="s">
        <v>895</v>
      </c>
      <c r="AL159" s="2">
        <v>69</v>
      </c>
      <c r="AM159" s="2">
        <v>0</v>
      </c>
      <c r="AP159" s="2">
        <v>1998.0015900000001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385"/>
      <c r="FB159" s="385"/>
      <c r="FC159" s="385"/>
      <c r="FD159" s="385"/>
      <c r="FE159" s="385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385"/>
      <c r="GK159" s="385"/>
      <c r="GL159" s="385"/>
      <c r="GM159" s="2"/>
      <c r="GN159" s="2"/>
      <c r="GO159" s="2"/>
      <c r="GP159" s="2"/>
      <c r="GQ159" s="2"/>
      <c r="GR159" s="2"/>
    </row>
    <row r="160" spans="2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0</v>
      </c>
      <c r="N160" s="2">
        <v>999</v>
      </c>
      <c r="O160" s="2">
        <v>1998</v>
      </c>
      <c r="P160" s="2">
        <v>1998</v>
      </c>
      <c r="Q160" s="2">
        <v>1998</v>
      </c>
      <c r="R160" s="2">
        <v>2997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AG160" s="2" t="s">
        <v>895</v>
      </c>
      <c r="AH160" s="2" t="s">
        <v>895</v>
      </c>
      <c r="AI160" s="2" t="s">
        <v>895</v>
      </c>
      <c r="AJ160" s="2" t="s">
        <v>895</v>
      </c>
      <c r="AK160" s="2" t="s">
        <v>895</v>
      </c>
      <c r="AL160" s="2">
        <v>70</v>
      </c>
      <c r="AM160" s="2">
        <v>0</v>
      </c>
      <c r="AP160" s="2">
        <v>1998.0016000000001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385"/>
      <c r="FB160" s="385"/>
      <c r="FC160" s="385"/>
      <c r="FD160" s="385"/>
      <c r="FE160" s="385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385"/>
      <c r="GK160" s="385"/>
      <c r="GL160" s="385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0</v>
      </c>
      <c r="N161" s="2">
        <v>999</v>
      </c>
      <c r="O161" s="2">
        <v>1998</v>
      </c>
      <c r="P161" s="2">
        <v>1998</v>
      </c>
      <c r="Q161" s="2">
        <v>1998</v>
      </c>
      <c r="R161" s="2">
        <v>2997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AG161" s="2" t="s">
        <v>895</v>
      </c>
      <c r="AH161" s="2" t="s">
        <v>895</v>
      </c>
      <c r="AI161" s="2" t="s">
        <v>895</v>
      </c>
      <c r="AJ161" s="2" t="s">
        <v>895</v>
      </c>
      <c r="AK161" s="2" t="s">
        <v>895</v>
      </c>
      <c r="AL161" s="2">
        <v>71</v>
      </c>
      <c r="AM161" s="2">
        <v>0</v>
      </c>
      <c r="AP161" s="2">
        <v>1998.00161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385"/>
      <c r="FB161" s="385"/>
      <c r="FC161" s="385"/>
      <c r="FD161" s="385"/>
      <c r="FE161" s="385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385"/>
      <c r="GK161" s="385"/>
      <c r="GL161" s="385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999</v>
      </c>
      <c r="O162" s="2">
        <v>1998</v>
      </c>
      <c r="P162" s="2">
        <v>1998</v>
      </c>
      <c r="Q162" s="2">
        <v>1998</v>
      </c>
      <c r="R162" s="2">
        <v>2997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895</v>
      </c>
      <c r="AH162" s="2" t="s">
        <v>895</v>
      </c>
      <c r="AI162" s="2" t="s">
        <v>895</v>
      </c>
      <c r="AJ162" s="2" t="s">
        <v>895</v>
      </c>
      <c r="AK162" s="2" t="s">
        <v>895</v>
      </c>
      <c r="AL162" s="2">
        <v>72</v>
      </c>
      <c r="AM162" s="2">
        <v>0</v>
      </c>
      <c r="AP162" s="2">
        <v>1998.00162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385"/>
      <c r="FB162" s="385"/>
      <c r="FC162" s="385"/>
      <c r="FD162" s="385"/>
      <c r="FE162" s="385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385"/>
      <c r="GK162" s="385"/>
      <c r="GL162" s="385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999</v>
      </c>
      <c r="O163" s="2">
        <v>1998</v>
      </c>
      <c r="P163" s="2">
        <v>1998</v>
      </c>
      <c r="Q163" s="2">
        <v>1998</v>
      </c>
      <c r="R163" s="2">
        <v>2997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895</v>
      </c>
      <c r="AH163" s="2" t="s">
        <v>895</v>
      </c>
      <c r="AI163" s="2" t="s">
        <v>895</v>
      </c>
      <c r="AJ163" s="2" t="s">
        <v>895</v>
      </c>
      <c r="AK163" s="2" t="s">
        <v>895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385"/>
      <c r="FB163" s="385"/>
      <c r="FC163" s="385"/>
      <c r="FD163" s="385"/>
      <c r="FE163" s="385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385"/>
      <c r="GK163" s="385"/>
      <c r="GL163" s="385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999</v>
      </c>
      <c r="O164" s="2">
        <v>1998</v>
      </c>
      <c r="P164" s="2">
        <v>1998</v>
      </c>
      <c r="Q164" s="2">
        <v>1998</v>
      </c>
      <c r="R164" s="2">
        <v>2997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895</v>
      </c>
      <c r="AH164" s="2" t="s">
        <v>895</v>
      </c>
      <c r="AI164" s="2" t="s">
        <v>895</v>
      </c>
      <c r="AJ164" s="2" t="s">
        <v>895</v>
      </c>
      <c r="AK164" s="2" t="s">
        <v>895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385"/>
      <c r="FB164" s="385"/>
      <c r="FC164" s="385"/>
      <c r="FD164" s="385"/>
      <c r="FE164" s="385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385"/>
      <c r="GK164" s="385"/>
      <c r="GL164" s="385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999</v>
      </c>
      <c r="O165" s="2">
        <v>1998</v>
      </c>
      <c r="P165" s="2">
        <v>1998</v>
      </c>
      <c r="Q165" s="2">
        <v>1998</v>
      </c>
      <c r="R165" s="2">
        <v>2997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895</v>
      </c>
      <c r="AH165" s="2" t="s">
        <v>895</v>
      </c>
      <c r="AI165" s="2" t="s">
        <v>895</v>
      </c>
      <c r="AJ165" s="2" t="s">
        <v>895</v>
      </c>
      <c r="AK165" s="2" t="s">
        <v>895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385"/>
      <c r="FB165" s="385"/>
      <c r="FC165" s="385"/>
      <c r="FD165" s="385"/>
      <c r="FE165" s="385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385"/>
      <c r="GK165" s="385"/>
      <c r="GL165" s="385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999</v>
      </c>
      <c r="O166" s="2">
        <v>1998</v>
      </c>
      <c r="P166" s="2">
        <v>1998</v>
      </c>
      <c r="Q166" s="2">
        <v>1998</v>
      </c>
      <c r="R166" s="2">
        <v>2997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895</v>
      </c>
      <c r="AH166" s="2" t="s">
        <v>895</v>
      </c>
      <c r="AI166" s="2" t="s">
        <v>895</v>
      </c>
      <c r="AJ166" s="2" t="s">
        <v>895</v>
      </c>
      <c r="AK166" s="2" t="s">
        <v>895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385"/>
      <c r="FB166" s="385"/>
      <c r="FC166" s="385"/>
      <c r="FD166" s="385"/>
      <c r="FE166" s="385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385"/>
      <c r="GK166" s="385"/>
      <c r="GL166" s="385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999</v>
      </c>
      <c r="O167" s="2">
        <v>1998</v>
      </c>
      <c r="P167" s="2">
        <v>1998</v>
      </c>
      <c r="Q167" s="2">
        <v>1998</v>
      </c>
      <c r="R167" s="2">
        <v>2997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895</v>
      </c>
      <c r="AH167" s="2" t="s">
        <v>895</v>
      </c>
      <c r="AI167" s="2" t="s">
        <v>895</v>
      </c>
      <c r="AJ167" s="2" t="s">
        <v>895</v>
      </c>
      <c r="AK167" s="2" t="s">
        <v>895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385"/>
      <c r="FB167" s="385"/>
      <c r="FC167" s="385"/>
      <c r="FD167" s="385"/>
      <c r="FE167" s="385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385"/>
      <c r="GK167" s="385"/>
      <c r="GL167" s="385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999</v>
      </c>
      <c r="O168" s="2">
        <v>1998</v>
      </c>
      <c r="P168" s="2">
        <v>1998</v>
      </c>
      <c r="Q168" s="2">
        <v>1998</v>
      </c>
      <c r="R168" s="2">
        <v>2997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895</v>
      </c>
      <c r="AH168" s="2" t="s">
        <v>895</v>
      </c>
      <c r="AI168" s="2" t="s">
        <v>895</v>
      </c>
      <c r="AJ168" s="2" t="s">
        <v>895</v>
      </c>
      <c r="AK168" s="2" t="s">
        <v>895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385"/>
      <c r="FB168" s="385"/>
      <c r="FC168" s="385"/>
      <c r="FD168" s="385"/>
      <c r="FE168" s="385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385"/>
      <c r="GK168" s="385"/>
      <c r="GL168" s="385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999</v>
      </c>
      <c r="O169" s="2">
        <v>1998</v>
      </c>
      <c r="P169" s="2">
        <v>1998</v>
      </c>
      <c r="Q169" s="2">
        <v>1998</v>
      </c>
      <c r="R169" s="2">
        <v>2997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895</v>
      </c>
      <c r="AH169" s="2" t="s">
        <v>895</v>
      </c>
      <c r="AI169" s="2" t="s">
        <v>895</v>
      </c>
      <c r="AJ169" s="2" t="s">
        <v>895</v>
      </c>
      <c r="AK169" s="2" t="s">
        <v>895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385"/>
      <c r="FB169" s="385"/>
      <c r="FC169" s="385"/>
      <c r="FD169" s="385"/>
      <c r="FE169" s="385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385"/>
      <c r="GK169" s="385"/>
      <c r="GL169" s="385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999</v>
      </c>
      <c r="O170" s="2">
        <v>1998</v>
      </c>
      <c r="P170" s="2">
        <v>1998</v>
      </c>
      <c r="Q170" s="2">
        <v>1998</v>
      </c>
      <c r="R170" s="2">
        <v>2997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895</v>
      </c>
      <c r="AH170" s="2" t="s">
        <v>895</v>
      </c>
      <c r="AI170" s="2" t="s">
        <v>895</v>
      </c>
      <c r="AJ170" s="2" t="s">
        <v>895</v>
      </c>
      <c r="AK170" s="2" t="s">
        <v>895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385"/>
      <c r="FB170" s="385"/>
      <c r="FC170" s="385"/>
      <c r="FD170" s="385"/>
      <c r="FE170" s="385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385"/>
      <c r="GK170" s="385"/>
      <c r="GL170" s="385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999</v>
      </c>
      <c r="O171" s="2">
        <v>1998</v>
      </c>
      <c r="P171" s="2">
        <v>1998</v>
      </c>
      <c r="Q171" s="2">
        <v>1998</v>
      </c>
      <c r="R171" s="2">
        <v>2997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895</v>
      </c>
      <c r="AH171" s="2" t="s">
        <v>895</v>
      </c>
      <c r="AI171" s="2" t="s">
        <v>895</v>
      </c>
      <c r="AJ171" s="2" t="s">
        <v>895</v>
      </c>
      <c r="AK171" s="2" t="s">
        <v>895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385"/>
      <c r="FB171" s="385"/>
      <c r="FC171" s="385"/>
      <c r="FD171" s="385"/>
      <c r="FE171" s="385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385"/>
      <c r="GK171" s="385"/>
      <c r="GL171" s="385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999</v>
      </c>
      <c r="O172" s="2">
        <v>1998</v>
      </c>
      <c r="P172" s="2">
        <v>1998</v>
      </c>
      <c r="Q172" s="2">
        <v>1998</v>
      </c>
      <c r="R172" s="2">
        <v>2997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895</v>
      </c>
      <c r="AH172" s="2" t="s">
        <v>895</v>
      </c>
      <c r="AI172" s="2" t="s">
        <v>895</v>
      </c>
      <c r="AJ172" s="2" t="s">
        <v>895</v>
      </c>
      <c r="AK172" s="2" t="s">
        <v>895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999</v>
      </c>
      <c r="O173" s="2">
        <v>1998</v>
      </c>
      <c r="P173" s="2">
        <v>1998</v>
      </c>
      <c r="Q173" s="2">
        <v>1998</v>
      </c>
      <c r="R173" s="2">
        <v>2997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895</v>
      </c>
      <c r="AH173" s="2" t="s">
        <v>895</v>
      </c>
      <c r="AI173" s="2" t="s">
        <v>895</v>
      </c>
      <c r="AJ173" s="2" t="s">
        <v>895</v>
      </c>
      <c r="AK173" s="2" t="s">
        <v>895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999</v>
      </c>
      <c r="O174" s="2">
        <v>1998</v>
      </c>
      <c r="P174" s="2">
        <v>1998</v>
      </c>
      <c r="Q174" s="2">
        <v>1998</v>
      </c>
      <c r="R174" s="2">
        <v>2997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895</v>
      </c>
      <c r="AH174" s="2" t="s">
        <v>895</v>
      </c>
      <c r="AI174" s="2" t="s">
        <v>895</v>
      </c>
      <c r="AJ174" s="2" t="s">
        <v>895</v>
      </c>
      <c r="AK174" s="2" t="s">
        <v>895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999</v>
      </c>
      <c r="O175" s="2">
        <v>1998</v>
      </c>
      <c r="P175" s="2">
        <v>1998</v>
      </c>
      <c r="Q175" s="2">
        <v>1998</v>
      </c>
      <c r="R175" s="2">
        <v>2997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895</v>
      </c>
      <c r="AH175" s="2" t="s">
        <v>895</v>
      </c>
      <c r="AI175" s="2" t="s">
        <v>895</v>
      </c>
      <c r="AJ175" s="2" t="s">
        <v>895</v>
      </c>
      <c r="AK175" s="2" t="s">
        <v>895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999</v>
      </c>
      <c r="O176" s="2">
        <v>1998</v>
      </c>
      <c r="P176" s="2">
        <v>1998</v>
      </c>
      <c r="Q176" s="2">
        <v>1998</v>
      </c>
      <c r="R176" s="2">
        <v>2997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895</v>
      </c>
      <c r="AH176" s="2" t="s">
        <v>895</v>
      </c>
      <c r="AI176" s="2" t="s">
        <v>895</v>
      </c>
      <c r="AJ176" s="2" t="s">
        <v>895</v>
      </c>
      <c r="AK176" s="2" t="s">
        <v>895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94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999</v>
      </c>
      <c r="O177" s="2">
        <v>1998</v>
      </c>
      <c r="P177" s="2">
        <v>1998</v>
      </c>
      <c r="Q177" s="2">
        <v>1998</v>
      </c>
      <c r="R177" s="2">
        <v>2997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895</v>
      </c>
      <c r="AH177" s="2" t="s">
        <v>895</v>
      </c>
      <c r="AI177" s="2" t="s">
        <v>895</v>
      </c>
      <c r="AJ177" s="2" t="s">
        <v>895</v>
      </c>
      <c r="AK177" s="2" t="s">
        <v>895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94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999</v>
      </c>
      <c r="O178" s="2">
        <v>1998</v>
      </c>
      <c r="P178" s="2">
        <v>1998</v>
      </c>
      <c r="Q178" s="2">
        <v>1998</v>
      </c>
      <c r="R178" s="2">
        <v>2997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895</v>
      </c>
      <c r="AH178" s="2" t="s">
        <v>895</v>
      </c>
      <c r="AI178" s="2" t="s">
        <v>895</v>
      </c>
      <c r="AJ178" s="2" t="s">
        <v>895</v>
      </c>
      <c r="AK178" s="2" t="s">
        <v>895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94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999</v>
      </c>
      <c r="O179" s="2">
        <v>1998</v>
      </c>
      <c r="P179" s="2">
        <v>1998</v>
      </c>
      <c r="Q179" s="2">
        <v>1998</v>
      </c>
      <c r="R179" s="2">
        <v>2997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895</v>
      </c>
      <c r="AH179" s="2" t="s">
        <v>895</v>
      </c>
      <c r="AI179" s="2" t="s">
        <v>895</v>
      </c>
      <c r="AJ179" s="2" t="s">
        <v>895</v>
      </c>
      <c r="AK179" s="2" t="s">
        <v>895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94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999</v>
      </c>
      <c r="O180" s="2">
        <v>1998</v>
      </c>
      <c r="P180" s="2">
        <v>1998</v>
      </c>
      <c r="Q180" s="2">
        <v>1998</v>
      </c>
      <c r="R180" s="2">
        <v>2997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895</v>
      </c>
      <c r="AH180" s="2" t="s">
        <v>895</v>
      </c>
      <c r="AI180" s="2" t="s">
        <v>895</v>
      </c>
      <c r="AJ180" s="2" t="s">
        <v>895</v>
      </c>
      <c r="AK180" s="2" t="s">
        <v>895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94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999</v>
      </c>
      <c r="O181" s="2">
        <v>1998</v>
      </c>
      <c r="P181" s="2">
        <v>1998</v>
      </c>
      <c r="Q181" s="2">
        <v>1998</v>
      </c>
      <c r="R181" s="2">
        <v>2997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895</v>
      </c>
      <c r="AH181" s="2" t="s">
        <v>895</v>
      </c>
      <c r="AI181" s="2" t="s">
        <v>895</v>
      </c>
      <c r="AJ181" s="2" t="s">
        <v>895</v>
      </c>
      <c r="AK181" s="2" t="s">
        <v>895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94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999</v>
      </c>
      <c r="O182" s="2">
        <v>1998</v>
      </c>
      <c r="P182" s="2">
        <v>1998</v>
      </c>
      <c r="Q182" s="2">
        <v>1998</v>
      </c>
      <c r="R182" s="2">
        <v>2997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895</v>
      </c>
      <c r="AH182" s="2" t="s">
        <v>895</v>
      </c>
      <c r="AI182" s="2" t="s">
        <v>895</v>
      </c>
      <c r="AJ182" s="2" t="s">
        <v>895</v>
      </c>
      <c r="AK182" s="2" t="s">
        <v>895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94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999</v>
      </c>
      <c r="O183" s="2">
        <v>1998</v>
      </c>
      <c r="P183" s="2">
        <v>1998</v>
      </c>
      <c r="Q183" s="2">
        <v>1998</v>
      </c>
      <c r="R183" s="2">
        <v>2997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895</v>
      </c>
      <c r="AH183" s="2" t="s">
        <v>895</v>
      </c>
      <c r="AI183" s="2" t="s">
        <v>895</v>
      </c>
      <c r="AJ183" s="2" t="s">
        <v>895</v>
      </c>
      <c r="AK183" s="2" t="s">
        <v>895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94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999</v>
      </c>
      <c r="O184" s="2">
        <v>1998</v>
      </c>
      <c r="P184" s="2">
        <v>1998</v>
      </c>
      <c r="Q184" s="2">
        <v>1998</v>
      </c>
      <c r="R184" s="2">
        <v>2997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895</v>
      </c>
      <c r="AH184" s="2" t="s">
        <v>895</v>
      </c>
      <c r="AI184" s="2" t="s">
        <v>895</v>
      </c>
      <c r="AJ184" s="2" t="s">
        <v>895</v>
      </c>
      <c r="AK184" s="2" t="s">
        <v>895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94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999</v>
      </c>
      <c r="O185" s="2">
        <v>1998</v>
      </c>
      <c r="P185" s="2">
        <v>1998</v>
      </c>
      <c r="Q185" s="2">
        <v>1998</v>
      </c>
      <c r="R185" s="2">
        <v>2997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895</v>
      </c>
      <c r="AH185" s="2" t="s">
        <v>895</v>
      </c>
      <c r="AI185" s="2" t="s">
        <v>895</v>
      </c>
      <c r="AJ185" s="2" t="s">
        <v>895</v>
      </c>
      <c r="AK185" s="2" t="s">
        <v>895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94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999</v>
      </c>
      <c r="O186" s="2">
        <v>1998</v>
      </c>
      <c r="P186" s="2">
        <v>1998</v>
      </c>
      <c r="Q186" s="2">
        <v>1998</v>
      </c>
      <c r="R186" s="2">
        <v>2997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895</v>
      </c>
      <c r="AH186" s="2" t="s">
        <v>895</v>
      </c>
      <c r="AI186" s="2" t="s">
        <v>895</v>
      </c>
      <c r="AJ186" s="2" t="s">
        <v>895</v>
      </c>
      <c r="AK186" s="2" t="s">
        <v>895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94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999</v>
      </c>
      <c r="O187" s="2">
        <v>1998</v>
      </c>
      <c r="P187" s="2">
        <v>1998</v>
      </c>
      <c r="Q187" s="2">
        <v>1998</v>
      </c>
      <c r="R187" s="2">
        <v>2997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895</v>
      </c>
      <c r="AH187" s="2" t="s">
        <v>895</v>
      </c>
      <c r="AI187" s="2" t="s">
        <v>895</v>
      </c>
      <c r="AJ187" s="2" t="s">
        <v>895</v>
      </c>
      <c r="AK187" s="2" t="s">
        <v>895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94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999</v>
      </c>
      <c r="O188" s="2">
        <v>1998</v>
      </c>
      <c r="P188" s="2">
        <v>1998</v>
      </c>
      <c r="Q188" s="2">
        <v>1998</v>
      </c>
      <c r="R188" s="2">
        <v>2997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895</v>
      </c>
      <c r="AH188" s="2" t="s">
        <v>895</v>
      </c>
      <c r="AI188" s="2" t="s">
        <v>895</v>
      </c>
      <c r="AJ188" s="2" t="s">
        <v>895</v>
      </c>
      <c r="AK188" s="2" t="s">
        <v>895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94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999</v>
      </c>
      <c r="O189" s="2">
        <v>1998</v>
      </c>
      <c r="P189" s="2">
        <v>1998</v>
      </c>
      <c r="Q189" s="2">
        <v>1998</v>
      </c>
      <c r="R189" s="2">
        <v>2997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895</v>
      </c>
      <c r="AH189" s="2" t="s">
        <v>895</v>
      </c>
      <c r="AI189" s="2" t="s">
        <v>895</v>
      </c>
      <c r="AJ189" s="2" t="s">
        <v>895</v>
      </c>
      <c r="AK189" s="2" t="s">
        <v>895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94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999</v>
      </c>
      <c r="O190" s="2">
        <v>1998</v>
      </c>
      <c r="P190" s="2">
        <v>1998</v>
      </c>
      <c r="Q190" s="2">
        <v>1998</v>
      </c>
      <c r="R190" s="2">
        <v>2997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895</v>
      </c>
      <c r="AH190" s="2" t="s">
        <v>895</v>
      </c>
      <c r="AI190" s="2" t="s">
        <v>895</v>
      </c>
      <c r="AJ190" s="2" t="s">
        <v>895</v>
      </c>
      <c r="AK190" s="2" t="s">
        <v>895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94" s="71" customFormat="1" x14ac:dyDescent="0.25">
      <c r="FA191" s="386"/>
      <c r="FB191" s="386"/>
      <c r="FC191" s="386"/>
      <c r="FD191" s="386"/>
      <c r="FE191" s="386"/>
      <c r="GJ191" s="386"/>
      <c r="GK191" s="386"/>
      <c r="GL191" s="386"/>
    </row>
    <row r="192" spans="2:194" s="71" customFormat="1" x14ac:dyDescent="0.25">
      <c r="FA192" s="386"/>
      <c r="FB192" s="386"/>
      <c r="FC192" s="386"/>
      <c r="FD192" s="386"/>
      <c r="FE192" s="386"/>
      <c r="GJ192" s="386"/>
      <c r="GK192" s="386"/>
      <c r="GL192" s="386"/>
    </row>
    <row r="193" spans="157:194" s="71" customFormat="1" x14ac:dyDescent="0.25">
      <c r="FA193" s="386"/>
      <c r="FB193" s="386"/>
      <c r="FC193" s="386"/>
      <c r="FD193" s="386"/>
      <c r="FE193" s="386"/>
      <c r="GJ193" s="386"/>
      <c r="GK193" s="386"/>
      <c r="GL193" s="386"/>
    </row>
    <row r="194" spans="157:194" s="71" customFormat="1" x14ac:dyDescent="0.25">
      <c r="FA194" s="386"/>
      <c r="FB194" s="386"/>
      <c r="FC194" s="386"/>
      <c r="FD194" s="386"/>
      <c r="FE194" s="386"/>
      <c r="GJ194" s="386"/>
      <c r="GK194" s="386"/>
      <c r="GL194" s="386"/>
    </row>
    <row r="195" spans="157:194" s="71" customFormat="1" x14ac:dyDescent="0.25">
      <c r="FA195" s="386"/>
      <c r="FB195" s="386"/>
      <c r="FC195" s="386"/>
      <c r="FD195" s="386"/>
      <c r="FE195" s="386"/>
      <c r="GJ195" s="386"/>
      <c r="GK195" s="386"/>
      <c r="GL195" s="386"/>
    </row>
    <row r="196" spans="157:194" s="71" customFormat="1" x14ac:dyDescent="0.25">
      <c r="FA196" s="386"/>
      <c r="FB196" s="386"/>
      <c r="FC196" s="386"/>
      <c r="FD196" s="386"/>
      <c r="FE196" s="386"/>
      <c r="GJ196" s="386"/>
      <c r="GK196" s="386"/>
      <c r="GL196" s="386"/>
    </row>
    <row r="197" spans="157:194" s="71" customFormat="1" x14ac:dyDescent="0.25">
      <c r="FA197" s="386"/>
      <c r="FB197" s="386"/>
      <c r="FC197" s="386"/>
      <c r="FD197" s="386"/>
      <c r="FE197" s="386"/>
      <c r="GJ197" s="386"/>
      <c r="GK197" s="386"/>
      <c r="GL197" s="386"/>
    </row>
    <row r="198" spans="157:194" s="71" customFormat="1" x14ac:dyDescent="0.25">
      <c r="FA198" s="386"/>
      <c r="FB198" s="386"/>
      <c r="FC198" s="386"/>
      <c r="FD198" s="386"/>
      <c r="FE198" s="386"/>
      <c r="GJ198" s="386"/>
      <c r="GK198" s="386"/>
      <c r="GL198" s="386"/>
    </row>
    <row r="199" spans="157:194" s="71" customFormat="1" x14ac:dyDescent="0.25">
      <c r="FA199" s="386"/>
      <c r="FB199" s="386"/>
      <c r="FC199" s="386"/>
      <c r="FD199" s="386"/>
      <c r="FE199" s="386"/>
      <c r="GJ199" s="386"/>
      <c r="GK199" s="386"/>
      <c r="GL199" s="386"/>
    </row>
    <row r="200" spans="157:194" s="71" customFormat="1" x14ac:dyDescent="0.25">
      <c r="FA200" s="386"/>
      <c r="FB200" s="386"/>
      <c r="FC200" s="386"/>
      <c r="FD200" s="386"/>
      <c r="FE200" s="386"/>
      <c r="GJ200" s="386"/>
      <c r="GK200" s="386"/>
      <c r="GL200" s="386"/>
    </row>
    <row r="201" spans="157:194" s="71" customFormat="1" x14ac:dyDescent="0.25">
      <c r="FA201" s="386"/>
      <c r="FB201" s="386"/>
      <c r="FC201" s="386"/>
      <c r="FD201" s="386"/>
      <c r="FE201" s="386"/>
      <c r="GJ201" s="386"/>
      <c r="GK201" s="386"/>
      <c r="GL201" s="386"/>
    </row>
    <row r="202" spans="157:194" s="71" customFormat="1" x14ac:dyDescent="0.25">
      <c r="FA202" s="386"/>
      <c r="FB202" s="386"/>
      <c r="FC202" s="386"/>
      <c r="FD202" s="386"/>
      <c r="FE202" s="386"/>
      <c r="GJ202" s="386"/>
      <c r="GK202" s="386"/>
      <c r="GL202" s="386"/>
    </row>
    <row r="203" spans="157:194" s="71" customFormat="1" x14ac:dyDescent="0.25">
      <c r="FA203" s="386"/>
      <c r="FB203" s="386"/>
      <c r="FC203" s="386"/>
      <c r="FD203" s="386"/>
      <c r="FE203" s="386"/>
      <c r="GJ203" s="386"/>
      <c r="GK203" s="386"/>
      <c r="GL203" s="386"/>
    </row>
    <row r="204" spans="157:194" s="71" customFormat="1" x14ac:dyDescent="0.25">
      <c r="FA204" s="386"/>
      <c r="FB204" s="386"/>
      <c r="FC204" s="386"/>
      <c r="FD204" s="386"/>
      <c r="FE204" s="386"/>
      <c r="GJ204" s="386"/>
      <c r="GK204" s="386"/>
      <c r="GL204" s="386"/>
    </row>
    <row r="205" spans="157:194" s="71" customFormat="1" x14ac:dyDescent="0.25">
      <c r="FA205" s="386"/>
      <c r="FB205" s="386"/>
      <c r="FC205" s="386"/>
      <c r="FD205" s="386"/>
      <c r="FE205" s="386"/>
      <c r="GJ205" s="386"/>
      <c r="GK205" s="386"/>
      <c r="GL205" s="386"/>
    </row>
    <row r="206" spans="157:194" s="71" customFormat="1" x14ac:dyDescent="0.25">
      <c r="FA206" s="386"/>
      <c r="FB206" s="386"/>
      <c r="FC206" s="386"/>
      <c r="FD206" s="386"/>
      <c r="FE206" s="386"/>
      <c r="GJ206" s="386"/>
      <c r="GK206" s="386"/>
      <c r="GL206" s="386"/>
    </row>
    <row r="207" spans="157:194" s="71" customFormat="1" x14ac:dyDescent="0.25">
      <c r="FA207" s="386"/>
      <c r="FB207" s="386"/>
      <c r="FC207" s="386"/>
      <c r="FD207" s="386"/>
      <c r="FE207" s="386"/>
      <c r="GJ207" s="386"/>
      <c r="GK207" s="386"/>
      <c r="GL207" s="386"/>
    </row>
    <row r="208" spans="157:194" s="71" customFormat="1" x14ac:dyDescent="0.25">
      <c r="FA208" s="386"/>
      <c r="FB208" s="386"/>
      <c r="FC208" s="386"/>
      <c r="FD208" s="386"/>
      <c r="FE208" s="386"/>
      <c r="GJ208" s="386"/>
      <c r="GK208" s="386"/>
      <c r="GL208" s="386"/>
    </row>
    <row r="209" spans="157:194" s="71" customFormat="1" x14ac:dyDescent="0.25">
      <c r="FA209" s="386"/>
      <c r="FB209" s="386"/>
      <c r="FC209" s="386"/>
      <c r="FD209" s="386"/>
      <c r="FE209" s="386"/>
      <c r="GJ209" s="386"/>
      <c r="GK209" s="386"/>
      <c r="GL209" s="386"/>
    </row>
    <row r="210" spans="157:194" s="71" customFormat="1" x14ac:dyDescent="0.25">
      <c r="FA210" s="386"/>
      <c r="FB210" s="386"/>
      <c r="FC210" s="386"/>
      <c r="FD210" s="386"/>
      <c r="FE210" s="386"/>
      <c r="GJ210" s="386"/>
      <c r="GK210" s="386"/>
      <c r="GL210" s="386"/>
    </row>
    <row r="211" spans="157:194" s="71" customFormat="1" x14ac:dyDescent="0.25">
      <c r="FA211" s="386"/>
      <c r="FB211" s="386"/>
      <c r="FC211" s="386"/>
      <c r="FD211" s="386"/>
      <c r="FE211" s="386"/>
      <c r="GJ211" s="386"/>
      <c r="GK211" s="386"/>
      <c r="GL211" s="386"/>
    </row>
    <row r="212" spans="157:194" s="71" customFormat="1" x14ac:dyDescent="0.25">
      <c r="FA212" s="386"/>
      <c r="FB212" s="386"/>
      <c r="FC212" s="386"/>
      <c r="FD212" s="386"/>
      <c r="FE212" s="386"/>
      <c r="GJ212" s="386"/>
      <c r="GK212" s="386"/>
      <c r="GL212" s="386"/>
    </row>
    <row r="213" spans="157:194" s="71" customFormat="1" x14ac:dyDescent="0.25">
      <c r="FA213" s="386"/>
      <c r="FB213" s="386"/>
      <c r="FC213" s="386"/>
      <c r="FD213" s="386"/>
      <c r="FE213" s="386"/>
      <c r="GJ213" s="386"/>
      <c r="GK213" s="386"/>
      <c r="GL213" s="386"/>
    </row>
    <row r="214" spans="157:194" s="71" customFormat="1" x14ac:dyDescent="0.25">
      <c r="FA214" s="386"/>
      <c r="FB214" s="386"/>
      <c r="FC214" s="386"/>
      <c r="FD214" s="386"/>
      <c r="FE214" s="386"/>
      <c r="GJ214" s="386"/>
      <c r="GK214" s="386"/>
      <c r="GL214" s="386"/>
    </row>
    <row r="215" spans="157:194" s="71" customFormat="1" x14ac:dyDescent="0.25">
      <c r="FA215" s="386"/>
      <c r="FB215" s="386"/>
      <c r="FC215" s="386"/>
      <c r="FD215" s="386"/>
      <c r="FE215" s="386"/>
      <c r="GJ215" s="386"/>
      <c r="GK215" s="386"/>
      <c r="GL215" s="386"/>
    </row>
    <row r="216" spans="157:194" s="71" customFormat="1" x14ac:dyDescent="0.25">
      <c r="FA216" s="386"/>
      <c r="FB216" s="386"/>
      <c r="FC216" s="386"/>
      <c r="FD216" s="386"/>
      <c r="FE216" s="386"/>
      <c r="GJ216" s="386"/>
      <c r="GK216" s="386"/>
      <c r="GL216" s="386"/>
    </row>
    <row r="217" spans="157:194" s="71" customFormat="1" x14ac:dyDescent="0.25">
      <c r="FA217" s="386"/>
      <c r="FB217" s="386"/>
      <c r="FC217" s="386"/>
      <c r="FD217" s="386"/>
      <c r="FE217" s="386"/>
      <c r="GJ217" s="386"/>
      <c r="GK217" s="386"/>
      <c r="GL217" s="386"/>
    </row>
    <row r="218" spans="157:194" s="71" customFormat="1" x14ac:dyDescent="0.25">
      <c r="FA218" s="386"/>
      <c r="FB218" s="386"/>
      <c r="FC218" s="386"/>
      <c r="FD218" s="386"/>
      <c r="FE218" s="386"/>
      <c r="GJ218" s="386"/>
      <c r="GK218" s="386"/>
      <c r="GL218" s="386"/>
    </row>
    <row r="219" spans="157:194" s="71" customFormat="1" x14ac:dyDescent="0.25">
      <c r="FA219" s="386"/>
      <c r="FB219" s="386"/>
      <c r="FC219" s="386"/>
      <c r="FD219" s="386"/>
      <c r="FE219" s="386"/>
      <c r="GJ219" s="386"/>
      <c r="GK219" s="386"/>
      <c r="GL219" s="386"/>
    </row>
    <row r="220" spans="157:194" s="71" customFormat="1" x14ac:dyDescent="0.25">
      <c r="FA220" s="386"/>
      <c r="FB220" s="386"/>
      <c r="FC220" s="386"/>
      <c r="FD220" s="386"/>
      <c r="FE220" s="386"/>
      <c r="GJ220" s="386"/>
      <c r="GK220" s="386"/>
      <c r="GL220" s="386"/>
    </row>
    <row r="221" spans="157:194" s="71" customFormat="1" x14ac:dyDescent="0.25">
      <c r="FA221" s="386"/>
      <c r="FB221" s="386"/>
      <c r="FC221" s="386"/>
      <c r="FD221" s="386"/>
      <c r="FE221" s="386"/>
      <c r="GJ221" s="386"/>
      <c r="GK221" s="386"/>
      <c r="GL221" s="386"/>
    </row>
    <row r="222" spans="157:194" s="71" customFormat="1" x14ac:dyDescent="0.25">
      <c r="FA222" s="386"/>
      <c r="FB222" s="386"/>
      <c r="FC222" s="386"/>
      <c r="FD222" s="386"/>
      <c r="FE222" s="386"/>
      <c r="GJ222" s="386"/>
      <c r="GK222" s="386"/>
      <c r="GL222" s="386"/>
    </row>
    <row r="223" spans="157:194" s="71" customFormat="1" x14ac:dyDescent="0.25">
      <c r="FA223" s="386"/>
      <c r="FB223" s="386"/>
      <c r="FC223" s="386"/>
      <c r="FD223" s="386"/>
      <c r="FE223" s="386"/>
      <c r="GJ223" s="386"/>
      <c r="GK223" s="386"/>
      <c r="GL223" s="386"/>
    </row>
    <row r="224" spans="157:194" s="71" customFormat="1" x14ac:dyDescent="0.25">
      <c r="FA224" s="386"/>
      <c r="FB224" s="386"/>
      <c r="FC224" s="386"/>
      <c r="FD224" s="386"/>
      <c r="FE224" s="386"/>
      <c r="GJ224" s="386"/>
      <c r="GK224" s="386"/>
      <c r="GL224" s="386"/>
    </row>
    <row r="225" spans="157:194" s="71" customFormat="1" x14ac:dyDescent="0.25">
      <c r="FA225" s="386"/>
      <c r="FB225" s="386"/>
      <c r="FC225" s="386"/>
      <c r="FD225" s="386"/>
      <c r="FE225" s="386"/>
      <c r="GJ225" s="386"/>
      <c r="GK225" s="386"/>
      <c r="GL225" s="386"/>
    </row>
    <row r="226" spans="157:194" s="71" customFormat="1" x14ac:dyDescent="0.25">
      <c r="FA226" s="386"/>
      <c r="FB226" s="386"/>
      <c r="FC226" s="386"/>
      <c r="FD226" s="386"/>
      <c r="FE226" s="386"/>
      <c r="GJ226" s="386"/>
      <c r="GK226" s="386"/>
      <c r="GL226" s="386"/>
    </row>
    <row r="227" spans="157:194" s="71" customFormat="1" x14ac:dyDescent="0.25">
      <c r="FA227" s="386"/>
      <c r="FB227" s="386"/>
      <c r="FC227" s="386"/>
      <c r="FD227" s="386"/>
      <c r="FE227" s="386"/>
      <c r="GJ227" s="386"/>
      <c r="GK227" s="386"/>
      <c r="GL227" s="386"/>
    </row>
    <row r="228" spans="157:194" s="71" customFormat="1" x14ac:dyDescent="0.25">
      <c r="FA228" s="386"/>
      <c r="FB228" s="386"/>
      <c r="FC228" s="386"/>
      <c r="FD228" s="386"/>
      <c r="FE228" s="386"/>
      <c r="GJ228" s="386"/>
      <c r="GK228" s="386"/>
      <c r="GL228" s="386"/>
    </row>
    <row r="229" spans="157:194" s="71" customFormat="1" x14ac:dyDescent="0.25">
      <c r="FA229" s="386"/>
      <c r="FB229" s="386"/>
      <c r="FC229" s="386"/>
      <c r="FD229" s="386"/>
      <c r="FE229" s="386"/>
      <c r="GJ229" s="386"/>
      <c r="GK229" s="386"/>
      <c r="GL229" s="386"/>
    </row>
    <row r="230" spans="157:194" s="71" customFormat="1" x14ac:dyDescent="0.25">
      <c r="FA230" s="386"/>
      <c r="FB230" s="386"/>
      <c r="FC230" s="386"/>
      <c r="FD230" s="386"/>
      <c r="FE230" s="386"/>
      <c r="GJ230" s="386"/>
      <c r="GK230" s="386"/>
      <c r="GL230" s="386"/>
    </row>
    <row r="231" spans="157:194" s="71" customFormat="1" x14ac:dyDescent="0.25">
      <c r="FA231" s="386"/>
      <c r="FB231" s="386"/>
      <c r="FC231" s="386"/>
      <c r="FD231" s="386"/>
      <c r="FE231" s="386"/>
      <c r="GJ231" s="386"/>
      <c r="GK231" s="386"/>
      <c r="GL231" s="386"/>
    </row>
    <row r="232" spans="157:194" s="71" customFormat="1" x14ac:dyDescent="0.25">
      <c r="FA232" s="386"/>
      <c r="FB232" s="386"/>
      <c r="FC232" s="386"/>
      <c r="FD232" s="386"/>
      <c r="FE232" s="386"/>
      <c r="GJ232" s="386"/>
      <c r="GK232" s="386"/>
      <c r="GL232" s="386"/>
    </row>
    <row r="233" spans="157:194" s="71" customFormat="1" x14ac:dyDescent="0.25">
      <c r="FA233" s="386"/>
      <c r="FB233" s="386"/>
      <c r="FC233" s="386"/>
      <c r="FD233" s="386"/>
      <c r="FE233" s="386"/>
      <c r="GJ233" s="386"/>
      <c r="GK233" s="386"/>
      <c r="GL233" s="386"/>
    </row>
    <row r="234" spans="157:194" s="71" customFormat="1" x14ac:dyDescent="0.25">
      <c r="FA234" s="386"/>
      <c r="FB234" s="386"/>
      <c r="FC234" s="386"/>
      <c r="FD234" s="386"/>
      <c r="FE234" s="386"/>
      <c r="GJ234" s="386"/>
      <c r="GK234" s="386"/>
      <c r="GL234" s="386"/>
    </row>
    <row r="235" spans="157:194" s="71" customFormat="1" x14ac:dyDescent="0.25">
      <c r="FA235" s="386"/>
      <c r="FB235" s="386"/>
      <c r="FC235" s="386"/>
      <c r="FD235" s="386"/>
      <c r="FE235" s="386"/>
      <c r="GJ235" s="386"/>
      <c r="GK235" s="386"/>
      <c r="GL235" s="386"/>
    </row>
    <row r="236" spans="157:194" s="71" customFormat="1" x14ac:dyDescent="0.25">
      <c r="FA236" s="386"/>
      <c r="FB236" s="386"/>
      <c r="FC236" s="386"/>
      <c r="FD236" s="386"/>
      <c r="FE236" s="386"/>
      <c r="GJ236" s="386"/>
      <c r="GK236" s="386"/>
      <c r="GL236" s="386"/>
    </row>
    <row r="237" spans="157:194" s="71" customFormat="1" x14ac:dyDescent="0.25">
      <c r="FA237" s="386"/>
      <c r="FB237" s="386"/>
      <c r="FC237" s="386"/>
      <c r="FD237" s="386"/>
      <c r="FE237" s="386"/>
      <c r="GJ237" s="386"/>
      <c r="GK237" s="386"/>
      <c r="GL237" s="386"/>
    </row>
    <row r="238" spans="157:194" s="71" customFormat="1" x14ac:dyDescent="0.25">
      <c r="FA238" s="386"/>
      <c r="FB238" s="386"/>
      <c r="FC238" s="386"/>
      <c r="FD238" s="386"/>
      <c r="FE238" s="386"/>
      <c r="GJ238" s="386"/>
      <c r="GK238" s="386"/>
      <c r="GL238" s="386"/>
    </row>
    <row r="239" spans="157:194" s="71" customFormat="1" x14ac:dyDescent="0.25">
      <c r="FA239" s="386"/>
      <c r="FB239" s="386"/>
      <c r="FC239" s="386"/>
      <c r="FD239" s="386"/>
      <c r="FE239" s="386"/>
      <c r="GJ239" s="386"/>
      <c r="GK239" s="386"/>
      <c r="GL239" s="386"/>
    </row>
    <row r="240" spans="157:194" s="71" customFormat="1" x14ac:dyDescent="0.25">
      <c r="FA240" s="386"/>
      <c r="FB240" s="386"/>
      <c r="FC240" s="386"/>
      <c r="FD240" s="386"/>
      <c r="FE240" s="386"/>
      <c r="GJ240" s="386"/>
      <c r="GK240" s="386"/>
      <c r="GL240" s="386"/>
    </row>
    <row r="241" spans="157:194" s="71" customFormat="1" x14ac:dyDescent="0.25">
      <c r="FA241" s="386"/>
      <c r="FB241" s="386"/>
      <c r="FC241" s="386"/>
      <c r="FD241" s="386"/>
      <c r="FE241" s="386"/>
      <c r="GJ241" s="386"/>
      <c r="GK241" s="386"/>
      <c r="GL241" s="386"/>
    </row>
    <row r="242" spans="157:194" s="71" customFormat="1" x14ac:dyDescent="0.25">
      <c r="FA242" s="386"/>
      <c r="FB242" s="386"/>
      <c r="FC242" s="386"/>
      <c r="FD242" s="386"/>
      <c r="FE242" s="386"/>
      <c r="GJ242" s="386"/>
      <c r="GK242" s="386"/>
      <c r="GL242" s="386"/>
    </row>
    <row r="243" spans="157:194" s="71" customFormat="1" x14ac:dyDescent="0.25">
      <c r="FA243" s="386"/>
      <c r="FB243" s="386"/>
      <c r="FC243" s="386"/>
      <c r="FD243" s="386"/>
      <c r="FE243" s="386"/>
      <c r="GJ243" s="386"/>
      <c r="GK243" s="386"/>
      <c r="GL243" s="386"/>
    </row>
    <row r="244" spans="157:194" s="71" customFormat="1" x14ac:dyDescent="0.25">
      <c r="FA244" s="386"/>
      <c r="FB244" s="386"/>
      <c r="FC244" s="386"/>
      <c r="FD244" s="386"/>
      <c r="FE244" s="386"/>
      <c r="GJ244" s="386"/>
      <c r="GK244" s="386"/>
      <c r="GL244" s="386"/>
    </row>
    <row r="245" spans="157:194" s="71" customFormat="1" x14ac:dyDescent="0.25">
      <c r="FA245" s="386"/>
      <c r="FB245" s="386"/>
      <c r="FC245" s="386"/>
      <c r="FD245" s="386"/>
      <c r="FE245" s="386"/>
      <c r="GJ245" s="386"/>
      <c r="GK245" s="386"/>
      <c r="GL245" s="386"/>
    </row>
    <row r="246" spans="157:194" s="71" customFormat="1" x14ac:dyDescent="0.25">
      <c r="FA246" s="386"/>
      <c r="FB246" s="386"/>
      <c r="FC246" s="386"/>
      <c r="FD246" s="386"/>
      <c r="FE246" s="386"/>
      <c r="GJ246" s="386"/>
      <c r="GK246" s="386"/>
      <c r="GL246" s="386"/>
    </row>
    <row r="247" spans="157:194" s="71" customFormat="1" x14ac:dyDescent="0.25">
      <c r="FA247" s="386"/>
      <c r="FB247" s="386"/>
      <c r="FC247" s="386"/>
      <c r="FD247" s="386"/>
      <c r="FE247" s="386"/>
      <c r="GJ247" s="386"/>
      <c r="GK247" s="386"/>
      <c r="GL247" s="386"/>
    </row>
    <row r="248" spans="157:194" s="71" customFormat="1" x14ac:dyDescent="0.25">
      <c r="FA248" s="386"/>
      <c r="FB248" s="386"/>
      <c r="FC248" s="386"/>
      <c r="FD248" s="386"/>
      <c r="FE248" s="386"/>
      <c r="GJ248" s="386"/>
      <c r="GK248" s="386"/>
      <c r="GL248" s="386"/>
    </row>
    <row r="249" spans="157:194" s="71" customFormat="1" x14ac:dyDescent="0.25">
      <c r="FA249" s="386"/>
      <c r="FB249" s="386"/>
      <c r="FC249" s="386"/>
      <c r="FD249" s="386"/>
      <c r="FE249" s="386"/>
      <c r="GJ249" s="386"/>
      <c r="GK249" s="386"/>
      <c r="GL249" s="386"/>
    </row>
    <row r="250" spans="157:194" s="71" customFormat="1" x14ac:dyDescent="0.25">
      <c r="FA250" s="386"/>
      <c r="FB250" s="386"/>
      <c r="FC250" s="386"/>
      <c r="FD250" s="386"/>
      <c r="FE250" s="386"/>
      <c r="GJ250" s="386"/>
      <c r="GK250" s="386"/>
      <c r="GL250" s="386"/>
    </row>
    <row r="251" spans="157:194" s="71" customFormat="1" x14ac:dyDescent="0.25">
      <c r="FA251" s="386"/>
      <c r="FB251" s="386"/>
      <c r="FC251" s="386"/>
      <c r="FD251" s="386"/>
      <c r="FE251" s="386"/>
      <c r="GJ251" s="386"/>
      <c r="GK251" s="386"/>
      <c r="GL251" s="386"/>
    </row>
    <row r="252" spans="157:194" s="71" customFormat="1" x14ac:dyDescent="0.25">
      <c r="FA252" s="386"/>
      <c r="FB252" s="386"/>
      <c r="FC252" s="386"/>
      <c r="FD252" s="386"/>
      <c r="FE252" s="386"/>
      <c r="GJ252" s="386"/>
      <c r="GK252" s="386"/>
      <c r="GL252" s="386"/>
    </row>
    <row r="253" spans="157:194" s="71" customFormat="1" x14ac:dyDescent="0.25">
      <c r="FA253" s="386"/>
      <c r="FB253" s="386"/>
      <c r="FC253" s="386"/>
      <c r="FD253" s="386"/>
      <c r="FE253" s="386"/>
      <c r="GJ253" s="386"/>
      <c r="GK253" s="386"/>
      <c r="GL253" s="386"/>
    </row>
    <row r="254" spans="157:194" s="71" customFormat="1" x14ac:dyDescent="0.25">
      <c r="FA254" s="386"/>
      <c r="FB254" s="386"/>
      <c r="FC254" s="386"/>
      <c r="FD254" s="386"/>
      <c r="FE254" s="386"/>
      <c r="GJ254" s="386"/>
      <c r="GK254" s="386"/>
      <c r="GL254" s="386"/>
    </row>
    <row r="255" spans="157:194" s="71" customFormat="1" x14ac:dyDescent="0.25">
      <c r="FA255" s="386"/>
      <c r="FB255" s="386"/>
      <c r="FC255" s="386"/>
      <c r="FD255" s="386"/>
      <c r="FE255" s="386"/>
      <c r="GJ255" s="386"/>
      <c r="GK255" s="386"/>
      <c r="GL255" s="386"/>
    </row>
    <row r="256" spans="157:194" s="71" customFormat="1" x14ac:dyDescent="0.25">
      <c r="FA256" s="386"/>
      <c r="FB256" s="386"/>
      <c r="FC256" s="386"/>
      <c r="FD256" s="386"/>
      <c r="FE256" s="386"/>
      <c r="GJ256" s="386"/>
      <c r="GK256" s="386"/>
      <c r="GL256" s="386"/>
    </row>
    <row r="257" spans="157:194" s="71" customFormat="1" x14ac:dyDescent="0.25">
      <c r="FA257" s="386"/>
      <c r="FB257" s="386"/>
      <c r="FC257" s="386"/>
      <c r="FD257" s="386"/>
      <c r="FE257" s="386"/>
      <c r="GJ257" s="386"/>
      <c r="GK257" s="386"/>
      <c r="GL257" s="386"/>
    </row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60</v>
      </c>
      <c r="B1" s="284" t="s">
        <v>234</v>
      </c>
      <c r="C1" s="32" t="s">
        <v>33</v>
      </c>
      <c r="D1" s="32" t="s">
        <v>235</v>
      </c>
      <c r="E1" s="32" t="s">
        <v>236</v>
      </c>
      <c r="F1" s="32" t="s">
        <v>237</v>
      </c>
      <c r="G1" s="32" t="s">
        <v>238</v>
      </c>
      <c r="H1" s="32" t="s">
        <v>239</v>
      </c>
      <c r="I1" s="32" t="s">
        <v>240</v>
      </c>
      <c r="J1" s="32" t="s">
        <v>241</v>
      </c>
      <c r="L1" s="32" t="s">
        <v>242</v>
      </c>
      <c r="M1" s="32" t="s">
        <v>243</v>
      </c>
      <c r="N1" s="32" t="s">
        <v>244</v>
      </c>
      <c r="O1" s="32" t="s">
        <v>245</v>
      </c>
      <c r="P1" s="32" t="s">
        <v>246</v>
      </c>
    </row>
    <row r="2" spans="1:16" s="287" customFormat="1" hidden="1" x14ac:dyDescent="0.25">
      <c r="A2" s="285" t="s">
        <v>247</v>
      </c>
      <c r="B2" s="286"/>
      <c r="H2" s="287">
        <f>Parameter!B7-Parameter!E7-Parameter!F7</f>
        <v>4</v>
      </c>
      <c r="L2" s="287" t="str">
        <f>IF(H2&gt;0,"Men: "&amp;Parameter!$C$7-Parameter!$E$7&amp;" / Women: "&amp;Parameter!$D$7-Parameter!$F$7, "")</f>
        <v>Men: 4 / Women: 0</v>
      </c>
      <c r="M2" s="287" t="s">
        <v>248</v>
      </c>
      <c r="N2" s="287" t="s">
        <v>249</v>
      </c>
      <c r="O2" s="65">
        <f>IF(AND($P2&lt;&gt;"",$N2="yes"),1,0)</f>
        <v>1</v>
      </c>
      <c r="P2" s="65" t="str">
        <f>IF(H2&gt;0,H2&amp;" Player(s) didn't finish","")</f>
        <v>4 Player(s) didn't finish</v>
      </c>
    </row>
    <row r="3" spans="1:16" s="315" customFormat="1" hidden="1" x14ac:dyDescent="0.25">
      <c r="A3" s="288" t="s">
        <v>250</v>
      </c>
      <c r="B3" s="289"/>
      <c r="H3" s="315">
        <f>IF(AND(Parameter!$B$1&lt;&gt;Parameter!$B$2,Parameter!$B$2&gt;0),1,0)</f>
        <v>0</v>
      </c>
      <c r="L3" s="315" t="str">
        <f>""</f>
        <v/>
      </c>
      <c r="M3" s="315" t="s">
        <v>248</v>
      </c>
      <c r="N3" s="315" t="s">
        <v>249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5" customFormat="1" hidden="1" x14ac:dyDescent="0.25">
      <c r="A4" s="288" t="s">
        <v>251</v>
      </c>
      <c r="B4" s="289"/>
      <c r="H4" s="315">
        <f>IF(AND(Parameter!$B$2&lt;&gt;Parameter!$B$3,Parameter!$B$3&gt;0),1,0)</f>
        <v>0</v>
      </c>
      <c r="L4" s="315" t="str">
        <f>""</f>
        <v/>
      </c>
      <c r="M4" s="315" t="s">
        <v>248</v>
      </c>
      <c r="N4" s="315" t="s">
        <v>249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6" t="s">
        <v>302</v>
      </c>
      <c r="B5" s="286"/>
      <c r="D5" s="65">
        <f>MIN($F1086:$F1088)</f>
        <v>49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Michal Kúdela / Round 1</v>
      </c>
      <c r="M5" s="65" t="s">
        <v>248</v>
      </c>
      <c r="N5" s="65" t="s">
        <v>249</v>
      </c>
      <c r="O5" s="65">
        <f t="shared" si="0"/>
        <v>2</v>
      </c>
      <c r="P5" s="65" t="str">
        <f>"Best score in tournament: "&amp;D5</f>
        <v>Best score in tournament: 49</v>
      </c>
    </row>
    <row r="6" spans="1:16" s="78" customFormat="1" hidden="1" x14ac:dyDescent="0.25">
      <c r="A6" s="288" t="s">
        <v>288</v>
      </c>
      <c r="B6" s="289"/>
      <c r="D6" s="78">
        <f>LARGE(Data!$H$91:$H$190,1)</f>
        <v>14</v>
      </c>
      <c r="H6" s="78">
        <f t="array" ref="H6">SUM((Data!$H$91:$H$190=Specials!D6)*(Data!$AM$91:$AM$190&lt;&gt;0))</f>
        <v>2</v>
      </c>
      <c r="L6" s="78" t="str">
        <f>IF($H6=1,"Birdies: "&amp;INDEX(Data!$D$91:$D$190,MATCH($D6,Data!$H$91:$H$190,0))&amp;" / Eagles/+: "&amp;INDEX(Data!$E$91:$E$190,MATCH($D6,Data!$H$91:$H$190,0)),"")</f>
        <v/>
      </c>
      <c r="M6" s="78" t="s">
        <v>248</v>
      </c>
      <c r="N6" s="78" t="s">
        <v>249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2 player(s) played 14 holes under par</v>
      </c>
    </row>
    <row r="7" spans="1:16" s="78" customFormat="1" hidden="1" x14ac:dyDescent="0.25">
      <c r="A7" s="288" t="s">
        <v>289</v>
      </c>
      <c r="B7" s="289"/>
      <c r="D7" s="78">
        <f t="array" ref="D7">SMALL(IF(Data!$AM$91:$AM$190&lt;&gt;0,Data!$I$91:$I$190),1)</f>
        <v>2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2 / Double-Bogeys/+: 0</v>
      </c>
      <c r="M7" s="78" t="s">
        <v>248</v>
      </c>
      <c r="N7" s="78" t="s">
        <v>249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Mike Bischof-Horak played only 2 hole(s) over par</v>
      </c>
    </row>
    <row r="8" spans="1:16" s="65" customFormat="1" ht="15" hidden="1" customHeight="1" x14ac:dyDescent="0.25">
      <c r="A8" s="287" t="s">
        <v>252</v>
      </c>
      <c r="B8" s="292"/>
      <c r="C8" s="65">
        <f>INDEX(Parameter!$9:$9,,MATCH(1,Parameter!$8:$8,0))</f>
        <v>1</v>
      </c>
      <c r="D8" s="65">
        <f>INDEX(Parameter!$B$10:$AB$10,MATCH(C8,Parameter!$B$9:$AB$9,0))</f>
        <v>4</v>
      </c>
      <c r="H8" s="65">
        <f>SUMIF('Tournament-Statistic'!$B$1:$P$1,Specials!C8,'Tournament-Statistic'!$B$3:$P$3)-SUMIF('Tournament-Statistic'!$B$1:$P$1,Specials!C8,'Tournament-Statistic'!$B$4:$P$4)</f>
        <v>-1.6</v>
      </c>
      <c r="L8" s="65" t="str">
        <f>""</f>
        <v/>
      </c>
      <c r="M8" s="65" t="s">
        <v>248</v>
      </c>
      <c r="N8" s="65" t="s">
        <v>249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7" t="s">
        <v>252</v>
      </c>
      <c r="B9" s="292"/>
      <c r="C9" s="65">
        <f>INDEX(Parameter!$9:$9,,MATCH(2,Parameter!$8:$8,0))</f>
        <v>2</v>
      </c>
      <c r="D9" s="65">
        <f>INDEX(Parameter!$B$10:$AB$10,MATCH(C9,Parameter!$B$9:$AB$9,0))</f>
        <v>4</v>
      </c>
      <c r="H9" s="65">
        <f>SUMIF('Tournament-Statistic'!$B$1:$P$1,Specials!C9,'Tournament-Statistic'!$B$3:$P$3)-SUMIF('Tournament-Statistic'!$B$1:$P$1,Specials!C9,'Tournament-Statistic'!$B$4:$P$4)</f>
        <v>-0.70000000000000018</v>
      </c>
      <c r="L9" s="65" t="str">
        <f>""</f>
        <v/>
      </c>
      <c r="M9" s="65" t="s">
        <v>248</v>
      </c>
      <c r="N9" s="65" t="s">
        <v>249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7" t="s">
        <v>252</v>
      </c>
      <c r="B10" s="292"/>
      <c r="C10" s="65">
        <f>INDEX(Parameter!$9:$9,,MATCH(3,Parameter!$8:$8,0))</f>
        <v>3</v>
      </c>
      <c r="D10" s="65">
        <f>INDEX(Parameter!$B$10:$AB$10,MATCH(C10,Parameter!$B$9:$AB$9,0))</f>
        <v>4</v>
      </c>
      <c r="H10" s="65">
        <f>SUMIF('Tournament-Statistic'!$B$1:$P$1,Specials!C10,'Tournament-Statistic'!$B$3:$P$3)-SUMIF('Tournament-Statistic'!$B$1:$P$1,Specials!C10,'Tournament-Statistic'!$B$4:$P$4)</f>
        <v>-0.70000000000000018</v>
      </c>
      <c r="L10" s="65" t="str">
        <f>""</f>
        <v/>
      </c>
      <c r="M10" s="65" t="s">
        <v>248</v>
      </c>
      <c r="N10" s="65" t="s">
        <v>249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7" t="s">
        <v>252</v>
      </c>
      <c r="B11" s="292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-1</v>
      </c>
      <c r="L11" s="65" t="str">
        <f>""</f>
        <v/>
      </c>
      <c r="M11" s="65" t="s">
        <v>248</v>
      </c>
      <c r="N11" s="65" t="s">
        <v>249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7" t="s">
        <v>252</v>
      </c>
      <c r="B12" s="292"/>
      <c r="C12" s="65">
        <f>INDEX(Parameter!$9:$9,,MATCH(5,Parameter!$8:$8,0))</f>
        <v>5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-1.2999999999999998</v>
      </c>
      <c r="L12" s="65" t="str">
        <f>""</f>
        <v/>
      </c>
      <c r="M12" s="65" t="s">
        <v>248</v>
      </c>
      <c r="N12" s="65" t="s">
        <v>249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7" t="s">
        <v>252</v>
      </c>
      <c r="B13" s="292"/>
      <c r="C13" s="65">
        <f>INDEX(Parameter!$9:$9,,MATCH(6,Parameter!$8:$8,0))</f>
        <v>6</v>
      </c>
      <c r="D13" s="65">
        <f>INDEX(Parameter!$B$10:$AB$10,MATCH(C13,Parameter!$B$9:$AB$9,0))</f>
        <v>5</v>
      </c>
      <c r="H13" s="65">
        <f>SUMIF('Tournament-Statistic'!$B$1:$P$1,Specials!C13,'Tournament-Statistic'!$B$3:$P$3)-SUMIF('Tournament-Statistic'!$B$1:$P$1,Specials!C13,'Tournament-Statistic'!$B$4:$P$4)</f>
        <v>-2</v>
      </c>
      <c r="L13" s="65" t="str">
        <f>""</f>
        <v/>
      </c>
      <c r="M13" s="65" t="s">
        <v>248</v>
      </c>
      <c r="N13" s="65" t="s">
        <v>249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7" t="s">
        <v>252</v>
      </c>
      <c r="B14" s="292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-1.2999999999999998</v>
      </c>
      <c r="L14" s="65" t="str">
        <f>""</f>
        <v/>
      </c>
      <c r="M14" s="65" t="s">
        <v>248</v>
      </c>
      <c r="N14" s="65" t="s">
        <v>249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7" t="s">
        <v>252</v>
      </c>
      <c r="B15" s="292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-0.30000000000000027</v>
      </c>
      <c r="L15" s="65" t="str">
        <f>""</f>
        <v/>
      </c>
      <c r="M15" s="65" t="s">
        <v>248</v>
      </c>
      <c r="N15" s="65" t="s">
        <v>249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7" t="s">
        <v>252</v>
      </c>
      <c r="B16" s="292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-1.3999999999999995</v>
      </c>
      <c r="L16" s="65" t="str">
        <f>""</f>
        <v/>
      </c>
      <c r="M16" s="65" t="s">
        <v>248</v>
      </c>
      <c r="N16" s="65" t="s">
        <v>249</v>
      </c>
      <c r="O16" s="65">
        <f t="shared" si="0"/>
        <v>4</v>
      </c>
      <c r="P16" s="65" t="str">
        <f t="shared" si="1"/>
        <v/>
      </c>
    </row>
    <row r="17" spans="1:16" s="65" customFormat="1" hidden="1" x14ac:dyDescent="0.25">
      <c r="A17" s="287" t="s">
        <v>252</v>
      </c>
      <c r="B17" s="292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-0.79999999999999982</v>
      </c>
      <c r="L17" s="65" t="str">
        <f>""</f>
        <v/>
      </c>
      <c r="M17" s="65" t="s">
        <v>248</v>
      </c>
      <c r="N17" s="65" t="s">
        <v>249</v>
      </c>
      <c r="O17" s="65">
        <f t="shared" si="0"/>
        <v>4</v>
      </c>
      <c r="P17" s="65" t="str">
        <f t="shared" si="1"/>
        <v/>
      </c>
    </row>
    <row r="18" spans="1:16" s="65" customFormat="1" hidden="1" x14ac:dyDescent="0.25">
      <c r="A18" s="287" t="s">
        <v>252</v>
      </c>
      <c r="B18" s="292"/>
      <c r="C18" s="65">
        <f>INDEX(Parameter!$9:$9,,MATCH(11,Parameter!$8:$8,0))</f>
        <v>12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-0.10000000000000009</v>
      </c>
      <c r="L18" s="65" t="str">
        <f>""</f>
        <v/>
      </c>
      <c r="M18" s="65" t="s">
        <v>248</v>
      </c>
      <c r="N18" s="65" t="s">
        <v>249</v>
      </c>
      <c r="O18" s="65">
        <f t="shared" si="0"/>
        <v>4</v>
      </c>
      <c r="P18" s="65" t="str">
        <f t="shared" si="1"/>
        <v/>
      </c>
    </row>
    <row r="19" spans="1:16" s="65" customFormat="1" hidden="1" x14ac:dyDescent="0.25">
      <c r="A19" s="287" t="s">
        <v>252</v>
      </c>
      <c r="B19" s="292"/>
      <c r="C19" s="65">
        <f>INDEX(Parameter!$9:$9,,MATCH(12,Parameter!$8:$8,0))</f>
        <v>14</v>
      </c>
      <c r="D19" s="65">
        <f>INDEX(Parameter!$B$10:$AB$10,MATCH(C19,Parameter!$B$9:$AB$9,0))</f>
        <v>4</v>
      </c>
      <c r="H19" s="65">
        <f>SUMIF('Tournament-Statistic'!$B$1:$P$1,Specials!C19,'Tournament-Statistic'!$B$3:$P$3)-SUMIF('Tournament-Statistic'!$B$1:$P$1,Specials!C19,'Tournament-Statistic'!$B$4:$P$4)</f>
        <v>-1.3999999999999995</v>
      </c>
      <c r="L19" s="65" t="str">
        <f>""</f>
        <v/>
      </c>
      <c r="M19" s="65" t="s">
        <v>248</v>
      </c>
      <c r="N19" s="65" t="s">
        <v>249</v>
      </c>
      <c r="O19" s="65">
        <f t="shared" si="0"/>
        <v>4</v>
      </c>
      <c r="P19" s="65" t="str">
        <f t="shared" si="1"/>
        <v/>
      </c>
    </row>
    <row r="20" spans="1:16" s="65" customFormat="1" hidden="1" x14ac:dyDescent="0.25">
      <c r="A20" s="287" t="s">
        <v>252</v>
      </c>
      <c r="B20" s="292"/>
      <c r="C20" s="65">
        <f>INDEX(Parameter!$9:$9,,MATCH(13,Parameter!$8:$8,0))</f>
        <v>15</v>
      </c>
      <c r="D20" s="65">
        <f>INDEX(Parameter!$B$10:$AB$10,MATCH(C20,Parameter!$B$9:$AB$9,0))</f>
        <v>4</v>
      </c>
      <c r="H20" s="65">
        <f>SUMIF('Tournament-Statistic'!$B$1:$P$1,Specials!C20,'Tournament-Statistic'!$B$3:$P$3)-SUMIF('Tournament-Statistic'!$B$1:$P$1,Specials!C20,'Tournament-Statistic'!$B$4:$P$4)</f>
        <v>-1.3000000000000003</v>
      </c>
      <c r="L20" s="65" t="str">
        <f>""</f>
        <v/>
      </c>
      <c r="M20" s="65" t="s">
        <v>248</v>
      </c>
      <c r="N20" s="65" t="s">
        <v>249</v>
      </c>
      <c r="O20" s="65">
        <f t="shared" si="0"/>
        <v>4</v>
      </c>
      <c r="P20" s="65" t="str">
        <f t="shared" si="1"/>
        <v/>
      </c>
    </row>
    <row r="21" spans="1:16" s="65" customFormat="1" hidden="1" x14ac:dyDescent="0.25">
      <c r="A21" s="287" t="s">
        <v>252</v>
      </c>
      <c r="B21" s="292"/>
      <c r="C21" s="65">
        <f>INDEX(Parameter!$9:$9,,MATCH(14,Parameter!$8:$8,0))</f>
        <v>16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-0.70000000000000018</v>
      </c>
      <c r="L21" s="65" t="str">
        <f>""</f>
        <v/>
      </c>
      <c r="M21" s="65" t="s">
        <v>248</v>
      </c>
      <c r="N21" s="65" t="s">
        <v>249</v>
      </c>
      <c r="O21" s="65">
        <f t="shared" si="0"/>
        <v>4</v>
      </c>
      <c r="P21" s="65" t="str">
        <f t="shared" si="1"/>
        <v/>
      </c>
    </row>
    <row r="22" spans="1:16" s="65" customFormat="1" hidden="1" x14ac:dyDescent="0.25">
      <c r="A22" s="287" t="s">
        <v>252</v>
      </c>
      <c r="B22" s="292"/>
      <c r="C22" s="65">
        <f>INDEX(Parameter!$9:$9,,MATCH(15,Parameter!$8:$8,0))</f>
        <v>17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-0.90000000000000036</v>
      </c>
      <c r="L22" s="65" t="str">
        <f>""</f>
        <v/>
      </c>
      <c r="M22" s="65" t="s">
        <v>248</v>
      </c>
      <c r="N22" s="65" t="s">
        <v>249</v>
      </c>
      <c r="O22" s="65">
        <f t="shared" si="0"/>
        <v>4</v>
      </c>
      <c r="P22" s="65" t="str">
        <f t="shared" si="1"/>
        <v/>
      </c>
    </row>
    <row r="23" spans="1:16" s="65" customFormat="1" hidden="1" x14ac:dyDescent="0.25">
      <c r="A23" s="287" t="s">
        <v>252</v>
      </c>
      <c r="B23" s="292"/>
      <c r="C23" s="65">
        <f>INDEX(Parameter!$9:$9,,MATCH(16,Parameter!$8:$8,0))</f>
        <v>18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248</v>
      </c>
      <c r="N23" s="65" t="s">
        <v>249</v>
      </c>
      <c r="O23" s="65">
        <f t="shared" si="0"/>
        <v>4</v>
      </c>
      <c r="P23" s="65" t="str">
        <f t="shared" si="1"/>
        <v/>
      </c>
    </row>
    <row r="24" spans="1:16" s="65" customFormat="1" hidden="1" x14ac:dyDescent="0.25">
      <c r="A24" s="287" t="s">
        <v>252</v>
      </c>
      <c r="B24" s="292"/>
      <c r="C24" s="65" t="str">
        <f>INDEX(Parameter!$9:$9,,MATCH(17,Parameter!$8:$8,0))</f>
        <v>17a</v>
      </c>
      <c r="D24" s="65" t="str">
        <f>INDEX(Parameter!$B$10:$AB$10,MATCH(C24,Parameter!$B$9:$AB$9,0))</f>
        <v>no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248</v>
      </c>
      <c r="N24" s="65" t="s">
        <v>249</v>
      </c>
      <c r="O24" s="65">
        <f t="shared" si="0"/>
        <v>4</v>
      </c>
      <c r="P24" s="65" t="str">
        <f t="shared" si="1"/>
        <v/>
      </c>
    </row>
    <row r="25" spans="1:16" s="65" customFormat="1" hidden="1" x14ac:dyDescent="0.25">
      <c r="A25" s="287" t="s">
        <v>252</v>
      </c>
      <c r="B25" s="292"/>
      <c r="C25" s="65" t="str">
        <f>INDEX(Parameter!$9:$9,,MATCH(18,Parameter!$8:$8,0))</f>
        <v>18a</v>
      </c>
      <c r="D25" s="65" t="str">
        <f>INDEX(Parameter!$B$10:$AB$10,MATCH(C25,Parameter!$B$9:$AB$9,0))</f>
        <v>no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248</v>
      </c>
      <c r="N25" s="65" t="s">
        <v>249</v>
      </c>
      <c r="O25" s="65">
        <f t="shared" si="0"/>
        <v>4</v>
      </c>
      <c r="P25" s="65" t="str">
        <f t="shared" si="1"/>
        <v/>
      </c>
    </row>
    <row r="26" spans="1:16" s="65" customFormat="1" hidden="1" x14ac:dyDescent="0.25">
      <c r="A26" s="287" t="s">
        <v>252</v>
      </c>
      <c r="B26" s="292"/>
      <c r="C26" s="65">
        <f>INDEX(Parameter!$9:$9,,MATCH(19,Parameter!$8:$8,0))</f>
        <v>19</v>
      </c>
      <c r="D26" s="65" t="str">
        <f>INDEX(Parameter!$B$10:$AB$10,MATCH(C26,Parameter!$B$9:$AB$9,0))</f>
        <v>no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248</v>
      </c>
      <c r="N26" s="65" t="s">
        <v>249</v>
      </c>
      <c r="O26" s="65">
        <f t="shared" si="0"/>
        <v>4</v>
      </c>
      <c r="P26" s="65" t="str">
        <f t="shared" si="1"/>
        <v/>
      </c>
    </row>
    <row r="27" spans="1:16" s="65" customFormat="1" hidden="1" x14ac:dyDescent="0.25">
      <c r="A27" s="287" t="s">
        <v>252</v>
      </c>
      <c r="B27" s="292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248</v>
      </c>
      <c r="N27" s="65" t="s">
        <v>249</v>
      </c>
      <c r="O27" s="65">
        <f t="shared" si="0"/>
        <v>4</v>
      </c>
      <c r="P27" s="65" t="str">
        <f t="shared" si="1"/>
        <v/>
      </c>
    </row>
    <row r="28" spans="1:16" s="65" customFormat="1" hidden="1" x14ac:dyDescent="0.25">
      <c r="A28" s="287" t="s">
        <v>252</v>
      </c>
      <c r="B28" s="292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248</v>
      </c>
      <c r="N28" s="65" t="s">
        <v>249</v>
      </c>
      <c r="O28" s="65">
        <f t="shared" si="0"/>
        <v>4</v>
      </c>
      <c r="P28" s="65" t="str">
        <f t="shared" si="1"/>
        <v/>
      </c>
    </row>
    <row r="29" spans="1:16" s="65" customFormat="1" hidden="1" x14ac:dyDescent="0.25">
      <c r="A29" s="287" t="s">
        <v>252</v>
      </c>
      <c r="B29" s="292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248</v>
      </c>
      <c r="N29" s="65" t="s">
        <v>249</v>
      </c>
      <c r="O29" s="65">
        <f t="shared" si="0"/>
        <v>4</v>
      </c>
      <c r="P29" s="65" t="str">
        <f t="shared" si="1"/>
        <v/>
      </c>
    </row>
    <row r="30" spans="1:16" s="65" customFormat="1" hidden="1" x14ac:dyDescent="0.25">
      <c r="A30" s="287" t="s">
        <v>252</v>
      </c>
      <c r="B30" s="292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248</v>
      </c>
      <c r="N30" s="65" t="s">
        <v>249</v>
      </c>
      <c r="O30" s="65">
        <f t="shared" si="0"/>
        <v>4</v>
      </c>
      <c r="P30" s="65" t="str">
        <f t="shared" si="1"/>
        <v/>
      </c>
    </row>
    <row r="31" spans="1:16" s="65" customFormat="1" hidden="1" x14ac:dyDescent="0.25">
      <c r="A31" s="287" t="s">
        <v>252</v>
      </c>
      <c r="B31" s="292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248</v>
      </c>
      <c r="N31" s="65" t="s">
        <v>249</v>
      </c>
      <c r="O31" s="65">
        <f t="shared" si="0"/>
        <v>4</v>
      </c>
      <c r="P31" s="65" t="str">
        <f t="shared" si="1"/>
        <v/>
      </c>
    </row>
    <row r="32" spans="1:16" s="65" customFormat="1" hidden="1" x14ac:dyDescent="0.25">
      <c r="A32" s="287" t="s">
        <v>252</v>
      </c>
      <c r="B32" s="292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248</v>
      </c>
      <c r="N32" s="65" t="s">
        <v>249</v>
      </c>
      <c r="O32" s="65">
        <f t="shared" si="0"/>
        <v>4</v>
      </c>
      <c r="P32" s="65" t="str">
        <f t="shared" si="1"/>
        <v/>
      </c>
    </row>
    <row r="33" spans="1:16" s="65" customFormat="1" hidden="1" x14ac:dyDescent="0.25">
      <c r="A33" s="287" t="s">
        <v>252</v>
      </c>
      <c r="B33" s="292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248</v>
      </c>
      <c r="N33" s="65" t="s">
        <v>249</v>
      </c>
      <c r="O33" s="65">
        <f t="shared" si="0"/>
        <v>4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7" t="s">
        <v>252</v>
      </c>
      <c r="B34" s="292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248</v>
      </c>
      <c r="N34" s="65" t="s">
        <v>249</v>
      </c>
      <c r="O34" s="65">
        <f t="shared" si="0"/>
        <v>4</v>
      </c>
      <c r="P34" s="65" t="str">
        <f t="shared" si="1"/>
        <v/>
      </c>
    </row>
    <row r="35" spans="1:16" ht="15" hidden="1" customHeight="1" x14ac:dyDescent="0.25">
      <c r="A35" s="290" t="s">
        <v>218</v>
      </c>
      <c r="B35" s="290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4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248</v>
      </c>
      <c r="N35" s="2" t="s">
        <v>249</v>
      </c>
      <c r="O35" s="78">
        <f t="shared" ca="1" si="0"/>
        <v>4</v>
      </c>
      <c r="P35" s="2" t="str">
        <f ca="1">IF(H35&gt;0,H35&amp;" Ace(s) on hole "&amp;$C35&amp;" (par "&amp;D35&amp;")","")</f>
        <v/>
      </c>
    </row>
    <row r="36" spans="1:16" hidden="1" x14ac:dyDescent="0.25">
      <c r="A36" s="290" t="s">
        <v>218</v>
      </c>
      <c r="B36" s="290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4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248</v>
      </c>
      <c r="N36" s="2" t="s">
        <v>249</v>
      </c>
      <c r="O36" s="78">
        <f t="shared" ca="1" si="0"/>
        <v>4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0" t="s">
        <v>218</v>
      </c>
      <c r="B37" s="290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4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248</v>
      </c>
      <c r="N37" s="2" t="s">
        <v>249</v>
      </c>
      <c r="O37" s="78">
        <f t="shared" ca="1" si="0"/>
        <v>4</v>
      </c>
      <c r="P37" s="2" t="str">
        <f t="shared" ca="1" si="3"/>
        <v/>
      </c>
    </row>
    <row r="38" spans="1:16" hidden="1" x14ac:dyDescent="0.25">
      <c r="A38" s="290" t="s">
        <v>218</v>
      </c>
      <c r="B38" s="290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248</v>
      </c>
      <c r="N38" s="2" t="s">
        <v>249</v>
      </c>
      <c r="O38" s="78">
        <f t="shared" ca="1" si="0"/>
        <v>4</v>
      </c>
      <c r="P38" s="2" t="str">
        <f t="shared" ca="1" si="3"/>
        <v/>
      </c>
    </row>
    <row r="39" spans="1:16" hidden="1" x14ac:dyDescent="0.25">
      <c r="A39" s="290" t="s">
        <v>218</v>
      </c>
      <c r="B39" s="290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248</v>
      </c>
      <c r="N39" s="2" t="s">
        <v>249</v>
      </c>
      <c r="O39" s="78">
        <f t="shared" ca="1" si="0"/>
        <v>4</v>
      </c>
      <c r="P39" s="2" t="str">
        <f t="shared" ca="1" si="3"/>
        <v/>
      </c>
    </row>
    <row r="40" spans="1:16" hidden="1" x14ac:dyDescent="0.25">
      <c r="A40" s="290" t="s">
        <v>218</v>
      </c>
      <c r="B40" s="290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5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248</v>
      </c>
      <c r="N40" s="2" t="s">
        <v>249</v>
      </c>
      <c r="O40" s="78">
        <f t="shared" ca="1" si="0"/>
        <v>4</v>
      </c>
      <c r="P40" s="2" t="str">
        <f t="shared" ca="1" si="3"/>
        <v/>
      </c>
    </row>
    <row r="41" spans="1:16" hidden="1" x14ac:dyDescent="0.25">
      <c r="A41" s="290" t="s">
        <v>218</v>
      </c>
      <c r="B41" s="290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248</v>
      </c>
      <c r="N41" s="2" t="s">
        <v>249</v>
      </c>
      <c r="O41" s="78">
        <f t="shared" ca="1" si="0"/>
        <v>4</v>
      </c>
      <c r="P41" s="2" t="str">
        <f t="shared" ca="1" si="3"/>
        <v/>
      </c>
    </row>
    <row r="42" spans="1:16" hidden="1" x14ac:dyDescent="0.25">
      <c r="A42" s="290" t="s">
        <v>218</v>
      </c>
      <c r="B42" s="290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248</v>
      </c>
      <c r="N42" s="2" t="s">
        <v>249</v>
      </c>
      <c r="O42" s="78">
        <f t="shared" ca="1" si="0"/>
        <v>4</v>
      </c>
      <c r="P42" s="2" t="str">
        <f t="shared" ca="1" si="3"/>
        <v/>
      </c>
    </row>
    <row r="43" spans="1:16" hidden="1" x14ac:dyDescent="0.25">
      <c r="A43" s="290" t="s">
        <v>218</v>
      </c>
      <c r="B43" s="290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248</v>
      </c>
      <c r="N43" s="2" t="s">
        <v>249</v>
      </c>
      <c r="O43" s="78">
        <f t="shared" ca="1" si="0"/>
        <v>4</v>
      </c>
      <c r="P43" s="2" t="str">
        <f t="shared" ca="1" si="3"/>
        <v/>
      </c>
    </row>
    <row r="44" spans="1:16" hidden="1" x14ac:dyDescent="0.25">
      <c r="A44" s="290" t="s">
        <v>218</v>
      </c>
      <c r="B44" s="290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248</v>
      </c>
      <c r="N44" s="2" t="s">
        <v>249</v>
      </c>
      <c r="O44" s="78">
        <f t="shared" ca="1" si="0"/>
        <v>4</v>
      </c>
      <c r="P44" s="2" t="str">
        <f t="shared" ca="1" si="3"/>
        <v/>
      </c>
    </row>
    <row r="45" spans="1:16" hidden="1" x14ac:dyDescent="0.25">
      <c r="A45" s="290" t="s">
        <v>218</v>
      </c>
      <c r="B45" s="290">
        <f>MATCH(A45,Data!$DT:$DT,0)</f>
        <v>5</v>
      </c>
      <c r="C45" s="2">
        <f>INDEX(Parameter!$9:$9,,MATCH(11,Parameter!$8:$8,0))</f>
        <v>12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248</v>
      </c>
      <c r="N45" s="2" t="s">
        <v>249</v>
      </c>
      <c r="O45" s="78">
        <f t="shared" ca="1" si="0"/>
        <v>4</v>
      </c>
      <c r="P45" s="2" t="str">
        <f t="shared" ca="1" si="3"/>
        <v/>
      </c>
    </row>
    <row r="46" spans="1:16" hidden="1" x14ac:dyDescent="0.25">
      <c r="A46" s="290" t="s">
        <v>218</v>
      </c>
      <c r="B46" s="290">
        <f>MATCH(A46,Data!$DT:$DT,0)</f>
        <v>5</v>
      </c>
      <c r="C46" s="2">
        <f>INDEX(Parameter!$9:$9,,MATCH(12,Parameter!$8:$8,0))</f>
        <v>14</v>
      </c>
      <c r="D46" s="2">
        <f>INDEX(Parameter!$B$10:$AB$10,MATCH(C46,Parameter!$B$9:$AB$9,0))</f>
        <v>4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248</v>
      </c>
      <c r="N46" s="2" t="s">
        <v>249</v>
      </c>
      <c r="O46" s="78">
        <f t="shared" ca="1" si="0"/>
        <v>4</v>
      </c>
      <c r="P46" s="2" t="str">
        <f t="shared" ca="1" si="3"/>
        <v/>
      </c>
    </row>
    <row r="47" spans="1:16" hidden="1" x14ac:dyDescent="0.25">
      <c r="A47" s="290" t="s">
        <v>218</v>
      </c>
      <c r="B47" s="290">
        <f>MATCH(A47,Data!$DT:$DT,0)</f>
        <v>5</v>
      </c>
      <c r="C47" s="2">
        <f>INDEX(Parameter!$9:$9,,MATCH(13,Parameter!$8:$8,0))</f>
        <v>15</v>
      </c>
      <c r="D47" s="2">
        <f>INDEX(Parameter!$B$10:$AB$10,MATCH(C47,Parameter!$B$9:$AB$9,0))</f>
        <v>4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248</v>
      </c>
      <c r="N47" s="2" t="s">
        <v>249</v>
      </c>
      <c r="O47" s="78">
        <f t="shared" ca="1" si="0"/>
        <v>4</v>
      </c>
      <c r="P47" s="2" t="str">
        <f t="shared" ca="1" si="3"/>
        <v/>
      </c>
    </row>
    <row r="48" spans="1:16" hidden="1" x14ac:dyDescent="0.25">
      <c r="A48" s="290" t="s">
        <v>218</v>
      </c>
      <c r="B48" s="290">
        <f>MATCH(A48,Data!$DT:$DT,0)</f>
        <v>5</v>
      </c>
      <c r="C48" s="2">
        <f>INDEX(Parameter!$9:$9,,MATCH(14,Parameter!$8:$8,0))</f>
        <v>16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248</v>
      </c>
      <c r="N48" s="2" t="s">
        <v>249</v>
      </c>
      <c r="O48" s="78">
        <f t="shared" ca="1" si="0"/>
        <v>4</v>
      </c>
      <c r="P48" s="2" t="str">
        <f t="shared" ca="1" si="3"/>
        <v/>
      </c>
    </row>
    <row r="49" spans="1:16" hidden="1" x14ac:dyDescent="0.25">
      <c r="A49" s="290" t="s">
        <v>218</v>
      </c>
      <c r="B49" s="290">
        <f>MATCH(A49,Data!$DT:$DT,0)</f>
        <v>5</v>
      </c>
      <c r="C49" s="2">
        <f>INDEX(Parameter!$9:$9,,MATCH(15,Parameter!$8:$8,0))</f>
        <v>17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248</v>
      </c>
      <c r="N49" s="2" t="s">
        <v>249</v>
      </c>
      <c r="O49" s="78">
        <f t="shared" ca="1" si="0"/>
        <v>4</v>
      </c>
      <c r="P49" s="2" t="str">
        <f t="shared" ca="1" si="3"/>
        <v/>
      </c>
    </row>
    <row r="50" spans="1:16" hidden="1" x14ac:dyDescent="0.25">
      <c r="A50" s="290" t="s">
        <v>218</v>
      </c>
      <c r="B50" s="290">
        <f>MATCH(A50,Data!$DT:$DT,0)</f>
        <v>5</v>
      </c>
      <c r="C50" s="2">
        <f>INDEX(Parameter!$9:$9,,MATCH(16,Parameter!$8:$8,0))</f>
        <v>18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248</v>
      </c>
      <c r="N50" s="2" t="s">
        <v>249</v>
      </c>
      <c r="O50" s="78">
        <f t="shared" ca="1" si="0"/>
        <v>4</v>
      </c>
      <c r="P50" s="2" t="str">
        <f t="shared" ca="1" si="3"/>
        <v/>
      </c>
    </row>
    <row r="51" spans="1:16" hidden="1" x14ac:dyDescent="0.25">
      <c r="A51" s="290" t="s">
        <v>218</v>
      </c>
      <c r="B51" s="290">
        <f>MATCH(A51,Data!$DT:$DT,0)</f>
        <v>5</v>
      </c>
      <c r="C51" s="2" t="str">
        <f>INDEX(Parameter!$9:$9,,MATCH(17,Parameter!$8:$8,0))</f>
        <v>17a</v>
      </c>
      <c r="D51" s="2" t="str">
        <f>INDEX(Parameter!$B$10:$AB$10,MATCH(C51,Parameter!$B$9:$AB$9,0))</f>
        <v>no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248</v>
      </c>
      <c r="N51" s="2" t="s">
        <v>249</v>
      </c>
      <c r="O51" s="78">
        <f t="shared" ca="1" si="0"/>
        <v>4</v>
      </c>
      <c r="P51" s="2" t="str">
        <f t="shared" ca="1" si="3"/>
        <v/>
      </c>
    </row>
    <row r="52" spans="1:16" hidden="1" x14ac:dyDescent="0.25">
      <c r="A52" s="290" t="s">
        <v>218</v>
      </c>
      <c r="B52" s="290">
        <f>MATCH(A52,Data!$DT:$DT,0)</f>
        <v>5</v>
      </c>
      <c r="C52" s="2" t="str">
        <f>INDEX(Parameter!$9:$9,,MATCH(18,Parameter!$8:$8,0))</f>
        <v>18a</v>
      </c>
      <c r="D52" s="2" t="str">
        <f>INDEX(Parameter!$B$10:$AB$10,MATCH(C52,Parameter!$B$9:$AB$9,0))</f>
        <v>no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248</v>
      </c>
      <c r="N52" s="2" t="s">
        <v>249</v>
      </c>
      <c r="O52" s="78">
        <f t="shared" ca="1" si="0"/>
        <v>4</v>
      </c>
      <c r="P52" s="2" t="str">
        <f t="shared" ca="1" si="3"/>
        <v/>
      </c>
    </row>
    <row r="53" spans="1:16" hidden="1" x14ac:dyDescent="0.25">
      <c r="A53" s="290" t="s">
        <v>218</v>
      </c>
      <c r="B53" s="290">
        <f>MATCH(A53,Data!$DT:$DT,0)</f>
        <v>5</v>
      </c>
      <c r="C53" s="2">
        <f>INDEX(Parameter!$9:$9,,MATCH(19,Parameter!$8:$8,0))</f>
        <v>19</v>
      </c>
      <c r="D53" s="2" t="str">
        <f>INDEX(Parameter!$B$10:$AB$10,MATCH(C53,Parameter!$B$9:$AB$9,0))</f>
        <v>no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248</v>
      </c>
      <c r="N53" s="2" t="s">
        <v>249</v>
      </c>
      <c r="O53" s="78">
        <f t="shared" ca="1" si="0"/>
        <v>4</v>
      </c>
      <c r="P53" s="2" t="str">
        <f t="shared" ca="1" si="3"/>
        <v/>
      </c>
    </row>
    <row r="54" spans="1:16" hidden="1" x14ac:dyDescent="0.25">
      <c r="A54" s="290" t="s">
        <v>218</v>
      </c>
      <c r="B54" s="290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248</v>
      </c>
      <c r="N54" s="2" t="s">
        <v>249</v>
      </c>
      <c r="O54" s="78">
        <f t="shared" ca="1" si="0"/>
        <v>4</v>
      </c>
      <c r="P54" s="2" t="str">
        <f t="shared" ca="1" si="3"/>
        <v/>
      </c>
    </row>
    <row r="55" spans="1:16" hidden="1" x14ac:dyDescent="0.25">
      <c r="A55" s="290" t="s">
        <v>218</v>
      </c>
      <c r="B55" s="290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248</v>
      </c>
      <c r="N55" s="2" t="s">
        <v>249</v>
      </c>
      <c r="O55" s="78">
        <f t="shared" ca="1" si="0"/>
        <v>4</v>
      </c>
      <c r="P55" s="2" t="str">
        <f t="shared" ca="1" si="3"/>
        <v/>
      </c>
    </row>
    <row r="56" spans="1:16" hidden="1" x14ac:dyDescent="0.25">
      <c r="A56" s="290" t="s">
        <v>218</v>
      </c>
      <c r="B56" s="290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248</v>
      </c>
      <c r="N56" s="2" t="s">
        <v>249</v>
      </c>
      <c r="O56" s="78">
        <f t="shared" ca="1" si="0"/>
        <v>4</v>
      </c>
      <c r="P56" s="2" t="str">
        <f t="shared" ca="1" si="3"/>
        <v/>
      </c>
    </row>
    <row r="57" spans="1:16" hidden="1" x14ac:dyDescent="0.25">
      <c r="A57" s="290" t="s">
        <v>218</v>
      </c>
      <c r="B57" s="290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248</v>
      </c>
      <c r="N57" s="2" t="s">
        <v>249</v>
      </c>
      <c r="O57" s="78">
        <f t="shared" ca="1" si="0"/>
        <v>4</v>
      </c>
      <c r="P57" s="2" t="str">
        <f t="shared" ca="1" si="3"/>
        <v/>
      </c>
    </row>
    <row r="58" spans="1:16" hidden="1" x14ac:dyDescent="0.25">
      <c r="A58" s="290" t="s">
        <v>218</v>
      </c>
      <c r="B58" s="290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248</v>
      </c>
      <c r="N58" s="2" t="s">
        <v>249</v>
      </c>
      <c r="O58" s="78">
        <f t="shared" ca="1" si="0"/>
        <v>4</v>
      </c>
      <c r="P58" s="2" t="str">
        <f t="shared" ca="1" si="3"/>
        <v/>
      </c>
    </row>
    <row r="59" spans="1:16" hidden="1" x14ac:dyDescent="0.25">
      <c r="A59" s="290" t="s">
        <v>218</v>
      </c>
      <c r="B59" s="290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248</v>
      </c>
      <c r="N59" s="2" t="s">
        <v>249</v>
      </c>
      <c r="O59" s="78">
        <f t="shared" ca="1" si="0"/>
        <v>4</v>
      </c>
      <c r="P59" s="2" t="str">
        <f t="shared" ca="1" si="3"/>
        <v/>
      </c>
    </row>
    <row r="60" spans="1:16" hidden="1" x14ac:dyDescent="0.25">
      <c r="A60" s="290" t="s">
        <v>218</v>
      </c>
      <c r="B60" s="290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248</v>
      </c>
      <c r="N60" s="2" t="s">
        <v>249</v>
      </c>
      <c r="O60" s="78">
        <f t="shared" ca="1" si="0"/>
        <v>4</v>
      </c>
      <c r="P60" s="2" t="str">
        <f t="shared" ca="1" si="3"/>
        <v/>
      </c>
    </row>
    <row r="61" spans="1:16" hidden="1" x14ac:dyDescent="0.25">
      <c r="A61" s="290" t="s">
        <v>218</v>
      </c>
      <c r="B61" s="290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248</v>
      </c>
      <c r="N61" s="2" t="s">
        <v>249</v>
      </c>
      <c r="O61" s="78">
        <f t="shared" ca="1" si="0"/>
        <v>4</v>
      </c>
      <c r="P61" s="2" t="str">
        <f ca="1">IF(H61&gt;0,H61&amp;" Ace(s) on hole "&amp;$C61&amp;" (par "&amp;D61&amp;")","")</f>
        <v/>
      </c>
    </row>
    <row r="62" spans="1:16" hidden="1" x14ac:dyDescent="0.25">
      <c r="A62" s="291" t="s">
        <v>356</v>
      </c>
      <c r="B62" s="290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248</v>
      </c>
      <c r="N62" s="2" t="s">
        <v>249</v>
      </c>
      <c r="O62" s="78">
        <f t="shared" ca="1" si="0"/>
        <v>5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2" t="s">
        <v>219</v>
      </c>
      <c r="B63" s="292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4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248</v>
      </c>
      <c r="N63" s="65" t="s">
        <v>249</v>
      </c>
      <c r="O63" s="65">
        <f t="shared" ca="1" si="0"/>
        <v>5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2" t="s">
        <v>219</v>
      </c>
      <c r="B64" s="292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4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248</v>
      </c>
      <c r="N64" s="65" t="s">
        <v>249</v>
      </c>
      <c r="O64" s="65">
        <f t="shared" ca="1" si="0"/>
        <v>5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2" t="s">
        <v>219</v>
      </c>
      <c r="B65" s="292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4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248</v>
      </c>
      <c r="N65" s="65" t="s">
        <v>249</v>
      </c>
      <c r="O65" s="65">
        <f t="shared" ca="1" si="0"/>
        <v>5</v>
      </c>
      <c r="P65" s="65" t="str">
        <f t="shared" ca="1" si="5"/>
        <v/>
      </c>
    </row>
    <row r="66" spans="1:16" s="65" customFormat="1" hidden="1" x14ac:dyDescent="0.25">
      <c r="A66" s="292" t="s">
        <v>219</v>
      </c>
      <c r="B66" s="292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248</v>
      </c>
      <c r="N66" s="65" t="s">
        <v>249</v>
      </c>
      <c r="O66" s="65">
        <f t="shared" ca="1" si="0"/>
        <v>5</v>
      </c>
      <c r="P66" s="65" t="str">
        <f t="shared" ca="1" si="5"/>
        <v/>
      </c>
    </row>
    <row r="67" spans="1:16" s="65" customFormat="1" hidden="1" x14ac:dyDescent="0.25">
      <c r="A67" s="292" t="s">
        <v>219</v>
      </c>
      <c r="B67" s="292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248</v>
      </c>
      <c r="N67" s="65" t="s">
        <v>249</v>
      </c>
      <c r="O67" s="65">
        <f t="shared" ca="1" si="0"/>
        <v>5</v>
      </c>
      <c r="P67" s="65" t="str">
        <f t="shared" ca="1" si="5"/>
        <v/>
      </c>
    </row>
    <row r="68" spans="1:16" s="65" customFormat="1" hidden="1" x14ac:dyDescent="0.25">
      <c r="A68" s="292" t="s">
        <v>219</v>
      </c>
      <c r="B68" s="292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5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248</v>
      </c>
      <c r="N68" s="65" t="s">
        <v>249</v>
      </c>
      <c r="O68" s="65">
        <f t="shared" ref="O68:O131" ca="1" si="6">IF(AND($P68&lt;&gt;"",$N68="yes"),O67+1,O67)</f>
        <v>5</v>
      </c>
      <c r="P68" s="65" t="str">
        <f t="shared" ca="1" si="5"/>
        <v/>
      </c>
    </row>
    <row r="69" spans="1:16" s="65" customFormat="1" hidden="1" x14ac:dyDescent="0.25">
      <c r="A69" s="292" t="s">
        <v>219</v>
      </c>
      <c r="B69" s="292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248</v>
      </c>
      <c r="N69" s="65" t="s">
        <v>249</v>
      </c>
      <c r="O69" s="65">
        <f t="shared" ca="1" si="6"/>
        <v>5</v>
      </c>
      <c r="P69" s="65" t="str">
        <f t="shared" ca="1" si="5"/>
        <v/>
      </c>
    </row>
    <row r="70" spans="1:16" s="65" customFormat="1" hidden="1" x14ac:dyDescent="0.25">
      <c r="A70" s="292" t="s">
        <v>219</v>
      </c>
      <c r="B70" s="292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248</v>
      </c>
      <c r="N70" s="65" t="s">
        <v>249</v>
      </c>
      <c r="O70" s="65">
        <f t="shared" ca="1" si="6"/>
        <v>5</v>
      </c>
      <c r="P70" s="65" t="str">
        <f t="shared" ca="1" si="5"/>
        <v/>
      </c>
    </row>
    <row r="71" spans="1:16" s="65" customFormat="1" hidden="1" x14ac:dyDescent="0.25">
      <c r="A71" s="292" t="s">
        <v>219</v>
      </c>
      <c r="B71" s="292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248</v>
      </c>
      <c r="N71" s="65" t="s">
        <v>249</v>
      </c>
      <c r="O71" s="65">
        <f t="shared" ca="1" si="6"/>
        <v>5</v>
      </c>
      <c r="P71" s="65" t="str">
        <f t="shared" ca="1" si="5"/>
        <v/>
      </c>
    </row>
    <row r="72" spans="1:16" s="65" customFormat="1" hidden="1" x14ac:dyDescent="0.25">
      <c r="A72" s="292" t="s">
        <v>219</v>
      </c>
      <c r="B72" s="292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248</v>
      </c>
      <c r="N72" s="65" t="s">
        <v>249</v>
      </c>
      <c r="O72" s="65">
        <f t="shared" ca="1" si="6"/>
        <v>5</v>
      </c>
      <c r="P72" s="65" t="str">
        <f t="shared" ca="1" si="5"/>
        <v/>
      </c>
    </row>
    <row r="73" spans="1:16" s="65" customFormat="1" hidden="1" x14ac:dyDescent="0.25">
      <c r="A73" s="292" t="s">
        <v>219</v>
      </c>
      <c r="B73" s="292">
        <f>MATCH(A73,Data!$DT:$DT,0)</f>
        <v>6</v>
      </c>
      <c r="C73" s="65">
        <f>INDEX(Parameter!$9:$9,,MATCH(11,Parameter!$8:$8,0))</f>
        <v>12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248</v>
      </c>
      <c r="N73" s="65" t="s">
        <v>249</v>
      </c>
      <c r="O73" s="65">
        <f t="shared" ca="1" si="6"/>
        <v>5</v>
      </c>
      <c r="P73" s="65" t="str">
        <f t="shared" ca="1" si="5"/>
        <v/>
      </c>
    </row>
    <row r="74" spans="1:16" s="65" customFormat="1" hidden="1" x14ac:dyDescent="0.25">
      <c r="A74" s="292" t="s">
        <v>219</v>
      </c>
      <c r="B74" s="292">
        <f>MATCH(A74,Data!$DT:$DT,0)</f>
        <v>6</v>
      </c>
      <c r="C74" s="65">
        <f>INDEX(Parameter!$9:$9,,MATCH(12,Parameter!$8:$8,0))</f>
        <v>14</v>
      </c>
      <c r="D74" s="65">
        <f>INDEX(Parameter!$B$10:$AB$10,MATCH(C74,Parameter!$B$9:$AB$9,0))</f>
        <v>4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248</v>
      </c>
      <c r="N74" s="65" t="s">
        <v>249</v>
      </c>
      <c r="O74" s="65">
        <f t="shared" ca="1" si="6"/>
        <v>5</v>
      </c>
      <c r="P74" s="65" t="str">
        <f t="shared" ca="1" si="5"/>
        <v/>
      </c>
    </row>
    <row r="75" spans="1:16" s="65" customFormat="1" hidden="1" x14ac:dyDescent="0.25">
      <c r="A75" s="292" t="s">
        <v>219</v>
      </c>
      <c r="B75" s="292">
        <f>MATCH(A75,Data!$DT:$DT,0)</f>
        <v>6</v>
      </c>
      <c r="C75" s="65">
        <f>INDEX(Parameter!$9:$9,,MATCH(13,Parameter!$8:$8,0))</f>
        <v>15</v>
      </c>
      <c r="D75" s="65">
        <f>INDEX(Parameter!$B$10:$AB$10,MATCH(C75,Parameter!$B$9:$AB$9,0))</f>
        <v>4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248</v>
      </c>
      <c r="N75" s="65" t="s">
        <v>249</v>
      </c>
      <c r="O75" s="65">
        <f t="shared" ca="1" si="6"/>
        <v>5</v>
      </c>
      <c r="P75" s="65" t="str">
        <f t="shared" ca="1" si="5"/>
        <v/>
      </c>
    </row>
    <row r="76" spans="1:16" s="65" customFormat="1" hidden="1" x14ac:dyDescent="0.25">
      <c r="A76" s="292" t="s">
        <v>219</v>
      </c>
      <c r="B76" s="292">
        <f>MATCH(A76,Data!$DT:$DT,0)</f>
        <v>6</v>
      </c>
      <c r="C76" s="65">
        <f>INDEX(Parameter!$9:$9,,MATCH(14,Parameter!$8:$8,0))</f>
        <v>16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248</v>
      </c>
      <c r="N76" s="65" t="s">
        <v>249</v>
      </c>
      <c r="O76" s="65">
        <f t="shared" ca="1" si="6"/>
        <v>5</v>
      </c>
      <c r="P76" s="65" t="str">
        <f t="shared" ca="1" si="5"/>
        <v/>
      </c>
    </row>
    <row r="77" spans="1:16" s="65" customFormat="1" hidden="1" x14ac:dyDescent="0.25">
      <c r="A77" s="292" t="s">
        <v>219</v>
      </c>
      <c r="B77" s="292">
        <f>MATCH(A77,Data!$DT:$DT,0)</f>
        <v>6</v>
      </c>
      <c r="C77" s="65">
        <f>INDEX(Parameter!$9:$9,,MATCH(15,Parameter!$8:$8,0))</f>
        <v>17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248</v>
      </c>
      <c r="N77" s="65" t="s">
        <v>249</v>
      </c>
      <c r="O77" s="65">
        <f t="shared" ca="1" si="6"/>
        <v>5</v>
      </c>
      <c r="P77" s="65" t="str">
        <f t="shared" ca="1" si="5"/>
        <v/>
      </c>
    </row>
    <row r="78" spans="1:16" s="65" customFormat="1" hidden="1" x14ac:dyDescent="0.25">
      <c r="A78" s="292" t="s">
        <v>219</v>
      </c>
      <c r="B78" s="292">
        <f>MATCH(A78,Data!$DT:$DT,0)</f>
        <v>6</v>
      </c>
      <c r="C78" s="65">
        <f>INDEX(Parameter!$9:$9,,MATCH(16,Parameter!$8:$8,0))</f>
        <v>18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248</v>
      </c>
      <c r="N78" s="65" t="s">
        <v>249</v>
      </c>
      <c r="O78" s="65">
        <f t="shared" ca="1" si="6"/>
        <v>5</v>
      </c>
      <c r="P78" s="65" t="str">
        <f t="shared" ca="1" si="5"/>
        <v/>
      </c>
    </row>
    <row r="79" spans="1:16" s="65" customFormat="1" hidden="1" x14ac:dyDescent="0.25">
      <c r="A79" s="292" t="s">
        <v>219</v>
      </c>
      <c r="B79" s="292">
        <f>MATCH(A79,Data!$DT:$DT,0)</f>
        <v>6</v>
      </c>
      <c r="C79" s="65" t="str">
        <f>INDEX(Parameter!$9:$9,,MATCH(17,Parameter!$8:$8,0))</f>
        <v>17a</v>
      </c>
      <c r="D79" s="65" t="str">
        <f>INDEX(Parameter!$B$10:$AB$10,MATCH(C79,Parameter!$B$9:$AB$9,0))</f>
        <v>no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248</v>
      </c>
      <c r="N79" s="65" t="s">
        <v>249</v>
      </c>
      <c r="O79" s="65">
        <f t="shared" ca="1" si="6"/>
        <v>5</v>
      </c>
      <c r="P79" s="65" t="str">
        <f t="shared" ca="1" si="5"/>
        <v/>
      </c>
    </row>
    <row r="80" spans="1:16" s="65" customFormat="1" hidden="1" x14ac:dyDescent="0.25">
      <c r="A80" s="292" t="s">
        <v>219</v>
      </c>
      <c r="B80" s="292">
        <f>MATCH(A80,Data!$DT:$DT,0)</f>
        <v>6</v>
      </c>
      <c r="C80" s="65" t="str">
        <f>INDEX(Parameter!$9:$9,,MATCH(18,Parameter!$8:$8,0))</f>
        <v>18a</v>
      </c>
      <c r="D80" s="65" t="str">
        <f>INDEX(Parameter!$B$10:$AB$10,MATCH(C80,Parameter!$B$9:$AB$9,0))</f>
        <v>no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248</v>
      </c>
      <c r="N80" s="65" t="s">
        <v>249</v>
      </c>
      <c r="O80" s="65">
        <f t="shared" ca="1" si="6"/>
        <v>5</v>
      </c>
      <c r="P80" s="65" t="str">
        <f t="shared" ca="1" si="5"/>
        <v/>
      </c>
    </row>
    <row r="81" spans="1:16" s="65" customFormat="1" hidden="1" x14ac:dyDescent="0.25">
      <c r="A81" s="292" t="s">
        <v>219</v>
      </c>
      <c r="B81" s="292">
        <f>MATCH(A81,Data!$DT:$DT,0)</f>
        <v>6</v>
      </c>
      <c r="C81" s="65">
        <f>INDEX(Parameter!$9:$9,,MATCH(19,Parameter!$8:$8,0))</f>
        <v>19</v>
      </c>
      <c r="D81" s="65" t="str">
        <f>INDEX(Parameter!$B$10:$AB$10,MATCH(C81,Parameter!$B$9:$AB$9,0))</f>
        <v>no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248</v>
      </c>
      <c r="N81" s="65" t="s">
        <v>249</v>
      </c>
      <c r="O81" s="65">
        <f t="shared" ca="1" si="6"/>
        <v>5</v>
      </c>
      <c r="P81" s="65" t="str">
        <f t="shared" ca="1" si="5"/>
        <v/>
      </c>
    </row>
    <row r="82" spans="1:16" s="65" customFormat="1" hidden="1" x14ac:dyDescent="0.25">
      <c r="A82" s="292" t="s">
        <v>219</v>
      </c>
      <c r="B82" s="292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248</v>
      </c>
      <c r="N82" s="65" t="s">
        <v>249</v>
      </c>
      <c r="O82" s="65">
        <f t="shared" ca="1" si="6"/>
        <v>5</v>
      </c>
      <c r="P82" s="65" t="str">
        <f t="shared" ca="1" si="5"/>
        <v/>
      </c>
    </row>
    <row r="83" spans="1:16" s="65" customFormat="1" hidden="1" x14ac:dyDescent="0.25">
      <c r="A83" s="292" t="s">
        <v>219</v>
      </c>
      <c r="B83" s="292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248</v>
      </c>
      <c r="N83" s="65" t="s">
        <v>249</v>
      </c>
      <c r="O83" s="65">
        <f t="shared" ca="1" si="6"/>
        <v>5</v>
      </c>
      <c r="P83" s="65" t="str">
        <f t="shared" ca="1" si="5"/>
        <v/>
      </c>
    </row>
    <row r="84" spans="1:16" s="65" customFormat="1" hidden="1" x14ac:dyDescent="0.25">
      <c r="A84" s="292" t="s">
        <v>219</v>
      </c>
      <c r="B84" s="292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248</v>
      </c>
      <c r="N84" s="65" t="s">
        <v>249</v>
      </c>
      <c r="O84" s="65">
        <f t="shared" ca="1" si="6"/>
        <v>5</v>
      </c>
      <c r="P84" s="65" t="str">
        <f t="shared" ca="1" si="5"/>
        <v/>
      </c>
    </row>
    <row r="85" spans="1:16" s="65" customFormat="1" hidden="1" x14ac:dyDescent="0.25">
      <c r="A85" s="292" t="s">
        <v>219</v>
      </c>
      <c r="B85" s="292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248</v>
      </c>
      <c r="N85" s="65" t="s">
        <v>249</v>
      </c>
      <c r="O85" s="65">
        <f t="shared" ca="1" si="6"/>
        <v>5</v>
      </c>
      <c r="P85" s="65" t="str">
        <f t="shared" ca="1" si="5"/>
        <v/>
      </c>
    </row>
    <row r="86" spans="1:16" s="65" customFormat="1" hidden="1" x14ac:dyDescent="0.25">
      <c r="A86" s="292" t="s">
        <v>219</v>
      </c>
      <c r="B86" s="292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248</v>
      </c>
      <c r="N86" s="65" t="s">
        <v>249</v>
      </c>
      <c r="O86" s="65">
        <f t="shared" ca="1" si="6"/>
        <v>5</v>
      </c>
      <c r="P86" s="65" t="str">
        <f t="shared" ca="1" si="5"/>
        <v/>
      </c>
    </row>
    <row r="87" spans="1:16" s="65" customFormat="1" hidden="1" x14ac:dyDescent="0.25">
      <c r="A87" s="292" t="s">
        <v>219</v>
      </c>
      <c r="B87" s="292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248</v>
      </c>
      <c r="N87" s="65" t="s">
        <v>249</v>
      </c>
      <c r="O87" s="65">
        <f t="shared" ca="1" si="6"/>
        <v>5</v>
      </c>
      <c r="P87" s="65" t="str">
        <f t="shared" ca="1" si="5"/>
        <v/>
      </c>
    </row>
    <row r="88" spans="1:16" s="65" customFormat="1" hidden="1" x14ac:dyDescent="0.25">
      <c r="A88" s="292" t="s">
        <v>219</v>
      </c>
      <c r="B88" s="292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248</v>
      </c>
      <c r="N88" s="65" t="s">
        <v>249</v>
      </c>
      <c r="O88" s="65">
        <f t="shared" ca="1" si="6"/>
        <v>5</v>
      </c>
      <c r="P88" s="65" t="str">
        <f t="shared" ca="1" si="5"/>
        <v/>
      </c>
    </row>
    <row r="89" spans="1:16" s="65" customFormat="1" hidden="1" x14ac:dyDescent="0.25">
      <c r="A89" s="292" t="s">
        <v>219</v>
      </c>
      <c r="B89" s="292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248</v>
      </c>
      <c r="N89" s="65" t="s">
        <v>249</v>
      </c>
      <c r="O89" s="65">
        <f t="shared" ca="1" si="6"/>
        <v>5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0" t="s">
        <v>220</v>
      </c>
      <c r="B90" s="290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4</v>
      </c>
      <c r="H90" s="2">
        <f ca="1">INDEX(OFFSET(Data!$CS$1:$DS$1,B90-1,0),MATCH("Total/"&amp;C90,Data!$CS$1:$DS$1,0))</f>
        <v>1</v>
      </c>
      <c r="I90" s="2">
        <f ca="1">IF(H90&gt;0,D90-2,"")</f>
        <v>2</v>
      </c>
      <c r="J90" s="2">
        <f t="array" aca="1" ref="J90" ca="1">IF(H90=1,MATCH(1,(OFFSET(Data!$DY$1:$IB$1,B90-1,0))*(Data!$DY$90:$IB$90=C90),0),"")</f>
        <v>17</v>
      </c>
      <c r="L90" s="2" t="str">
        <f ca="1">IF(H90&gt;1,"Several Players or rounds",IF(H90=1,INDEX(Data!$DT$91:$DT$190,MATCH(I90,OFFSET(Data!$DX$91:$DX$190,0,Specials!J90),0))&amp;" / "&amp;OFFSET(Data!$DX$89,0,Specials!J90),""))</f>
        <v>Jakub Matejka / Round 2</v>
      </c>
      <c r="M90" s="2" t="s">
        <v>248</v>
      </c>
      <c r="N90" s="2" t="s">
        <v>249</v>
      </c>
      <c r="O90" s="78">
        <f t="shared" ca="1" si="6"/>
        <v>6</v>
      </c>
      <c r="P90" s="2" t="str">
        <f ca="1">IF(H90&gt;0,H90&amp;" Eagle(s) on hole "&amp;$C90&amp;" (par "&amp;D90&amp;")","")</f>
        <v>1 Eagle(s) on hole 1 (par 4)</v>
      </c>
    </row>
    <row r="91" spans="1:16" hidden="1" x14ac:dyDescent="0.25">
      <c r="A91" s="290" t="s">
        <v>220</v>
      </c>
      <c r="B91" s="290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4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248</v>
      </c>
      <c r="N91" s="2" t="s">
        <v>249</v>
      </c>
      <c r="O91" s="78">
        <f t="shared" ca="1" si="6"/>
        <v>6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0" t="s">
        <v>220</v>
      </c>
      <c r="B92" s="290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4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248</v>
      </c>
      <c r="N92" s="2" t="s">
        <v>249</v>
      </c>
      <c r="O92" s="78">
        <f t="shared" ca="1" si="6"/>
        <v>6</v>
      </c>
      <c r="P92" s="2" t="str">
        <f t="shared" ca="1" si="8"/>
        <v/>
      </c>
    </row>
    <row r="93" spans="1:16" hidden="1" x14ac:dyDescent="0.25">
      <c r="A93" s="290" t="s">
        <v>220</v>
      </c>
      <c r="B93" s="290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248</v>
      </c>
      <c r="N93" s="2" t="s">
        <v>249</v>
      </c>
      <c r="O93" s="78">
        <f t="shared" ca="1" si="6"/>
        <v>6</v>
      </c>
      <c r="P93" s="2" t="str">
        <f t="shared" ca="1" si="8"/>
        <v/>
      </c>
    </row>
    <row r="94" spans="1:16" hidden="1" x14ac:dyDescent="0.25">
      <c r="A94" s="290" t="s">
        <v>220</v>
      </c>
      <c r="B94" s="290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248</v>
      </c>
      <c r="N94" s="2" t="s">
        <v>249</v>
      </c>
      <c r="O94" s="78">
        <f t="shared" ca="1" si="6"/>
        <v>6</v>
      </c>
      <c r="P94" s="2" t="str">
        <f t="shared" ca="1" si="8"/>
        <v/>
      </c>
    </row>
    <row r="95" spans="1:16" hidden="1" x14ac:dyDescent="0.25">
      <c r="A95" s="290" t="s">
        <v>220</v>
      </c>
      <c r="B95" s="290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5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248</v>
      </c>
      <c r="N95" s="2" t="s">
        <v>249</v>
      </c>
      <c r="O95" s="78">
        <f t="shared" ca="1" si="6"/>
        <v>6</v>
      </c>
      <c r="P95" s="2" t="str">
        <f t="shared" ca="1" si="8"/>
        <v/>
      </c>
    </row>
    <row r="96" spans="1:16" hidden="1" x14ac:dyDescent="0.25">
      <c r="A96" s="290" t="s">
        <v>220</v>
      </c>
      <c r="B96" s="290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248</v>
      </c>
      <c r="N96" s="2" t="s">
        <v>249</v>
      </c>
      <c r="O96" s="78">
        <f t="shared" ca="1" si="6"/>
        <v>6</v>
      </c>
      <c r="P96" s="2" t="str">
        <f t="shared" ca="1" si="8"/>
        <v/>
      </c>
    </row>
    <row r="97" spans="1:16" hidden="1" x14ac:dyDescent="0.25">
      <c r="A97" s="290" t="s">
        <v>220</v>
      </c>
      <c r="B97" s="290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248</v>
      </c>
      <c r="N97" s="2" t="s">
        <v>249</v>
      </c>
      <c r="O97" s="78">
        <f t="shared" ca="1" si="6"/>
        <v>6</v>
      </c>
      <c r="P97" s="2" t="str">
        <f t="shared" ca="1" si="8"/>
        <v/>
      </c>
    </row>
    <row r="98" spans="1:16" hidden="1" x14ac:dyDescent="0.25">
      <c r="A98" s="290" t="s">
        <v>220</v>
      </c>
      <c r="B98" s="290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248</v>
      </c>
      <c r="N98" s="2" t="s">
        <v>249</v>
      </c>
      <c r="O98" s="78">
        <f t="shared" ca="1" si="6"/>
        <v>6</v>
      </c>
      <c r="P98" s="2" t="str">
        <f t="shared" ca="1" si="8"/>
        <v/>
      </c>
    </row>
    <row r="99" spans="1:16" hidden="1" x14ac:dyDescent="0.25">
      <c r="A99" s="290" t="s">
        <v>220</v>
      </c>
      <c r="B99" s="290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248</v>
      </c>
      <c r="N99" s="2" t="s">
        <v>249</v>
      </c>
      <c r="O99" s="78">
        <f t="shared" ca="1" si="6"/>
        <v>6</v>
      </c>
      <c r="P99" s="2" t="str">
        <f t="shared" ca="1" si="8"/>
        <v/>
      </c>
    </row>
    <row r="100" spans="1:16" hidden="1" x14ac:dyDescent="0.25">
      <c r="A100" s="290" t="s">
        <v>220</v>
      </c>
      <c r="B100" s="290">
        <f>MATCH(A100,Data!$DT:$DT,0)</f>
        <v>7</v>
      </c>
      <c r="C100" s="2">
        <f>INDEX(Parameter!$9:$9,,MATCH(11,Parameter!$8:$8,0))</f>
        <v>12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248</v>
      </c>
      <c r="N100" s="2" t="s">
        <v>249</v>
      </c>
      <c r="O100" s="78">
        <f t="shared" ca="1" si="6"/>
        <v>6</v>
      </c>
      <c r="P100" s="2" t="str">
        <f t="shared" ca="1" si="8"/>
        <v/>
      </c>
    </row>
    <row r="101" spans="1:16" hidden="1" x14ac:dyDescent="0.25">
      <c r="A101" s="290" t="s">
        <v>220</v>
      </c>
      <c r="B101" s="290">
        <f>MATCH(A101,Data!$DT:$DT,0)</f>
        <v>7</v>
      </c>
      <c r="C101" s="2">
        <f>INDEX(Parameter!$9:$9,,MATCH(12,Parameter!$8:$8,0))</f>
        <v>14</v>
      </c>
      <c r="D101" s="2">
        <f>INDEX(Parameter!$B$10:$AB$10,MATCH(C101,Parameter!$B$9:$AB$9,0))</f>
        <v>4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248</v>
      </c>
      <c r="N101" s="2" t="s">
        <v>249</v>
      </c>
      <c r="O101" s="78">
        <f t="shared" ca="1" si="6"/>
        <v>6</v>
      </c>
      <c r="P101" s="2" t="str">
        <f t="shared" ca="1" si="8"/>
        <v/>
      </c>
    </row>
    <row r="102" spans="1:16" hidden="1" x14ac:dyDescent="0.25">
      <c r="A102" s="290" t="s">
        <v>220</v>
      </c>
      <c r="B102" s="290">
        <f>MATCH(A102,Data!$DT:$DT,0)</f>
        <v>7</v>
      </c>
      <c r="C102" s="2">
        <f>INDEX(Parameter!$9:$9,,MATCH(13,Parameter!$8:$8,0))</f>
        <v>15</v>
      </c>
      <c r="D102" s="2">
        <f>INDEX(Parameter!$B$10:$AB$10,MATCH(C102,Parameter!$B$9:$AB$9,0))</f>
        <v>4</v>
      </c>
      <c r="H102" s="2">
        <f ca="1">INDEX(OFFSET(Data!$CS$1:$DS$1,B102-1,0),MATCH("Total/"&amp;C102,Data!$CS$1:$DS$1,0))</f>
        <v>1</v>
      </c>
      <c r="I102" s="2">
        <f t="shared" ca="1" si="7"/>
        <v>2</v>
      </c>
      <c r="J102" s="2">
        <f t="array" aca="1" ref="J102" ca="1">IF(H102=1,MATCH(1,(OFFSET(Data!$DY$1:$IB$1,B102-1,0))*(Data!$DY$90:$IB$90=C102),0),"")</f>
        <v>13</v>
      </c>
      <c r="L102" s="2" t="str">
        <f ca="1">IF(H102&gt;1,"Several Players or rounds",IF(H102=1,INDEX(Data!$DT$91:$DT$190,MATCH(I102,OFFSET(Data!$DX$91:$DX$190,0,Specials!J102),0))&amp;" / "&amp;OFFSET(Data!$DX$89,0,Specials!J102),""))</f>
        <v>Michal Kúdela / Round 1</v>
      </c>
      <c r="M102" s="2" t="s">
        <v>248</v>
      </c>
      <c r="N102" s="2" t="s">
        <v>249</v>
      </c>
      <c r="O102" s="78">
        <f t="shared" ca="1" si="6"/>
        <v>7</v>
      </c>
      <c r="P102" s="2" t="str">
        <f t="shared" ca="1" si="8"/>
        <v>1 Eagle(s) on hole 15 (par 4)</v>
      </c>
    </row>
    <row r="103" spans="1:16" hidden="1" x14ac:dyDescent="0.25">
      <c r="A103" s="290" t="s">
        <v>220</v>
      </c>
      <c r="B103" s="290">
        <f>MATCH(A103,Data!$DT:$DT,0)</f>
        <v>7</v>
      </c>
      <c r="C103" s="2">
        <f>INDEX(Parameter!$9:$9,,MATCH(14,Parameter!$8:$8,0))</f>
        <v>16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248</v>
      </c>
      <c r="N103" s="2" t="s">
        <v>249</v>
      </c>
      <c r="O103" s="78">
        <f t="shared" ca="1" si="6"/>
        <v>7</v>
      </c>
      <c r="P103" s="2" t="str">
        <f t="shared" ca="1" si="8"/>
        <v/>
      </c>
    </row>
    <row r="104" spans="1:16" hidden="1" x14ac:dyDescent="0.25">
      <c r="A104" s="290" t="s">
        <v>220</v>
      </c>
      <c r="B104" s="290">
        <f>MATCH(A104,Data!$DT:$DT,0)</f>
        <v>7</v>
      </c>
      <c r="C104" s="2">
        <f>INDEX(Parameter!$9:$9,,MATCH(15,Parameter!$8:$8,0))</f>
        <v>17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248</v>
      </c>
      <c r="N104" s="2" t="s">
        <v>249</v>
      </c>
      <c r="O104" s="78">
        <f t="shared" ca="1" si="6"/>
        <v>7</v>
      </c>
      <c r="P104" s="2" t="str">
        <f t="shared" ca="1" si="8"/>
        <v/>
      </c>
    </row>
    <row r="105" spans="1:16" hidden="1" x14ac:dyDescent="0.25">
      <c r="A105" s="290" t="s">
        <v>220</v>
      </c>
      <c r="B105" s="290">
        <f>MATCH(A105,Data!$DT:$DT,0)</f>
        <v>7</v>
      </c>
      <c r="C105" s="2">
        <f>INDEX(Parameter!$9:$9,,MATCH(16,Parameter!$8:$8,0))</f>
        <v>18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248</v>
      </c>
      <c r="N105" s="2" t="s">
        <v>249</v>
      </c>
      <c r="O105" s="78">
        <f t="shared" ca="1" si="6"/>
        <v>7</v>
      </c>
      <c r="P105" s="2" t="str">
        <f t="shared" ca="1" si="8"/>
        <v/>
      </c>
    </row>
    <row r="106" spans="1:16" hidden="1" x14ac:dyDescent="0.25">
      <c r="A106" s="290" t="s">
        <v>220</v>
      </c>
      <c r="B106" s="290">
        <f>MATCH(A106,Data!$DT:$DT,0)</f>
        <v>7</v>
      </c>
      <c r="C106" s="2" t="str">
        <f>INDEX(Parameter!$9:$9,,MATCH(17,Parameter!$8:$8,0))</f>
        <v>17a</v>
      </c>
      <c r="D106" s="2" t="str">
        <f>INDEX(Parameter!$B$10:$AB$10,MATCH(C106,Parameter!$B$9:$AB$9,0))</f>
        <v>no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248</v>
      </c>
      <c r="N106" s="2" t="s">
        <v>249</v>
      </c>
      <c r="O106" s="78">
        <f t="shared" ca="1" si="6"/>
        <v>7</v>
      </c>
      <c r="P106" s="2" t="str">
        <f t="shared" ca="1" si="8"/>
        <v/>
      </c>
    </row>
    <row r="107" spans="1:16" hidden="1" x14ac:dyDescent="0.25">
      <c r="A107" s="290" t="s">
        <v>220</v>
      </c>
      <c r="B107" s="290">
        <f>MATCH(A107,Data!$DT:$DT,0)</f>
        <v>7</v>
      </c>
      <c r="C107" s="2" t="str">
        <f>INDEX(Parameter!$9:$9,,MATCH(18,Parameter!$8:$8,0))</f>
        <v>18a</v>
      </c>
      <c r="D107" s="2" t="str">
        <f>INDEX(Parameter!$B$10:$AB$10,MATCH(C107,Parameter!$B$9:$AB$9,0))</f>
        <v>no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248</v>
      </c>
      <c r="N107" s="2" t="s">
        <v>249</v>
      </c>
      <c r="O107" s="78">
        <f t="shared" ca="1" si="6"/>
        <v>7</v>
      </c>
      <c r="P107" s="2" t="str">
        <f t="shared" ca="1" si="8"/>
        <v/>
      </c>
    </row>
    <row r="108" spans="1:16" hidden="1" x14ac:dyDescent="0.25">
      <c r="A108" s="290" t="s">
        <v>220</v>
      </c>
      <c r="B108" s="290">
        <f>MATCH(A108,Data!$DT:$DT,0)</f>
        <v>7</v>
      </c>
      <c r="C108" s="2">
        <f>INDEX(Parameter!$9:$9,,MATCH(19,Parameter!$8:$8,0))</f>
        <v>19</v>
      </c>
      <c r="D108" s="2" t="str">
        <f>INDEX(Parameter!$B$10:$AB$10,MATCH(C108,Parameter!$B$9:$AB$9,0))</f>
        <v>no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248</v>
      </c>
      <c r="N108" s="2" t="s">
        <v>249</v>
      </c>
      <c r="O108" s="78">
        <f t="shared" ca="1" si="6"/>
        <v>7</v>
      </c>
      <c r="P108" s="2" t="str">
        <f t="shared" ca="1" si="8"/>
        <v/>
      </c>
    </row>
    <row r="109" spans="1:16" hidden="1" x14ac:dyDescent="0.25">
      <c r="A109" s="290" t="s">
        <v>220</v>
      </c>
      <c r="B109" s="290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248</v>
      </c>
      <c r="N109" s="2" t="s">
        <v>249</v>
      </c>
      <c r="O109" s="78">
        <f t="shared" ca="1" si="6"/>
        <v>7</v>
      </c>
      <c r="P109" s="2" t="str">
        <f t="shared" ca="1" si="8"/>
        <v/>
      </c>
    </row>
    <row r="110" spans="1:16" hidden="1" x14ac:dyDescent="0.25">
      <c r="A110" s="290" t="s">
        <v>220</v>
      </c>
      <c r="B110" s="290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248</v>
      </c>
      <c r="N110" s="2" t="s">
        <v>249</v>
      </c>
      <c r="O110" s="78">
        <f t="shared" ca="1" si="6"/>
        <v>7</v>
      </c>
      <c r="P110" s="2" t="str">
        <f t="shared" ca="1" si="8"/>
        <v/>
      </c>
    </row>
    <row r="111" spans="1:16" hidden="1" x14ac:dyDescent="0.25">
      <c r="A111" s="290" t="s">
        <v>220</v>
      </c>
      <c r="B111" s="290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248</v>
      </c>
      <c r="N111" s="2" t="s">
        <v>249</v>
      </c>
      <c r="O111" s="78">
        <f t="shared" ca="1" si="6"/>
        <v>7</v>
      </c>
      <c r="P111" s="2" t="str">
        <f t="shared" ca="1" si="8"/>
        <v/>
      </c>
    </row>
    <row r="112" spans="1:16" hidden="1" x14ac:dyDescent="0.25">
      <c r="A112" s="290" t="s">
        <v>220</v>
      </c>
      <c r="B112" s="290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248</v>
      </c>
      <c r="N112" s="2" t="s">
        <v>249</v>
      </c>
      <c r="O112" s="78">
        <f t="shared" ca="1" si="6"/>
        <v>7</v>
      </c>
      <c r="P112" s="2" t="str">
        <f t="shared" ca="1" si="8"/>
        <v/>
      </c>
    </row>
    <row r="113" spans="1:16" hidden="1" x14ac:dyDescent="0.25">
      <c r="A113" s="290" t="s">
        <v>220</v>
      </c>
      <c r="B113" s="290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248</v>
      </c>
      <c r="N113" s="2" t="s">
        <v>249</v>
      </c>
      <c r="O113" s="78">
        <f t="shared" ca="1" si="6"/>
        <v>7</v>
      </c>
      <c r="P113" s="2" t="str">
        <f t="shared" ca="1" si="8"/>
        <v/>
      </c>
    </row>
    <row r="114" spans="1:16" hidden="1" x14ac:dyDescent="0.25">
      <c r="A114" s="290" t="s">
        <v>220</v>
      </c>
      <c r="B114" s="290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248</v>
      </c>
      <c r="N114" s="2" t="s">
        <v>249</v>
      </c>
      <c r="O114" s="78">
        <f t="shared" ca="1" si="6"/>
        <v>7</v>
      </c>
      <c r="P114" s="2" t="str">
        <f t="shared" ca="1" si="8"/>
        <v/>
      </c>
    </row>
    <row r="115" spans="1:16" hidden="1" x14ac:dyDescent="0.25">
      <c r="A115" s="290" t="s">
        <v>220</v>
      </c>
      <c r="B115" s="290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248</v>
      </c>
      <c r="N115" s="2" t="s">
        <v>249</v>
      </c>
      <c r="O115" s="78">
        <f t="shared" ca="1" si="6"/>
        <v>7</v>
      </c>
      <c r="P115" s="2" t="str">
        <f t="shared" ca="1" si="8"/>
        <v/>
      </c>
    </row>
    <row r="116" spans="1:16" hidden="1" x14ac:dyDescent="0.25">
      <c r="A116" s="290" t="s">
        <v>220</v>
      </c>
      <c r="B116" s="290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248</v>
      </c>
      <c r="N116" s="2" t="s">
        <v>249</v>
      </c>
      <c r="O116" s="78">
        <f t="shared" ca="1" si="6"/>
        <v>7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1" t="s">
        <v>357</v>
      </c>
      <c r="B117" s="290"/>
      <c r="H117" s="2">
        <f>SUM(Data!CS7:DS7)</f>
        <v>2</v>
      </c>
      <c r="L117" s="2" t="str">
        <f>""</f>
        <v/>
      </c>
      <c r="M117" s="2" t="s">
        <v>248</v>
      </c>
      <c r="N117" s="2" t="s">
        <v>249</v>
      </c>
      <c r="O117" s="78">
        <f t="shared" ca="1" si="6"/>
        <v>7</v>
      </c>
      <c r="P117" s="2" t="str">
        <f>IF(H117=0,"No Eagles in tournament","")</f>
        <v/>
      </c>
    </row>
    <row r="118" spans="1:16" s="65" customFormat="1" ht="15" hidden="1" customHeight="1" x14ac:dyDescent="0.25">
      <c r="A118" s="292" t="s">
        <v>55</v>
      </c>
      <c r="B118" s="292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4</v>
      </c>
      <c r="H118" s="65">
        <f ca="1">INDEX(OFFSET(Data!$CS$1:$DS$1,B118-1,0),MATCH("Total/"&amp;C118,Data!$CS$1:$DS$1,0))</f>
        <v>22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248</v>
      </c>
      <c r="N118" s="65" t="s">
        <v>249</v>
      </c>
      <c r="O118" s="65">
        <f t="shared" ca="1" si="6"/>
        <v>7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2" t="s">
        <v>55</v>
      </c>
      <c r="B119" s="292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4</v>
      </c>
      <c r="H119" s="65">
        <f ca="1">INDEX(OFFSET(Data!$CS$1:$DS$1,B119-1,0),MATCH("Total/"&amp;C119,Data!$CS$1:$DS$1,0))</f>
        <v>19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248</v>
      </c>
      <c r="N119" s="65" t="s">
        <v>249</v>
      </c>
      <c r="O119" s="65">
        <f t="shared" ca="1" si="6"/>
        <v>7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2" t="s">
        <v>55</v>
      </c>
      <c r="B120" s="292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4</v>
      </c>
      <c r="H120" s="65">
        <f ca="1">INDEX(OFFSET(Data!$CS$1:$DS$1,B120-1,0),MATCH("Total/"&amp;C120,Data!$CS$1:$DS$1,0))</f>
        <v>3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248</v>
      </c>
      <c r="N120" s="65" t="s">
        <v>249</v>
      </c>
      <c r="O120" s="65">
        <f t="shared" ca="1" si="6"/>
        <v>7</v>
      </c>
      <c r="P120" s="65" t="str">
        <f t="shared" ca="1" si="10"/>
        <v/>
      </c>
    </row>
    <row r="121" spans="1:16" s="65" customFormat="1" hidden="1" x14ac:dyDescent="0.25">
      <c r="A121" s="292" t="s">
        <v>55</v>
      </c>
      <c r="B121" s="292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17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248</v>
      </c>
      <c r="N121" s="65" t="s">
        <v>249</v>
      </c>
      <c r="O121" s="65">
        <f t="shared" ca="1" si="6"/>
        <v>7</v>
      </c>
      <c r="P121" s="65" t="str">
        <f t="shared" ca="1" si="10"/>
        <v/>
      </c>
    </row>
    <row r="122" spans="1:16" s="65" customFormat="1" hidden="1" x14ac:dyDescent="0.25">
      <c r="A122" s="292" t="s">
        <v>55</v>
      </c>
      <c r="B122" s="292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10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248</v>
      </c>
      <c r="N122" s="65" t="s">
        <v>249</v>
      </c>
      <c r="O122" s="65">
        <f t="shared" ca="1" si="6"/>
        <v>7</v>
      </c>
      <c r="P122" s="65" t="str">
        <f t="shared" ca="1" si="10"/>
        <v/>
      </c>
    </row>
    <row r="123" spans="1:16" s="65" customFormat="1" hidden="1" x14ac:dyDescent="0.25">
      <c r="A123" s="292" t="s">
        <v>55</v>
      </c>
      <c r="B123" s="292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5</v>
      </c>
      <c r="H123" s="65">
        <f ca="1">INDEX(OFFSET(Data!$CS$1:$DS$1,B123-1,0),MATCH("Total/"&amp;C123,Data!$CS$1:$DS$1,0))</f>
        <v>18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248</v>
      </c>
      <c r="N123" s="65" t="s">
        <v>249</v>
      </c>
      <c r="O123" s="65">
        <f t="shared" ca="1" si="6"/>
        <v>7</v>
      </c>
      <c r="P123" s="65" t="str">
        <f t="shared" ca="1" si="10"/>
        <v/>
      </c>
    </row>
    <row r="124" spans="1:16" s="65" customFormat="1" hidden="1" x14ac:dyDescent="0.25">
      <c r="A124" s="292" t="s">
        <v>55</v>
      </c>
      <c r="B124" s="292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11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248</v>
      </c>
      <c r="N124" s="65" t="s">
        <v>249</v>
      </c>
      <c r="O124" s="65">
        <f t="shared" ca="1" si="6"/>
        <v>7</v>
      </c>
      <c r="P124" s="65" t="str">
        <f t="shared" ca="1" si="10"/>
        <v/>
      </c>
    </row>
    <row r="125" spans="1:16" s="65" customFormat="1" hidden="1" x14ac:dyDescent="0.25">
      <c r="A125" s="292" t="s">
        <v>55</v>
      </c>
      <c r="B125" s="292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16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248</v>
      </c>
      <c r="N125" s="65" t="s">
        <v>249</v>
      </c>
      <c r="O125" s="65">
        <f t="shared" ca="1" si="6"/>
        <v>7</v>
      </c>
      <c r="P125" s="65" t="str">
        <f t="shared" ca="1" si="10"/>
        <v/>
      </c>
    </row>
    <row r="126" spans="1:16" s="65" customFormat="1" hidden="1" x14ac:dyDescent="0.25">
      <c r="A126" s="292" t="s">
        <v>55</v>
      </c>
      <c r="B126" s="292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13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248</v>
      </c>
      <c r="N126" s="65" t="s">
        <v>249</v>
      </c>
      <c r="O126" s="65">
        <f t="shared" ca="1" si="6"/>
        <v>7</v>
      </c>
      <c r="P126" s="65" t="str">
        <f t="shared" ca="1" si="10"/>
        <v/>
      </c>
    </row>
    <row r="127" spans="1:16" s="65" customFormat="1" hidden="1" x14ac:dyDescent="0.25">
      <c r="A127" s="292" t="s">
        <v>55</v>
      </c>
      <c r="B127" s="292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1</v>
      </c>
      <c r="I127" s="65">
        <f t="shared" ca="1" si="9"/>
        <v>2</v>
      </c>
      <c r="J127" s="65">
        <f t="array" aca="1" ref="J127" ca="1">IF(H127=1,MATCH(1,(OFFSET(Data!$DY$1:$IB$1,B127-1,0))*(Data!$DY$90:$IB$90=C127),0),"")</f>
        <v>10</v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>Reinhold Schachner / Round 1</v>
      </c>
      <c r="M127" s="65" t="s">
        <v>248</v>
      </c>
      <c r="N127" s="65" t="s">
        <v>249</v>
      </c>
      <c r="O127" s="65">
        <f t="shared" ca="1" si="6"/>
        <v>8</v>
      </c>
      <c r="P127" s="65" t="str">
        <f t="shared" ca="1" si="10"/>
        <v>Only 1 Birdie on hole 10 (par 3)</v>
      </c>
    </row>
    <row r="128" spans="1:16" s="65" customFormat="1" hidden="1" x14ac:dyDescent="0.25">
      <c r="A128" s="292" t="s">
        <v>55</v>
      </c>
      <c r="B128" s="292">
        <f>MATCH(A128,Data!$DT:$DT,0)</f>
        <v>8</v>
      </c>
      <c r="C128" s="65">
        <f>INDEX(Parameter!$9:$9,,MATCH(11,Parameter!$8:$8,0))</f>
        <v>12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14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248</v>
      </c>
      <c r="N128" s="65" t="s">
        <v>249</v>
      </c>
      <c r="O128" s="65">
        <f t="shared" ca="1" si="6"/>
        <v>8</v>
      </c>
      <c r="P128" s="65" t="str">
        <f t="shared" ca="1" si="10"/>
        <v/>
      </c>
    </row>
    <row r="129" spans="1:16" s="65" customFormat="1" hidden="1" x14ac:dyDescent="0.25">
      <c r="A129" s="292" t="s">
        <v>55</v>
      </c>
      <c r="B129" s="292">
        <f>MATCH(A129,Data!$DT:$DT,0)</f>
        <v>8</v>
      </c>
      <c r="C129" s="65">
        <f>INDEX(Parameter!$9:$9,,MATCH(12,Parameter!$8:$8,0))</f>
        <v>14</v>
      </c>
      <c r="D129" s="65">
        <f>INDEX(Parameter!$B$10:$AB$10,MATCH(C129,Parameter!$B$9:$AB$9,0))</f>
        <v>4</v>
      </c>
      <c r="H129" s="65">
        <f ca="1">INDEX(OFFSET(Data!$CS$1:$DS$1,B129-1,0),MATCH("Total/"&amp;C129,Data!$CS$1:$DS$1,0))</f>
        <v>4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248</v>
      </c>
      <c r="N129" s="65" t="s">
        <v>249</v>
      </c>
      <c r="O129" s="65">
        <f t="shared" ca="1" si="6"/>
        <v>8</v>
      </c>
      <c r="P129" s="65" t="str">
        <f t="shared" ca="1" si="10"/>
        <v/>
      </c>
    </row>
    <row r="130" spans="1:16" s="65" customFormat="1" hidden="1" x14ac:dyDescent="0.25">
      <c r="A130" s="292" t="s">
        <v>55</v>
      </c>
      <c r="B130" s="292">
        <f>MATCH(A130,Data!$DT:$DT,0)</f>
        <v>8</v>
      </c>
      <c r="C130" s="65">
        <f>INDEX(Parameter!$9:$9,,MATCH(13,Parameter!$8:$8,0))</f>
        <v>15</v>
      </c>
      <c r="D130" s="65">
        <f>INDEX(Parameter!$B$10:$AB$10,MATCH(C130,Parameter!$B$9:$AB$9,0))</f>
        <v>4</v>
      </c>
      <c r="H130" s="65">
        <f ca="1">INDEX(OFFSET(Data!$CS$1:$DS$1,B130-1,0),MATCH("Total/"&amp;C130,Data!$CS$1:$DS$1,0))</f>
        <v>16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248</v>
      </c>
      <c r="N130" s="65" t="s">
        <v>249</v>
      </c>
      <c r="O130" s="65">
        <f t="shared" ca="1" si="6"/>
        <v>8</v>
      </c>
      <c r="P130" s="65" t="str">
        <f t="shared" ca="1" si="10"/>
        <v/>
      </c>
    </row>
    <row r="131" spans="1:16" s="65" customFormat="1" hidden="1" x14ac:dyDescent="0.25">
      <c r="A131" s="292" t="s">
        <v>55</v>
      </c>
      <c r="B131" s="292">
        <f>MATCH(A131,Data!$DT:$DT,0)</f>
        <v>8</v>
      </c>
      <c r="C131" s="65">
        <f>INDEX(Parameter!$9:$9,,MATCH(14,Parameter!$8:$8,0))</f>
        <v>16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23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248</v>
      </c>
      <c r="N131" s="65" t="s">
        <v>249</v>
      </c>
      <c r="O131" s="65">
        <f t="shared" ca="1" si="6"/>
        <v>8</v>
      </c>
      <c r="P131" s="65" t="str">
        <f t="shared" ca="1" si="10"/>
        <v/>
      </c>
    </row>
    <row r="132" spans="1:16" s="65" customFormat="1" hidden="1" x14ac:dyDescent="0.25">
      <c r="A132" s="292" t="s">
        <v>55</v>
      </c>
      <c r="B132" s="292">
        <f>MATCH(A132,Data!$DT:$DT,0)</f>
        <v>8</v>
      </c>
      <c r="C132" s="65">
        <f>INDEX(Parameter!$9:$9,,MATCH(15,Parameter!$8:$8,0))</f>
        <v>17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3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248</v>
      </c>
      <c r="N132" s="65" t="s">
        <v>249</v>
      </c>
      <c r="O132" s="65">
        <f t="shared" ref="O132:O195" ca="1" si="12">IF(AND($P132&lt;&gt;"",$N132="yes"),O131+1,O131)</f>
        <v>8</v>
      </c>
      <c r="P132" s="65" t="str">
        <f t="shared" ca="1" si="10"/>
        <v/>
      </c>
    </row>
    <row r="133" spans="1:16" s="65" customFormat="1" hidden="1" x14ac:dyDescent="0.25">
      <c r="A133" s="292" t="s">
        <v>55</v>
      </c>
      <c r="B133" s="292">
        <f>MATCH(A133,Data!$DT:$DT,0)</f>
        <v>8</v>
      </c>
      <c r="C133" s="65">
        <f>INDEX(Parameter!$9:$9,,MATCH(16,Parameter!$8:$8,0))</f>
        <v>18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20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/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248</v>
      </c>
      <c r="N133" s="65" t="s">
        <v>249</v>
      </c>
      <c r="O133" s="65">
        <f t="shared" ca="1" si="12"/>
        <v>8</v>
      </c>
      <c r="P133" s="65" t="str">
        <f t="shared" ca="1" si="10"/>
        <v/>
      </c>
    </row>
    <row r="134" spans="1:16" s="65" customFormat="1" hidden="1" x14ac:dyDescent="0.25">
      <c r="A134" s="292" t="s">
        <v>55</v>
      </c>
      <c r="B134" s="292">
        <f>MATCH(A134,Data!$DT:$DT,0)</f>
        <v>8</v>
      </c>
      <c r="C134" s="65" t="str">
        <f>INDEX(Parameter!$9:$9,,MATCH(17,Parameter!$8:$8,0))</f>
        <v>17a</v>
      </c>
      <c r="D134" s="65" t="str">
        <f>INDEX(Parameter!$B$10:$AB$10,MATCH(C134,Parameter!$B$9:$AB$9,0))</f>
        <v>no</v>
      </c>
      <c r="H134" s="65">
        <f ca="1">INDEX(OFFSET(Data!$CS$1:$DS$1,B134-1,0),MATCH("Total/"&amp;C134,Data!$CS$1:$DS$1,0))</f>
        <v>0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/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248</v>
      </c>
      <c r="N134" s="65" t="s">
        <v>249</v>
      </c>
      <c r="O134" s="65">
        <f t="shared" ca="1" si="12"/>
        <v>8</v>
      </c>
      <c r="P134" s="65" t="str">
        <f t="shared" ca="1" si="10"/>
        <v/>
      </c>
    </row>
    <row r="135" spans="1:16" s="65" customFormat="1" hidden="1" x14ac:dyDescent="0.25">
      <c r="A135" s="292" t="s">
        <v>55</v>
      </c>
      <c r="B135" s="292">
        <f>MATCH(A135,Data!$DT:$DT,0)</f>
        <v>8</v>
      </c>
      <c r="C135" s="65" t="str">
        <f>INDEX(Parameter!$9:$9,,MATCH(18,Parameter!$8:$8,0))</f>
        <v>18a</v>
      </c>
      <c r="D135" s="65" t="str">
        <f>INDEX(Parameter!$B$10:$AB$10,MATCH(C135,Parameter!$B$9:$AB$9,0))</f>
        <v>no</v>
      </c>
      <c r="H135" s="65">
        <f ca="1">INDEX(OFFSET(Data!$CS$1:$DS$1,B135-1,0),MATCH("Total/"&amp;C135,Data!$CS$1:$DS$1,0))</f>
        <v>0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/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248</v>
      </c>
      <c r="N135" s="65" t="s">
        <v>249</v>
      </c>
      <c r="O135" s="65">
        <f t="shared" ca="1" si="12"/>
        <v>8</v>
      </c>
      <c r="P135" s="65" t="str">
        <f t="shared" ca="1" si="10"/>
        <v/>
      </c>
    </row>
    <row r="136" spans="1:16" s="65" customFormat="1" hidden="1" x14ac:dyDescent="0.25">
      <c r="A136" s="292" t="s">
        <v>55</v>
      </c>
      <c r="B136" s="292">
        <f>MATCH(A136,Data!$DT:$DT,0)</f>
        <v>8</v>
      </c>
      <c r="C136" s="65">
        <f>INDEX(Parameter!$9:$9,,MATCH(19,Parameter!$8:$8,0))</f>
        <v>19</v>
      </c>
      <c r="D136" s="65" t="str">
        <f>INDEX(Parameter!$B$10:$AB$10,MATCH(C136,Parameter!$B$9:$AB$9,0))</f>
        <v>no</v>
      </c>
      <c r="H136" s="65">
        <f ca="1">INDEX(OFFSET(Data!$CS$1:$DS$1,B136-1,0),MATCH("Total/"&amp;C136,Data!$CS$1:$DS$1,0))</f>
        <v>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/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248</v>
      </c>
      <c r="N136" s="65" t="s">
        <v>249</v>
      </c>
      <c r="O136" s="65">
        <f t="shared" ca="1" si="12"/>
        <v>8</v>
      </c>
      <c r="P136" s="65" t="str">
        <f t="shared" ca="1" si="10"/>
        <v/>
      </c>
    </row>
    <row r="137" spans="1:16" s="65" customFormat="1" hidden="1" x14ac:dyDescent="0.25">
      <c r="A137" s="292" t="s">
        <v>55</v>
      </c>
      <c r="B137" s="292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/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248</v>
      </c>
      <c r="N137" s="65" t="s">
        <v>249</v>
      </c>
      <c r="O137" s="65">
        <f t="shared" ca="1" si="12"/>
        <v>8</v>
      </c>
      <c r="P137" s="65" t="str">
        <f t="shared" ca="1" si="10"/>
        <v/>
      </c>
    </row>
    <row r="138" spans="1:16" s="65" customFormat="1" hidden="1" x14ac:dyDescent="0.25">
      <c r="A138" s="292" t="s">
        <v>55</v>
      </c>
      <c r="B138" s="292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/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248</v>
      </c>
      <c r="N138" s="65" t="s">
        <v>249</v>
      </c>
      <c r="O138" s="65">
        <f t="shared" ca="1" si="12"/>
        <v>8</v>
      </c>
      <c r="P138" s="65" t="str">
        <f t="shared" ca="1" si="10"/>
        <v/>
      </c>
    </row>
    <row r="139" spans="1:16" s="65" customFormat="1" hidden="1" x14ac:dyDescent="0.25">
      <c r="A139" s="292" t="s">
        <v>55</v>
      </c>
      <c r="B139" s="292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/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248</v>
      </c>
      <c r="N139" s="65" t="s">
        <v>249</v>
      </c>
      <c r="O139" s="65">
        <f t="shared" ca="1" si="12"/>
        <v>8</v>
      </c>
      <c r="P139" s="65" t="str">
        <f t="shared" ca="1" si="10"/>
        <v/>
      </c>
    </row>
    <row r="140" spans="1:16" s="65" customFormat="1" hidden="1" x14ac:dyDescent="0.25">
      <c r="A140" s="292" t="s">
        <v>55</v>
      </c>
      <c r="B140" s="292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/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248</v>
      </c>
      <c r="N140" s="65" t="s">
        <v>249</v>
      </c>
      <c r="O140" s="65">
        <f t="shared" ca="1" si="12"/>
        <v>8</v>
      </c>
      <c r="P140" s="65" t="str">
        <f t="shared" ca="1" si="10"/>
        <v/>
      </c>
    </row>
    <row r="141" spans="1:16" s="65" customFormat="1" hidden="1" x14ac:dyDescent="0.25">
      <c r="A141" s="292" t="s">
        <v>55</v>
      </c>
      <c r="B141" s="292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/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248</v>
      </c>
      <c r="N141" s="65" t="s">
        <v>249</v>
      </c>
      <c r="O141" s="65">
        <f t="shared" ca="1" si="12"/>
        <v>8</v>
      </c>
      <c r="P141" s="65" t="str">
        <f t="shared" ca="1" si="10"/>
        <v/>
      </c>
    </row>
    <row r="142" spans="1:16" s="65" customFormat="1" hidden="1" x14ac:dyDescent="0.25">
      <c r="A142" s="292" t="s">
        <v>55</v>
      </c>
      <c r="B142" s="292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/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248</v>
      </c>
      <c r="N142" s="65" t="s">
        <v>249</v>
      </c>
      <c r="O142" s="65">
        <f t="shared" ca="1" si="12"/>
        <v>8</v>
      </c>
      <c r="P142" s="65" t="str">
        <f t="shared" ca="1" si="10"/>
        <v/>
      </c>
    </row>
    <row r="143" spans="1:16" s="65" customFormat="1" hidden="1" x14ac:dyDescent="0.25">
      <c r="A143" s="292" t="s">
        <v>55</v>
      </c>
      <c r="B143" s="292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/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248</v>
      </c>
      <c r="N143" s="65" t="s">
        <v>249</v>
      </c>
      <c r="O143" s="65">
        <f t="shared" ca="1" si="12"/>
        <v>8</v>
      </c>
      <c r="P143" s="65" t="str">
        <f t="shared" ca="1" si="10"/>
        <v/>
      </c>
    </row>
    <row r="144" spans="1:16" s="65" customFormat="1" hidden="1" x14ac:dyDescent="0.25">
      <c r="A144" s="292" t="s">
        <v>55</v>
      </c>
      <c r="B144" s="292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/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248</v>
      </c>
      <c r="N144" s="65" t="s">
        <v>249</v>
      </c>
      <c r="O144" s="65">
        <f t="shared" ca="1" si="12"/>
        <v>8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3" t="s">
        <v>358</v>
      </c>
      <c r="B145" s="292"/>
      <c r="K145" s="65" t="str">
        <f ca="1">K144</f>
        <v/>
      </c>
      <c r="L145" s="65" t="str">
        <f>""</f>
        <v/>
      </c>
      <c r="M145" s="65" t="s">
        <v>248</v>
      </c>
      <c r="N145" s="65" t="s">
        <v>249</v>
      </c>
      <c r="O145" s="65">
        <f t="shared" ca="1" si="12"/>
        <v>8</v>
      </c>
      <c r="P145" s="65" t="str">
        <f ca="1">IF(K145="","","No Birdies on hole(s) "&amp;K145)</f>
        <v/>
      </c>
    </row>
    <row r="146" spans="1:16" s="78" customFormat="1" ht="15" hidden="1" customHeight="1" x14ac:dyDescent="0.25">
      <c r="A146" s="295" t="s">
        <v>57</v>
      </c>
      <c r="B146" s="295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4</v>
      </c>
      <c r="H146" s="78">
        <f ca="1">INDEX(OFFSET(Data!$CS$1:$DS$1,B146-1,0),MATCH("Total/"&amp;C146,Data!$CS$1:$DS$1,0))</f>
        <v>14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248</v>
      </c>
      <c r="N146" s="78" t="s">
        <v>249</v>
      </c>
      <c r="O146" s="78">
        <f t="shared" ca="1" si="12"/>
        <v>8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5" t="s">
        <v>57</v>
      </c>
      <c r="B147" s="295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4</v>
      </c>
      <c r="H147" s="78">
        <f ca="1">INDEX(OFFSET(Data!$CS$1:$DS$1,B147-1,0),MATCH("Total/"&amp;C147,Data!$CS$1:$DS$1,0))</f>
        <v>25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248</v>
      </c>
      <c r="N147" s="78" t="s">
        <v>249</v>
      </c>
      <c r="O147" s="78">
        <f t="shared" ca="1" si="12"/>
        <v>8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5" t="s">
        <v>57</v>
      </c>
      <c r="B148" s="295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4</v>
      </c>
      <c r="H148" s="78">
        <f ca="1">INDEX(OFFSET(Data!$CS$1:$DS$1,B148-1,0),MATCH("Total/"&amp;C148,Data!$CS$1:$DS$1,0))</f>
        <v>43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248</v>
      </c>
      <c r="N148" s="78" t="s">
        <v>249</v>
      </c>
      <c r="O148" s="78">
        <f t="shared" ca="1" si="12"/>
        <v>8</v>
      </c>
      <c r="P148" s="78" t="str">
        <f t="shared" ca="1" si="14"/>
        <v/>
      </c>
    </row>
    <row r="149" spans="1:16" s="78" customFormat="1" hidden="1" x14ac:dyDescent="0.25">
      <c r="A149" s="295" t="s">
        <v>57</v>
      </c>
      <c r="B149" s="295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15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248</v>
      </c>
      <c r="N149" s="78" t="s">
        <v>249</v>
      </c>
      <c r="O149" s="78">
        <f t="shared" ca="1" si="12"/>
        <v>8</v>
      </c>
      <c r="P149" s="78" t="str">
        <f t="shared" ca="1" si="14"/>
        <v/>
      </c>
    </row>
    <row r="150" spans="1:16" s="78" customFormat="1" hidden="1" x14ac:dyDescent="0.25">
      <c r="A150" s="295" t="s">
        <v>57</v>
      </c>
      <c r="B150" s="295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29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248</v>
      </c>
      <c r="N150" s="78" t="s">
        <v>249</v>
      </c>
      <c r="O150" s="78">
        <f t="shared" ca="1" si="12"/>
        <v>8</v>
      </c>
      <c r="P150" s="78" t="str">
        <f t="shared" ca="1" si="14"/>
        <v/>
      </c>
    </row>
    <row r="151" spans="1:16" s="78" customFormat="1" hidden="1" x14ac:dyDescent="0.25">
      <c r="A151" s="295" t="s">
        <v>57</v>
      </c>
      <c r="B151" s="295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5</v>
      </c>
      <c r="H151" s="78">
        <f ca="1">INDEX(OFFSET(Data!$CS$1:$DS$1,B151-1,0),MATCH("Total/"&amp;C151,Data!$CS$1:$DS$1,0))</f>
        <v>22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248</v>
      </c>
      <c r="N151" s="78" t="s">
        <v>249</v>
      </c>
      <c r="O151" s="78">
        <f t="shared" ca="1" si="12"/>
        <v>8</v>
      </c>
      <c r="P151" s="78" t="str">
        <f t="shared" ca="1" si="14"/>
        <v/>
      </c>
    </row>
    <row r="152" spans="1:16" s="78" customFormat="1" hidden="1" x14ac:dyDescent="0.25">
      <c r="A152" s="295" t="s">
        <v>57</v>
      </c>
      <c r="B152" s="295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27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248</v>
      </c>
      <c r="N152" s="78" t="s">
        <v>249</v>
      </c>
      <c r="O152" s="78">
        <f t="shared" ca="1" si="12"/>
        <v>8</v>
      </c>
      <c r="P152" s="78" t="str">
        <f t="shared" ca="1" si="14"/>
        <v/>
      </c>
    </row>
    <row r="153" spans="1:16" s="78" customFormat="1" hidden="1" x14ac:dyDescent="0.25">
      <c r="A153" s="295" t="s">
        <v>57</v>
      </c>
      <c r="B153" s="295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17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248</v>
      </c>
      <c r="N153" s="78" t="s">
        <v>249</v>
      </c>
      <c r="O153" s="78">
        <f t="shared" ca="1" si="12"/>
        <v>8</v>
      </c>
      <c r="P153" s="78" t="str">
        <f t="shared" ca="1" si="14"/>
        <v/>
      </c>
    </row>
    <row r="154" spans="1:16" s="78" customFormat="1" hidden="1" x14ac:dyDescent="0.25">
      <c r="A154" s="295" t="s">
        <v>57</v>
      </c>
      <c r="B154" s="295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37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248</v>
      </c>
      <c r="N154" s="78" t="s">
        <v>249</v>
      </c>
      <c r="O154" s="78">
        <f t="shared" ca="1" si="12"/>
        <v>8</v>
      </c>
      <c r="P154" s="78" t="str">
        <f t="shared" ca="1" si="14"/>
        <v/>
      </c>
    </row>
    <row r="155" spans="1:16" s="78" customFormat="1" hidden="1" x14ac:dyDescent="0.25">
      <c r="A155" s="295" t="s">
        <v>57</v>
      </c>
      <c r="B155" s="295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37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248</v>
      </c>
      <c r="N155" s="78" t="s">
        <v>249</v>
      </c>
      <c r="O155" s="78">
        <f t="shared" ca="1" si="12"/>
        <v>8</v>
      </c>
      <c r="P155" s="78" t="str">
        <f t="shared" ca="1" si="14"/>
        <v/>
      </c>
    </row>
    <row r="156" spans="1:16" s="78" customFormat="1" hidden="1" x14ac:dyDescent="0.25">
      <c r="A156" s="295" t="s">
        <v>57</v>
      </c>
      <c r="B156" s="295">
        <f>MATCH(A156,Data!$DT:$DT,0)</f>
        <v>10</v>
      </c>
      <c r="C156" s="78">
        <f>INDEX(Parameter!$9:$9,,MATCH(11,Parameter!$8:$8,0))</f>
        <v>12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13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248</v>
      </c>
      <c r="N156" s="78" t="s">
        <v>249</v>
      </c>
      <c r="O156" s="78">
        <f t="shared" ca="1" si="12"/>
        <v>8</v>
      </c>
      <c r="P156" s="78" t="str">
        <f t="shared" ca="1" si="14"/>
        <v/>
      </c>
    </row>
    <row r="157" spans="1:16" s="78" customFormat="1" hidden="1" x14ac:dyDescent="0.25">
      <c r="A157" s="295" t="s">
        <v>57</v>
      </c>
      <c r="B157" s="295">
        <f>MATCH(A157,Data!$DT:$DT,0)</f>
        <v>10</v>
      </c>
      <c r="C157" s="78">
        <f>INDEX(Parameter!$9:$9,,MATCH(12,Parameter!$8:$8,0))</f>
        <v>14</v>
      </c>
      <c r="D157" s="78">
        <f>INDEX(Parameter!$B$10:$AB$10,MATCH(C157,Parameter!$B$9:$AB$9,0))</f>
        <v>4</v>
      </c>
      <c r="H157" s="78">
        <f ca="1">INDEX(OFFSET(Data!$CS$1:$DS$1,B157-1,0),MATCH("Total/"&amp;C157,Data!$CS$1:$DS$1,0))</f>
        <v>23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248</v>
      </c>
      <c r="N157" s="78" t="s">
        <v>249</v>
      </c>
      <c r="O157" s="78">
        <f t="shared" ca="1" si="12"/>
        <v>8</v>
      </c>
      <c r="P157" s="78" t="str">
        <f t="shared" ca="1" si="14"/>
        <v/>
      </c>
    </row>
    <row r="158" spans="1:16" s="78" customFormat="1" hidden="1" x14ac:dyDescent="0.25">
      <c r="A158" s="295" t="s">
        <v>57</v>
      </c>
      <c r="B158" s="295">
        <f>MATCH(A158,Data!$DT:$DT,0)</f>
        <v>10</v>
      </c>
      <c r="C158" s="78">
        <f>INDEX(Parameter!$9:$9,,MATCH(13,Parameter!$8:$8,0))</f>
        <v>15</v>
      </c>
      <c r="D158" s="78">
        <f>INDEX(Parameter!$B$10:$AB$10,MATCH(C158,Parameter!$B$9:$AB$9,0))</f>
        <v>4</v>
      </c>
      <c r="H158" s="78">
        <f ca="1">INDEX(OFFSET(Data!$CS$1:$DS$1,B158-1,0),MATCH("Total/"&amp;C158,Data!$CS$1:$DS$1,0))</f>
        <v>27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248</v>
      </c>
      <c r="N158" s="78" t="s">
        <v>249</v>
      </c>
      <c r="O158" s="78">
        <f t="shared" ca="1" si="12"/>
        <v>8</v>
      </c>
      <c r="P158" s="78" t="str">
        <f t="shared" ca="1" si="14"/>
        <v/>
      </c>
    </row>
    <row r="159" spans="1:16" s="78" customFormat="1" hidden="1" x14ac:dyDescent="0.25">
      <c r="A159" s="295" t="s">
        <v>57</v>
      </c>
      <c r="B159" s="295">
        <f>MATCH(A159,Data!$DT:$DT,0)</f>
        <v>10</v>
      </c>
      <c r="C159" s="78">
        <f>INDEX(Parameter!$9:$9,,MATCH(14,Parameter!$8:$8,0))</f>
        <v>16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45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248</v>
      </c>
      <c r="N159" s="78" t="s">
        <v>249</v>
      </c>
      <c r="O159" s="78">
        <f t="shared" ca="1" si="12"/>
        <v>8</v>
      </c>
      <c r="P159" s="78" t="str">
        <f t="shared" ca="1" si="14"/>
        <v/>
      </c>
    </row>
    <row r="160" spans="1:16" s="78" customFormat="1" hidden="1" x14ac:dyDescent="0.25">
      <c r="A160" s="295" t="s">
        <v>57</v>
      </c>
      <c r="B160" s="295">
        <f>MATCH(A160,Data!$DT:$DT,0)</f>
        <v>10</v>
      </c>
      <c r="C160" s="78">
        <f>INDEX(Parameter!$9:$9,,MATCH(15,Parameter!$8:$8,0))</f>
        <v>17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31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248</v>
      </c>
      <c r="N160" s="78" t="s">
        <v>249</v>
      </c>
      <c r="O160" s="78">
        <f t="shared" ca="1" si="12"/>
        <v>8</v>
      </c>
      <c r="P160" s="78" t="str">
        <f t="shared" ca="1" si="14"/>
        <v/>
      </c>
    </row>
    <row r="161" spans="1:16" s="78" customFormat="1" hidden="1" x14ac:dyDescent="0.25">
      <c r="A161" s="295" t="s">
        <v>57</v>
      </c>
      <c r="B161" s="295">
        <f>MATCH(A161,Data!$DT:$DT,0)</f>
        <v>10</v>
      </c>
      <c r="C161" s="78">
        <f>INDEX(Parameter!$9:$9,,MATCH(16,Parameter!$8:$8,0))</f>
        <v>18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30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248</v>
      </c>
      <c r="N161" s="78" t="s">
        <v>249</v>
      </c>
      <c r="O161" s="78">
        <f t="shared" ca="1" si="12"/>
        <v>8</v>
      </c>
      <c r="P161" s="78" t="str">
        <f t="shared" ca="1" si="14"/>
        <v/>
      </c>
    </row>
    <row r="162" spans="1:16" s="78" customFormat="1" hidden="1" x14ac:dyDescent="0.25">
      <c r="A162" s="295" t="s">
        <v>57</v>
      </c>
      <c r="B162" s="295">
        <f>MATCH(A162,Data!$DT:$DT,0)</f>
        <v>10</v>
      </c>
      <c r="C162" s="78" t="str">
        <f>INDEX(Parameter!$9:$9,,MATCH(17,Parameter!$8:$8,0))</f>
        <v>17a</v>
      </c>
      <c r="D162" s="78" t="str">
        <f>INDEX(Parameter!$B$10:$AB$10,MATCH(C162,Parameter!$B$9:$AB$9,0))</f>
        <v>no</v>
      </c>
      <c r="H162" s="78">
        <f ca="1">INDEX(OFFSET(Data!$CS$1:$DS$1,B162-1,0),MATCH("Total/"&amp;C162,Data!$CS$1:$DS$1,0))</f>
        <v>0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248</v>
      </c>
      <c r="N162" s="78" t="s">
        <v>249</v>
      </c>
      <c r="O162" s="78">
        <f t="shared" ca="1" si="12"/>
        <v>8</v>
      </c>
      <c r="P162" s="78" t="str">
        <f t="shared" ca="1" si="14"/>
        <v/>
      </c>
    </row>
    <row r="163" spans="1:16" s="78" customFormat="1" hidden="1" x14ac:dyDescent="0.25">
      <c r="A163" s="295" t="s">
        <v>57</v>
      </c>
      <c r="B163" s="295">
        <f>MATCH(A163,Data!$DT:$DT,0)</f>
        <v>10</v>
      </c>
      <c r="C163" s="78" t="str">
        <f>INDEX(Parameter!$9:$9,,MATCH(18,Parameter!$8:$8,0))</f>
        <v>18a</v>
      </c>
      <c r="D163" s="78" t="str">
        <f>INDEX(Parameter!$B$10:$AB$10,MATCH(C163,Parameter!$B$9:$AB$9,0))</f>
        <v>no</v>
      </c>
      <c r="H163" s="78">
        <f ca="1">INDEX(OFFSET(Data!$CS$1:$DS$1,B163-1,0),MATCH("Total/"&amp;C163,Data!$CS$1:$DS$1,0))</f>
        <v>0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248</v>
      </c>
      <c r="N163" s="78" t="s">
        <v>249</v>
      </c>
      <c r="O163" s="78">
        <f t="shared" ca="1" si="12"/>
        <v>8</v>
      </c>
      <c r="P163" s="78" t="str">
        <f t="shared" ca="1" si="14"/>
        <v/>
      </c>
    </row>
    <row r="164" spans="1:16" s="78" customFormat="1" hidden="1" x14ac:dyDescent="0.25">
      <c r="A164" s="295" t="s">
        <v>57</v>
      </c>
      <c r="B164" s="295">
        <f>MATCH(A164,Data!$DT:$DT,0)</f>
        <v>10</v>
      </c>
      <c r="C164" s="78">
        <f>INDEX(Parameter!$9:$9,,MATCH(19,Parameter!$8:$8,0))</f>
        <v>19</v>
      </c>
      <c r="D164" s="78" t="str">
        <f>INDEX(Parameter!$B$10:$AB$10,MATCH(C164,Parameter!$B$9:$AB$9,0))</f>
        <v>no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248</v>
      </c>
      <c r="N164" s="78" t="s">
        <v>249</v>
      </c>
      <c r="O164" s="78">
        <f t="shared" ca="1" si="12"/>
        <v>8</v>
      </c>
      <c r="P164" s="78" t="str">
        <f t="shared" ca="1" si="14"/>
        <v/>
      </c>
    </row>
    <row r="165" spans="1:16" s="78" customFormat="1" hidden="1" x14ac:dyDescent="0.25">
      <c r="A165" s="295" t="s">
        <v>57</v>
      </c>
      <c r="B165" s="295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248</v>
      </c>
      <c r="N165" s="78" t="s">
        <v>249</v>
      </c>
      <c r="O165" s="78">
        <f t="shared" ca="1" si="12"/>
        <v>8</v>
      </c>
      <c r="P165" s="78" t="str">
        <f t="shared" ca="1" si="14"/>
        <v/>
      </c>
    </row>
    <row r="166" spans="1:16" s="78" customFormat="1" hidden="1" x14ac:dyDescent="0.25">
      <c r="A166" s="295" t="s">
        <v>57</v>
      </c>
      <c r="B166" s="295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248</v>
      </c>
      <c r="N166" s="78" t="s">
        <v>249</v>
      </c>
      <c r="O166" s="78">
        <f t="shared" ca="1" si="12"/>
        <v>8</v>
      </c>
      <c r="P166" s="78" t="str">
        <f t="shared" ca="1" si="14"/>
        <v/>
      </c>
    </row>
    <row r="167" spans="1:16" s="78" customFormat="1" hidden="1" x14ac:dyDescent="0.25">
      <c r="A167" s="295" t="s">
        <v>57</v>
      </c>
      <c r="B167" s="295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248</v>
      </c>
      <c r="N167" s="78" t="s">
        <v>249</v>
      </c>
      <c r="O167" s="78">
        <f t="shared" ca="1" si="12"/>
        <v>8</v>
      </c>
      <c r="P167" s="78" t="str">
        <f t="shared" ca="1" si="14"/>
        <v/>
      </c>
    </row>
    <row r="168" spans="1:16" s="78" customFormat="1" hidden="1" x14ac:dyDescent="0.25">
      <c r="A168" s="295" t="s">
        <v>57</v>
      </c>
      <c r="B168" s="295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248</v>
      </c>
      <c r="N168" s="78" t="s">
        <v>249</v>
      </c>
      <c r="O168" s="78">
        <f t="shared" ca="1" si="12"/>
        <v>8</v>
      </c>
      <c r="P168" s="78" t="str">
        <f t="shared" ca="1" si="14"/>
        <v/>
      </c>
    </row>
    <row r="169" spans="1:16" s="78" customFormat="1" hidden="1" x14ac:dyDescent="0.25">
      <c r="A169" s="295" t="s">
        <v>57</v>
      </c>
      <c r="B169" s="295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248</v>
      </c>
      <c r="N169" s="78" t="s">
        <v>249</v>
      </c>
      <c r="O169" s="78">
        <f t="shared" ca="1" si="12"/>
        <v>8</v>
      </c>
      <c r="P169" s="78" t="str">
        <f t="shared" ca="1" si="14"/>
        <v/>
      </c>
    </row>
    <row r="170" spans="1:16" s="78" customFormat="1" hidden="1" x14ac:dyDescent="0.25">
      <c r="A170" s="295" t="s">
        <v>57</v>
      </c>
      <c r="B170" s="295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248</v>
      </c>
      <c r="N170" s="78" t="s">
        <v>249</v>
      </c>
      <c r="O170" s="78">
        <f t="shared" ca="1" si="12"/>
        <v>8</v>
      </c>
      <c r="P170" s="78" t="str">
        <f t="shared" ca="1" si="14"/>
        <v/>
      </c>
    </row>
    <row r="171" spans="1:16" s="78" customFormat="1" hidden="1" x14ac:dyDescent="0.25">
      <c r="A171" s="295" t="s">
        <v>57</v>
      </c>
      <c r="B171" s="295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248</v>
      </c>
      <c r="N171" s="78" t="s">
        <v>249</v>
      </c>
      <c r="O171" s="78">
        <f t="shared" ca="1" si="12"/>
        <v>8</v>
      </c>
      <c r="P171" s="78" t="str">
        <f t="shared" ca="1" si="14"/>
        <v/>
      </c>
    </row>
    <row r="172" spans="1:16" s="78" customFormat="1" hidden="1" x14ac:dyDescent="0.25">
      <c r="A172" s="295" t="s">
        <v>57</v>
      </c>
      <c r="B172" s="295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248</v>
      </c>
      <c r="N172" s="78" t="s">
        <v>249</v>
      </c>
      <c r="O172" s="78">
        <f t="shared" ca="1" si="12"/>
        <v>8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4" t="s">
        <v>359</v>
      </c>
      <c r="B173" s="295"/>
      <c r="K173" s="78" t="str">
        <f ca="1">K172</f>
        <v/>
      </c>
      <c r="L173" s="78" t="str">
        <f>""</f>
        <v/>
      </c>
      <c r="M173" s="78" t="s">
        <v>248</v>
      </c>
      <c r="N173" s="78" t="s">
        <v>249</v>
      </c>
      <c r="O173" s="78">
        <f t="shared" ca="1" si="12"/>
        <v>8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7" t="s">
        <v>98</v>
      </c>
      <c r="B174" s="292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4</v>
      </c>
      <c r="H174" s="65">
        <f ca="1">INDEX(OFFSET(Data!$CS$1:$DS$1,B174-1,0),MATCH("Total/"&amp;C174,Data!$CS$1:$DS$1,0))</f>
        <v>12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248</v>
      </c>
      <c r="N174" s="65" t="s">
        <v>249</v>
      </c>
      <c r="O174" s="65">
        <f t="shared" ca="1" si="12"/>
        <v>8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7" t="s">
        <v>98</v>
      </c>
      <c r="B175" s="292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4</v>
      </c>
      <c r="H175" s="65">
        <f ca="1">INDEX(OFFSET(Data!$CS$1:$DS$1,B175-1,0),MATCH("Total/"&amp;C175,Data!$CS$1:$DS$1,0))</f>
        <v>13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248</v>
      </c>
      <c r="N175" s="65" t="s">
        <v>249</v>
      </c>
      <c r="O175" s="65">
        <f t="shared" ca="1" si="12"/>
        <v>8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7" t="s">
        <v>98</v>
      </c>
      <c r="B176" s="292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4</v>
      </c>
      <c r="H176" s="65">
        <f ca="1">INDEX(OFFSET(Data!$CS$1:$DS$1,B176-1,0),MATCH("Total/"&amp;C176,Data!$CS$1:$DS$1,0))</f>
        <v>21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248</v>
      </c>
      <c r="N176" s="65" t="s">
        <v>249</v>
      </c>
      <c r="O176" s="65">
        <f t="shared" ca="1" si="12"/>
        <v>8</v>
      </c>
      <c r="P176" s="65" t="str">
        <f t="shared" ca="1" si="17"/>
        <v/>
      </c>
    </row>
    <row r="177" spans="1:16" s="65" customFormat="1" hidden="1" x14ac:dyDescent="0.25">
      <c r="A177" s="287" t="s">
        <v>98</v>
      </c>
      <c r="B177" s="292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5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248</v>
      </c>
      <c r="N177" s="65" t="s">
        <v>249</v>
      </c>
      <c r="O177" s="65">
        <f t="shared" ca="1" si="12"/>
        <v>8</v>
      </c>
      <c r="P177" s="65" t="str">
        <f t="shared" ca="1" si="17"/>
        <v/>
      </c>
    </row>
    <row r="178" spans="1:16" s="65" customFormat="1" hidden="1" x14ac:dyDescent="0.25">
      <c r="A178" s="287" t="s">
        <v>98</v>
      </c>
      <c r="B178" s="292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6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248</v>
      </c>
      <c r="N178" s="65" t="s">
        <v>249</v>
      </c>
      <c r="O178" s="65">
        <f t="shared" ca="1" si="12"/>
        <v>8</v>
      </c>
      <c r="P178" s="65" t="str">
        <f t="shared" ca="1" si="17"/>
        <v/>
      </c>
    </row>
    <row r="179" spans="1:16" s="65" customFormat="1" hidden="1" x14ac:dyDescent="0.25">
      <c r="A179" s="287" t="s">
        <v>98</v>
      </c>
      <c r="B179" s="292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5</v>
      </c>
      <c r="H179" s="65">
        <f ca="1">INDEX(OFFSET(Data!$CS$1:$DS$1,B179-1,0),MATCH("Total/"&amp;C179,Data!$CS$1:$DS$1,0))</f>
        <v>13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248</v>
      </c>
      <c r="N179" s="65" t="s">
        <v>249</v>
      </c>
      <c r="O179" s="65">
        <f t="shared" ca="1" si="12"/>
        <v>8</v>
      </c>
      <c r="P179" s="65" t="str">
        <f t="shared" ca="1" si="17"/>
        <v/>
      </c>
    </row>
    <row r="180" spans="1:16" s="65" customFormat="1" hidden="1" x14ac:dyDescent="0.25">
      <c r="A180" s="287" t="s">
        <v>98</v>
      </c>
      <c r="B180" s="292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9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248</v>
      </c>
      <c r="N180" s="65" t="s">
        <v>249</v>
      </c>
      <c r="O180" s="65">
        <f t="shared" ca="1" si="12"/>
        <v>8</v>
      </c>
      <c r="P180" s="65" t="str">
        <f t="shared" ca="1" si="17"/>
        <v/>
      </c>
    </row>
    <row r="181" spans="1:16" s="65" customFormat="1" hidden="1" x14ac:dyDescent="0.25">
      <c r="A181" s="287" t="s">
        <v>98</v>
      </c>
      <c r="B181" s="292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3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248</v>
      </c>
      <c r="N181" s="65" t="s">
        <v>249</v>
      </c>
      <c r="O181" s="65">
        <f t="shared" ca="1" si="12"/>
        <v>8</v>
      </c>
      <c r="P181" s="65" t="str">
        <f t="shared" ca="1" si="17"/>
        <v/>
      </c>
    </row>
    <row r="182" spans="1:16" s="65" customFormat="1" hidden="1" x14ac:dyDescent="0.25">
      <c r="A182" s="287" t="s">
        <v>98</v>
      </c>
      <c r="B182" s="292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8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248</v>
      </c>
      <c r="N182" s="65" t="s">
        <v>249</v>
      </c>
      <c r="O182" s="65">
        <f t="shared" ca="1" si="12"/>
        <v>8</v>
      </c>
      <c r="P182" s="65" t="str">
        <f t="shared" ca="1" si="17"/>
        <v/>
      </c>
    </row>
    <row r="183" spans="1:16" s="65" customFormat="1" hidden="1" x14ac:dyDescent="0.25">
      <c r="A183" s="287" t="s">
        <v>98</v>
      </c>
      <c r="B183" s="292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13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248</v>
      </c>
      <c r="N183" s="65" t="s">
        <v>249</v>
      </c>
      <c r="O183" s="65">
        <f t="shared" ca="1" si="12"/>
        <v>8</v>
      </c>
      <c r="P183" s="65" t="str">
        <f t="shared" ca="1" si="17"/>
        <v/>
      </c>
    </row>
    <row r="184" spans="1:16" s="65" customFormat="1" hidden="1" x14ac:dyDescent="0.25">
      <c r="A184" s="287" t="s">
        <v>98</v>
      </c>
      <c r="B184" s="292">
        <f>MATCH(A184,Data!$DT:$DT,0)</f>
        <v>12</v>
      </c>
      <c r="C184" s="65">
        <f>INDEX(Parameter!$9:$9,,MATCH(11,Parameter!$8:$8,0))</f>
        <v>12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3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248</v>
      </c>
      <c r="N184" s="65" t="s">
        <v>249</v>
      </c>
      <c r="O184" s="65">
        <f t="shared" ca="1" si="12"/>
        <v>8</v>
      </c>
      <c r="P184" s="65" t="str">
        <f t="shared" ca="1" si="17"/>
        <v/>
      </c>
    </row>
    <row r="185" spans="1:16" s="65" customFormat="1" hidden="1" x14ac:dyDescent="0.25">
      <c r="A185" s="287" t="s">
        <v>98</v>
      </c>
      <c r="B185" s="292">
        <f>MATCH(A185,Data!$DT:$DT,0)</f>
        <v>12</v>
      </c>
      <c r="C185" s="65">
        <f>INDEX(Parameter!$9:$9,,MATCH(12,Parameter!$8:$8,0))</f>
        <v>14</v>
      </c>
      <c r="D185" s="65">
        <f>INDEX(Parameter!$B$10:$AB$10,MATCH(C185,Parameter!$B$9:$AB$9,0))</f>
        <v>4</v>
      </c>
      <c r="H185" s="65">
        <f ca="1">INDEX(OFFSET(Data!$CS$1:$DS$1,B185-1,0),MATCH("Total/"&amp;C185,Data!$CS$1:$DS$1,0))</f>
        <v>19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248</v>
      </c>
      <c r="N185" s="65" t="s">
        <v>249</v>
      </c>
      <c r="O185" s="65">
        <f t="shared" ca="1" si="12"/>
        <v>8</v>
      </c>
      <c r="P185" s="65" t="str">
        <f t="shared" ca="1" si="17"/>
        <v/>
      </c>
    </row>
    <row r="186" spans="1:16" s="65" customFormat="1" hidden="1" x14ac:dyDescent="0.25">
      <c r="A186" s="287" t="s">
        <v>98</v>
      </c>
      <c r="B186" s="292">
        <f>MATCH(A186,Data!$DT:$DT,0)</f>
        <v>12</v>
      </c>
      <c r="C186" s="65">
        <f>INDEX(Parameter!$9:$9,,MATCH(13,Parameter!$8:$8,0))</f>
        <v>15</v>
      </c>
      <c r="D186" s="65">
        <f>INDEX(Parameter!$B$10:$AB$10,MATCH(C186,Parameter!$B$9:$AB$9,0))</f>
        <v>4</v>
      </c>
      <c r="H186" s="65">
        <f ca="1">INDEX(OFFSET(Data!$CS$1:$DS$1,B186-1,0),MATCH("Total/"&amp;C186,Data!$CS$1:$DS$1,0))</f>
        <v>7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248</v>
      </c>
      <c r="N186" s="65" t="s">
        <v>249</v>
      </c>
      <c r="O186" s="65">
        <f t="shared" ca="1" si="12"/>
        <v>8</v>
      </c>
      <c r="P186" s="65" t="str">
        <f t="shared" ca="1" si="17"/>
        <v/>
      </c>
    </row>
    <row r="187" spans="1:16" s="65" customFormat="1" hidden="1" x14ac:dyDescent="0.25">
      <c r="A187" s="287" t="s">
        <v>98</v>
      </c>
      <c r="B187" s="292">
        <f>MATCH(A187,Data!$DT:$DT,0)</f>
        <v>12</v>
      </c>
      <c r="C187" s="65">
        <f>INDEX(Parameter!$9:$9,,MATCH(14,Parameter!$8:$8,0))</f>
        <v>16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7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248</v>
      </c>
      <c r="N187" s="65" t="s">
        <v>249</v>
      </c>
      <c r="O187" s="65">
        <f t="shared" ca="1" si="12"/>
        <v>8</v>
      </c>
      <c r="P187" s="65" t="str">
        <f t="shared" ca="1" si="17"/>
        <v/>
      </c>
    </row>
    <row r="188" spans="1:16" s="65" customFormat="1" hidden="1" x14ac:dyDescent="0.25">
      <c r="A188" s="287" t="s">
        <v>98</v>
      </c>
      <c r="B188" s="292">
        <f>MATCH(A188,Data!$DT:$DT,0)</f>
        <v>12</v>
      </c>
      <c r="C188" s="65">
        <f>INDEX(Parameter!$9:$9,,MATCH(15,Parameter!$8:$8,0))</f>
        <v>17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15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248</v>
      </c>
      <c r="N188" s="65" t="s">
        <v>249</v>
      </c>
      <c r="O188" s="65">
        <f t="shared" ca="1" si="12"/>
        <v>8</v>
      </c>
      <c r="P188" s="65" t="str">
        <f t="shared" ca="1" si="17"/>
        <v/>
      </c>
    </row>
    <row r="189" spans="1:16" s="65" customFormat="1" hidden="1" x14ac:dyDescent="0.25">
      <c r="A189" s="287" t="s">
        <v>98</v>
      </c>
      <c r="B189" s="292">
        <f>MATCH(A189,Data!$DT:$DT,0)</f>
        <v>12</v>
      </c>
      <c r="C189" s="65">
        <f>INDEX(Parameter!$9:$9,,MATCH(16,Parameter!$8:$8,0))</f>
        <v>18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3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248</v>
      </c>
      <c r="N189" s="65" t="s">
        <v>249</v>
      </c>
      <c r="O189" s="65">
        <f t="shared" ca="1" si="12"/>
        <v>8</v>
      </c>
      <c r="P189" s="65" t="str">
        <f t="shared" ca="1" si="17"/>
        <v/>
      </c>
    </row>
    <row r="190" spans="1:16" s="65" customFormat="1" hidden="1" x14ac:dyDescent="0.25">
      <c r="A190" s="287" t="s">
        <v>98</v>
      </c>
      <c r="B190" s="292">
        <f>MATCH(A190,Data!$DT:$DT,0)</f>
        <v>12</v>
      </c>
      <c r="C190" s="65" t="str">
        <f>INDEX(Parameter!$9:$9,,MATCH(17,Parameter!$8:$8,0))</f>
        <v>17a</v>
      </c>
      <c r="D190" s="65" t="str">
        <f>INDEX(Parameter!$B$10:$AB$10,MATCH(C190,Parameter!$B$9:$AB$9,0))</f>
        <v>no</v>
      </c>
      <c r="H190" s="65">
        <f ca="1">INDEX(OFFSET(Data!$CS$1:$DS$1,B190-1,0),MATCH("Total/"&amp;C190,Data!$CS$1:$DS$1,0))</f>
        <v>0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248</v>
      </c>
      <c r="N190" s="65" t="s">
        <v>249</v>
      </c>
      <c r="O190" s="65">
        <f t="shared" ca="1" si="12"/>
        <v>8</v>
      </c>
      <c r="P190" s="65" t="str">
        <f t="shared" ca="1" si="17"/>
        <v/>
      </c>
    </row>
    <row r="191" spans="1:16" s="65" customFormat="1" hidden="1" x14ac:dyDescent="0.25">
      <c r="A191" s="287" t="s">
        <v>98</v>
      </c>
      <c r="B191" s="292">
        <f>MATCH(A191,Data!$DT:$DT,0)</f>
        <v>12</v>
      </c>
      <c r="C191" s="65" t="str">
        <f>INDEX(Parameter!$9:$9,,MATCH(18,Parameter!$8:$8,0))</f>
        <v>18a</v>
      </c>
      <c r="D191" s="65" t="str">
        <f>INDEX(Parameter!$B$10:$AB$10,MATCH(C191,Parameter!$B$9:$AB$9,0))</f>
        <v>no</v>
      </c>
      <c r="H191" s="65">
        <f ca="1">INDEX(OFFSET(Data!$CS$1:$DS$1,B191-1,0),MATCH("Total/"&amp;C191,Data!$CS$1:$DS$1,0))</f>
        <v>0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248</v>
      </c>
      <c r="N191" s="65" t="s">
        <v>249</v>
      </c>
      <c r="O191" s="65">
        <f t="shared" ca="1" si="12"/>
        <v>8</v>
      </c>
      <c r="P191" s="65" t="str">
        <f t="shared" ca="1" si="17"/>
        <v/>
      </c>
    </row>
    <row r="192" spans="1:16" s="65" customFormat="1" hidden="1" x14ac:dyDescent="0.25">
      <c r="A192" s="287" t="s">
        <v>98</v>
      </c>
      <c r="B192" s="292">
        <f>MATCH(A192,Data!$DT:$DT,0)</f>
        <v>12</v>
      </c>
      <c r="C192" s="65">
        <f>INDEX(Parameter!$9:$9,,MATCH(19,Parameter!$8:$8,0))</f>
        <v>19</v>
      </c>
      <c r="D192" s="65" t="str">
        <f>INDEX(Parameter!$B$10:$AB$10,MATCH(C192,Parameter!$B$9:$AB$9,0))</f>
        <v>no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248</v>
      </c>
      <c r="N192" s="65" t="s">
        <v>249</v>
      </c>
      <c r="O192" s="65">
        <f t="shared" ca="1" si="12"/>
        <v>8</v>
      </c>
      <c r="P192" s="65" t="str">
        <f t="shared" ca="1" si="17"/>
        <v/>
      </c>
    </row>
    <row r="193" spans="1:16" s="65" customFormat="1" hidden="1" x14ac:dyDescent="0.25">
      <c r="A193" s="287" t="s">
        <v>98</v>
      </c>
      <c r="B193" s="292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248</v>
      </c>
      <c r="N193" s="65" t="s">
        <v>249</v>
      </c>
      <c r="O193" s="65">
        <f t="shared" ca="1" si="12"/>
        <v>8</v>
      </c>
      <c r="P193" s="65" t="str">
        <f t="shared" ca="1" si="17"/>
        <v/>
      </c>
    </row>
    <row r="194" spans="1:16" s="65" customFormat="1" hidden="1" x14ac:dyDescent="0.25">
      <c r="A194" s="287" t="s">
        <v>98</v>
      </c>
      <c r="B194" s="292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248</v>
      </c>
      <c r="N194" s="65" t="s">
        <v>249</v>
      </c>
      <c r="O194" s="65">
        <f t="shared" ca="1" si="12"/>
        <v>8</v>
      </c>
      <c r="P194" s="65" t="str">
        <f t="shared" ca="1" si="17"/>
        <v/>
      </c>
    </row>
    <row r="195" spans="1:16" s="65" customFormat="1" hidden="1" x14ac:dyDescent="0.25">
      <c r="A195" s="287" t="s">
        <v>98</v>
      </c>
      <c r="B195" s="292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248</v>
      </c>
      <c r="N195" s="65" t="s">
        <v>249</v>
      </c>
      <c r="O195" s="65">
        <f t="shared" ca="1" si="12"/>
        <v>8</v>
      </c>
      <c r="P195" s="65" t="str">
        <f t="shared" ca="1" si="17"/>
        <v/>
      </c>
    </row>
    <row r="196" spans="1:16" s="65" customFormat="1" hidden="1" x14ac:dyDescent="0.25">
      <c r="A196" s="287" t="s">
        <v>98</v>
      </c>
      <c r="B196" s="292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248</v>
      </c>
      <c r="N196" s="65" t="s">
        <v>249</v>
      </c>
      <c r="O196" s="65">
        <f t="shared" ref="O196:O259" ca="1" si="19">IF(AND($P196&lt;&gt;"",$N196="yes"),O195+1,O195)</f>
        <v>8</v>
      </c>
      <c r="P196" s="65" t="str">
        <f t="shared" ca="1" si="17"/>
        <v/>
      </c>
    </row>
    <row r="197" spans="1:16" s="65" customFormat="1" hidden="1" x14ac:dyDescent="0.25">
      <c r="A197" s="287" t="s">
        <v>98</v>
      </c>
      <c r="B197" s="292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248</v>
      </c>
      <c r="N197" s="65" t="s">
        <v>249</v>
      </c>
      <c r="O197" s="65">
        <f t="shared" ca="1" si="19"/>
        <v>8</v>
      </c>
      <c r="P197" s="65" t="str">
        <f t="shared" ca="1" si="17"/>
        <v/>
      </c>
    </row>
    <row r="198" spans="1:16" s="65" customFormat="1" hidden="1" x14ac:dyDescent="0.25">
      <c r="A198" s="287" t="s">
        <v>98</v>
      </c>
      <c r="B198" s="292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248</v>
      </c>
      <c r="N198" s="65" t="s">
        <v>249</v>
      </c>
      <c r="O198" s="65">
        <f t="shared" ca="1" si="19"/>
        <v>8</v>
      </c>
      <c r="P198" s="65" t="str">
        <f t="shared" ca="1" si="17"/>
        <v/>
      </c>
    </row>
    <row r="199" spans="1:16" s="65" customFormat="1" hidden="1" x14ac:dyDescent="0.25">
      <c r="A199" s="287" t="s">
        <v>98</v>
      </c>
      <c r="B199" s="292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248</v>
      </c>
      <c r="N199" s="65" t="s">
        <v>249</v>
      </c>
      <c r="O199" s="65">
        <f t="shared" ca="1" si="19"/>
        <v>8</v>
      </c>
      <c r="P199" s="65" t="str">
        <f t="shared" ca="1" si="17"/>
        <v/>
      </c>
    </row>
    <row r="200" spans="1:16" s="65" customFormat="1" hidden="1" x14ac:dyDescent="0.25">
      <c r="A200" s="287" t="s">
        <v>98</v>
      </c>
      <c r="B200" s="292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248</v>
      </c>
      <c r="N200" s="65" t="s">
        <v>249</v>
      </c>
      <c r="O200" s="65">
        <f t="shared" ca="1" si="19"/>
        <v>8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3" t="s">
        <v>360</v>
      </c>
      <c r="B201" s="292"/>
      <c r="K201" s="65" t="str">
        <f ca="1">K200</f>
        <v/>
      </c>
      <c r="L201" s="65" t="str">
        <f>""</f>
        <v/>
      </c>
      <c r="M201" s="65" t="s">
        <v>248</v>
      </c>
      <c r="N201" s="65" t="s">
        <v>249</v>
      </c>
      <c r="O201" s="65">
        <f t="shared" ca="1" si="19"/>
        <v>8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5" t="s">
        <v>60</v>
      </c>
      <c r="B202" s="295" t="s">
        <v>252</v>
      </c>
      <c r="C202" s="78" t="s">
        <v>252</v>
      </c>
      <c r="D202" s="78" t="s">
        <v>218</v>
      </c>
      <c r="E202" s="78" t="s">
        <v>219</v>
      </c>
      <c r="F202" s="78" t="s">
        <v>219</v>
      </c>
      <c r="G202" s="78" t="s">
        <v>220</v>
      </c>
      <c r="H202" s="78" t="s">
        <v>220</v>
      </c>
      <c r="I202" s="78" t="s">
        <v>55</v>
      </c>
      <c r="J202" s="78" t="s">
        <v>358</v>
      </c>
      <c r="K202" s="78" t="s">
        <v>57</v>
      </c>
      <c r="L202" s="78" t="s">
        <v>98</v>
      </c>
      <c r="M202" s="78" t="s">
        <v>98</v>
      </c>
      <c r="N202" s="78" t="s">
        <v>99</v>
      </c>
      <c r="O202" s="78" t="s">
        <v>99</v>
      </c>
      <c r="P202" s="78" t="s">
        <v>100</v>
      </c>
    </row>
    <row r="203" spans="1:16" s="78" customFormat="1" x14ac:dyDescent="0.25">
      <c r="A203" s="315" t="s">
        <v>247</v>
      </c>
      <c r="B203" s="295" t="s">
        <v>252</v>
      </c>
      <c r="C203" s="78" t="s">
        <v>252</v>
      </c>
      <c r="D203" s="78" t="s">
        <v>218</v>
      </c>
      <c r="E203" s="78" t="s">
        <v>219</v>
      </c>
      <c r="F203" s="78" t="s">
        <v>219</v>
      </c>
      <c r="G203" s="78" t="s">
        <v>220</v>
      </c>
      <c r="H203" s="78" t="s">
        <v>220</v>
      </c>
      <c r="I203" s="78" t="s">
        <v>55</v>
      </c>
      <c r="J203" s="78" t="s">
        <v>57</v>
      </c>
      <c r="K203" s="78" t="s">
        <v>57</v>
      </c>
      <c r="L203" s="78" t="s">
        <v>98</v>
      </c>
      <c r="M203" s="78" t="s">
        <v>98</v>
      </c>
      <c r="N203" s="78" t="s">
        <v>99</v>
      </c>
      <c r="O203" s="78" t="s">
        <v>99</v>
      </c>
      <c r="P203" s="78" t="s">
        <v>100</v>
      </c>
    </row>
    <row r="204" spans="1:16" s="78" customFormat="1" x14ac:dyDescent="0.25">
      <c r="A204" s="315" t="s">
        <v>250</v>
      </c>
      <c r="B204" s="295" t="s">
        <v>252</v>
      </c>
      <c r="C204" s="78" t="s">
        <v>218</v>
      </c>
      <c r="D204" s="78" t="s">
        <v>218</v>
      </c>
      <c r="E204" s="78" t="s">
        <v>219</v>
      </c>
      <c r="F204" s="78" t="s">
        <v>219</v>
      </c>
      <c r="G204" s="78" t="s">
        <v>220</v>
      </c>
      <c r="H204" s="78" t="s">
        <v>220</v>
      </c>
      <c r="I204" s="78" t="s">
        <v>55</v>
      </c>
      <c r="J204" s="78" t="s">
        <v>57</v>
      </c>
      <c r="K204" s="78" t="s">
        <v>57</v>
      </c>
      <c r="L204" s="78" t="s">
        <v>98</v>
      </c>
      <c r="M204" s="78" t="s">
        <v>98</v>
      </c>
      <c r="N204" s="78" t="s">
        <v>99</v>
      </c>
      <c r="O204" s="78" t="s">
        <v>99</v>
      </c>
      <c r="P204" s="78" t="s">
        <v>100</v>
      </c>
    </row>
    <row r="205" spans="1:16" s="78" customFormat="1" x14ac:dyDescent="0.25">
      <c r="A205" s="315" t="s">
        <v>251</v>
      </c>
      <c r="B205" s="295" t="s">
        <v>252</v>
      </c>
      <c r="C205" s="78" t="s">
        <v>218</v>
      </c>
      <c r="D205" s="78" t="s">
        <v>218</v>
      </c>
      <c r="E205" s="78" t="s">
        <v>219</v>
      </c>
      <c r="F205" s="78" t="s">
        <v>219</v>
      </c>
      <c r="G205" s="78" t="s">
        <v>220</v>
      </c>
      <c r="H205" s="78" t="s">
        <v>220</v>
      </c>
      <c r="I205" s="78" t="s">
        <v>55</v>
      </c>
      <c r="J205" s="78" t="s">
        <v>57</v>
      </c>
      <c r="K205" s="78" t="s">
        <v>57</v>
      </c>
      <c r="L205" s="78" t="s">
        <v>98</v>
      </c>
      <c r="M205" s="78" t="s">
        <v>98</v>
      </c>
      <c r="N205" s="78" t="s">
        <v>99</v>
      </c>
      <c r="O205" s="78" t="s">
        <v>99</v>
      </c>
      <c r="P205" s="78" t="s">
        <v>100</v>
      </c>
    </row>
    <row r="206" spans="1:16" s="78" customFormat="1" x14ac:dyDescent="0.25">
      <c r="A206" s="315" t="s">
        <v>302</v>
      </c>
      <c r="B206" s="295" t="s">
        <v>252</v>
      </c>
      <c r="C206" s="78" t="s">
        <v>218</v>
      </c>
      <c r="D206" s="78" t="s">
        <v>218</v>
      </c>
      <c r="E206" s="78" t="s">
        <v>219</v>
      </c>
      <c r="F206" s="78" t="s">
        <v>219</v>
      </c>
      <c r="G206" s="78" t="s">
        <v>220</v>
      </c>
      <c r="H206" s="78" t="s">
        <v>357</v>
      </c>
      <c r="I206" s="78" t="s">
        <v>55</v>
      </c>
      <c r="J206" s="78" t="s">
        <v>57</v>
      </c>
      <c r="K206" s="78" t="s">
        <v>57</v>
      </c>
      <c r="L206" s="78" t="s">
        <v>98</v>
      </c>
      <c r="M206" s="78" t="s">
        <v>98</v>
      </c>
      <c r="N206" s="78" t="s">
        <v>99</v>
      </c>
      <c r="O206" s="78" t="s">
        <v>361</v>
      </c>
      <c r="P206" s="78" t="s">
        <v>100</v>
      </c>
    </row>
    <row r="207" spans="1:16" s="78" customFormat="1" x14ac:dyDescent="0.25">
      <c r="A207" s="315" t="s">
        <v>288</v>
      </c>
      <c r="B207" s="295" t="s">
        <v>252</v>
      </c>
      <c r="C207" s="78" t="s">
        <v>218</v>
      </c>
      <c r="D207" s="78" t="s">
        <v>218</v>
      </c>
      <c r="E207" s="78" t="s">
        <v>219</v>
      </c>
      <c r="F207" s="78" t="s">
        <v>219</v>
      </c>
      <c r="G207" s="78" t="s">
        <v>220</v>
      </c>
      <c r="H207" s="78" t="s">
        <v>55</v>
      </c>
      <c r="I207" s="78" t="s">
        <v>55</v>
      </c>
      <c r="J207" s="78" t="s">
        <v>57</v>
      </c>
      <c r="K207" s="78" t="s">
        <v>57</v>
      </c>
      <c r="L207" s="78" t="s">
        <v>98</v>
      </c>
      <c r="M207" s="78" t="s">
        <v>98</v>
      </c>
      <c r="N207" s="78" t="s">
        <v>99</v>
      </c>
      <c r="O207" s="78" t="s">
        <v>100</v>
      </c>
      <c r="P207" s="78" t="s">
        <v>100</v>
      </c>
    </row>
    <row r="208" spans="1:16" s="78" customFormat="1" x14ac:dyDescent="0.25">
      <c r="A208" s="315" t="s">
        <v>289</v>
      </c>
      <c r="B208" s="295" t="s">
        <v>252</v>
      </c>
      <c r="C208" s="78" t="s">
        <v>218</v>
      </c>
      <c r="D208" s="78" t="s">
        <v>218</v>
      </c>
      <c r="E208" s="78" t="s">
        <v>219</v>
      </c>
      <c r="F208" s="78" t="s">
        <v>219</v>
      </c>
      <c r="G208" s="78" t="s">
        <v>220</v>
      </c>
      <c r="H208" s="78" t="s">
        <v>55</v>
      </c>
      <c r="I208" s="78" t="s">
        <v>55</v>
      </c>
      <c r="J208" s="78" t="s">
        <v>57</v>
      </c>
      <c r="K208" s="78" t="s">
        <v>57</v>
      </c>
      <c r="L208" s="78" t="s">
        <v>98</v>
      </c>
      <c r="M208" s="78" t="s">
        <v>98</v>
      </c>
      <c r="N208" s="78" t="s">
        <v>99</v>
      </c>
      <c r="O208" s="78" t="s">
        <v>100</v>
      </c>
      <c r="P208" s="78" t="s">
        <v>100</v>
      </c>
    </row>
    <row r="209" spans="1:16" s="78" customFormat="1" x14ac:dyDescent="0.25">
      <c r="A209" s="315" t="s">
        <v>252</v>
      </c>
      <c r="B209" s="295" t="s">
        <v>252</v>
      </c>
      <c r="C209" s="78" t="s">
        <v>218</v>
      </c>
      <c r="D209" s="78" t="s">
        <v>218</v>
      </c>
      <c r="E209" s="78" t="s">
        <v>219</v>
      </c>
      <c r="F209" s="78" t="s">
        <v>219</v>
      </c>
      <c r="G209" s="78" t="s">
        <v>220</v>
      </c>
      <c r="H209" s="78" t="s">
        <v>55</v>
      </c>
      <c r="I209" s="78" t="s">
        <v>55</v>
      </c>
      <c r="J209" s="78" t="s">
        <v>57</v>
      </c>
      <c r="K209" s="78" t="s">
        <v>57</v>
      </c>
      <c r="L209" s="78" t="s">
        <v>98</v>
      </c>
      <c r="M209" s="78" t="s">
        <v>98</v>
      </c>
      <c r="N209" s="78" t="s">
        <v>99</v>
      </c>
      <c r="O209" s="78" t="s">
        <v>100</v>
      </c>
      <c r="P209" s="78" t="s">
        <v>100</v>
      </c>
    </row>
    <row r="210" spans="1:16" s="78" customFormat="1" x14ac:dyDescent="0.25">
      <c r="A210" s="315" t="s">
        <v>252</v>
      </c>
      <c r="B210" s="295" t="s">
        <v>252</v>
      </c>
      <c r="C210" s="78" t="s">
        <v>218</v>
      </c>
      <c r="D210" s="78" t="s">
        <v>218</v>
      </c>
      <c r="E210" s="78" t="s">
        <v>219</v>
      </c>
      <c r="F210" s="78" t="s">
        <v>219</v>
      </c>
      <c r="G210" s="78" t="s">
        <v>220</v>
      </c>
      <c r="H210" s="78" t="s">
        <v>55</v>
      </c>
      <c r="I210" s="78" t="s">
        <v>55</v>
      </c>
      <c r="J210" s="78" t="s">
        <v>57</v>
      </c>
      <c r="K210" s="78" t="s">
        <v>57</v>
      </c>
      <c r="L210" s="78" t="s">
        <v>98</v>
      </c>
      <c r="M210" s="78" t="s">
        <v>360</v>
      </c>
      <c r="N210" s="78" t="s">
        <v>99</v>
      </c>
      <c r="O210" s="78" t="s">
        <v>100</v>
      </c>
      <c r="P210" s="78" t="s">
        <v>100</v>
      </c>
    </row>
    <row r="211" spans="1:16" s="78" customFormat="1" x14ac:dyDescent="0.25">
      <c r="A211" s="315" t="s">
        <v>252</v>
      </c>
      <c r="B211" s="295" t="s">
        <v>252</v>
      </c>
      <c r="C211" s="78" t="s">
        <v>218</v>
      </c>
      <c r="D211" s="78" t="s">
        <v>218</v>
      </c>
      <c r="E211" s="78" t="s">
        <v>219</v>
      </c>
      <c r="F211" s="78" t="s">
        <v>220</v>
      </c>
      <c r="G211" s="78" t="s">
        <v>220</v>
      </c>
      <c r="H211" s="78" t="s">
        <v>55</v>
      </c>
      <c r="I211" s="78" t="s">
        <v>55</v>
      </c>
      <c r="J211" s="78" t="s">
        <v>57</v>
      </c>
      <c r="K211" s="78" t="s">
        <v>57</v>
      </c>
      <c r="L211" s="78" t="s">
        <v>98</v>
      </c>
      <c r="M211" s="78" t="s">
        <v>99</v>
      </c>
      <c r="N211" s="78" t="s">
        <v>99</v>
      </c>
      <c r="O211" s="78" t="s">
        <v>100</v>
      </c>
      <c r="P211" s="78" t="s">
        <v>100</v>
      </c>
    </row>
    <row r="212" spans="1:16" s="78" customFormat="1" x14ac:dyDescent="0.25">
      <c r="A212" s="315" t="s">
        <v>252</v>
      </c>
      <c r="B212" s="295" t="s">
        <v>252</v>
      </c>
      <c r="C212" s="78" t="s">
        <v>218</v>
      </c>
      <c r="D212" s="78" t="s">
        <v>218</v>
      </c>
      <c r="E212" s="78" t="s">
        <v>219</v>
      </c>
      <c r="F212" s="78" t="s">
        <v>220</v>
      </c>
      <c r="G212" s="78" t="s">
        <v>220</v>
      </c>
      <c r="H212" s="78" t="s">
        <v>55</v>
      </c>
      <c r="I212" s="78" t="s">
        <v>55</v>
      </c>
      <c r="J212" s="78" t="s">
        <v>57</v>
      </c>
      <c r="K212" s="78" t="s">
        <v>57</v>
      </c>
      <c r="L212" s="78" t="s">
        <v>98</v>
      </c>
      <c r="M212" s="78" t="s">
        <v>99</v>
      </c>
      <c r="N212" s="78" t="s">
        <v>99</v>
      </c>
      <c r="O212" s="78" t="s">
        <v>100</v>
      </c>
      <c r="P212" s="78" t="s">
        <v>100</v>
      </c>
    </row>
    <row r="213" spans="1:16" s="78" customFormat="1" x14ac:dyDescent="0.25">
      <c r="A213" s="315" t="s">
        <v>252</v>
      </c>
      <c r="B213" s="295" t="s">
        <v>252</v>
      </c>
      <c r="C213" s="78" t="s">
        <v>218</v>
      </c>
      <c r="D213" s="78" t="s">
        <v>218</v>
      </c>
      <c r="E213" s="78" t="s">
        <v>219</v>
      </c>
      <c r="F213" s="78" t="s">
        <v>220</v>
      </c>
      <c r="G213" s="78" t="s">
        <v>220</v>
      </c>
      <c r="H213" s="78" t="s">
        <v>55</v>
      </c>
      <c r="I213" s="78" t="s">
        <v>55</v>
      </c>
      <c r="J213" s="78" t="s">
        <v>57</v>
      </c>
      <c r="K213" s="78" t="s">
        <v>57</v>
      </c>
      <c r="L213" s="78" t="s">
        <v>98</v>
      </c>
      <c r="M213" s="78" t="s">
        <v>99</v>
      </c>
      <c r="N213" s="78" t="s">
        <v>99</v>
      </c>
      <c r="O213" s="78" t="s">
        <v>100</v>
      </c>
      <c r="P213" s="78" t="s">
        <v>100</v>
      </c>
    </row>
    <row r="214" spans="1:16" s="78" customFormat="1" x14ac:dyDescent="0.25">
      <c r="A214" s="315" t="s">
        <v>252</v>
      </c>
      <c r="B214" s="295" t="s">
        <v>252</v>
      </c>
      <c r="C214" s="78" t="s">
        <v>218</v>
      </c>
      <c r="D214" s="78" t="s">
        <v>218</v>
      </c>
      <c r="E214" s="78" t="s">
        <v>219</v>
      </c>
      <c r="F214" s="78" t="s">
        <v>220</v>
      </c>
      <c r="G214" s="78" t="s">
        <v>220</v>
      </c>
      <c r="H214" s="78" t="s">
        <v>55</v>
      </c>
      <c r="I214" s="78" t="s">
        <v>55</v>
      </c>
      <c r="J214" s="78" t="s">
        <v>57</v>
      </c>
      <c r="K214" s="78" t="s">
        <v>359</v>
      </c>
      <c r="L214" s="78" t="s">
        <v>98</v>
      </c>
      <c r="M214" s="78" t="s">
        <v>99</v>
      </c>
      <c r="N214" s="78" t="s">
        <v>99</v>
      </c>
      <c r="O214" s="78" t="s">
        <v>100</v>
      </c>
      <c r="P214" s="78" t="s">
        <v>100</v>
      </c>
    </row>
    <row r="215" spans="1:16" s="78" customFormat="1" x14ac:dyDescent="0.25">
      <c r="A215" s="315" t="s">
        <v>252</v>
      </c>
      <c r="B215" s="295" t="s">
        <v>252</v>
      </c>
      <c r="C215" s="78" t="s">
        <v>218</v>
      </c>
      <c r="D215" s="78" t="s">
        <v>356</v>
      </c>
      <c r="E215" s="78" t="s">
        <v>219</v>
      </c>
      <c r="F215" s="78" t="s">
        <v>220</v>
      </c>
      <c r="G215" s="78" t="s">
        <v>220</v>
      </c>
      <c r="H215" s="78" t="s">
        <v>55</v>
      </c>
      <c r="I215" s="78" t="s">
        <v>55</v>
      </c>
      <c r="J215" s="78" t="s">
        <v>57</v>
      </c>
      <c r="K215" s="78" t="s">
        <v>98</v>
      </c>
      <c r="L215" s="78" t="s">
        <v>98</v>
      </c>
      <c r="M215" s="78" t="s">
        <v>99</v>
      </c>
      <c r="N215" s="78" t="s">
        <v>99</v>
      </c>
      <c r="O215" s="78" t="s">
        <v>100</v>
      </c>
      <c r="P215" s="78" t="s">
        <v>100</v>
      </c>
    </row>
    <row r="216" spans="1:16" s="78" customFormat="1" x14ac:dyDescent="0.25">
      <c r="A216" s="315" t="s">
        <v>252</v>
      </c>
      <c r="B216" s="295" t="s">
        <v>252</v>
      </c>
      <c r="C216" s="78" t="s">
        <v>218</v>
      </c>
      <c r="D216" s="78" t="s">
        <v>219</v>
      </c>
      <c r="E216" s="78" t="s">
        <v>219</v>
      </c>
      <c r="F216" s="78" t="s">
        <v>220</v>
      </c>
      <c r="G216" s="78" t="s">
        <v>220</v>
      </c>
      <c r="H216" s="78" t="s">
        <v>55</v>
      </c>
      <c r="I216" s="78" t="s">
        <v>55</v>
      </c>
      <c r="J216" s="78" t="s">
        <v>57</v>
      </c>
      <c r="K216" s="78" t="s">
        <v>98</v>
      </c>
      <c r="L216" s="78" t="s">
        <v>98</v>
      </c>
      <c r="M216" s="78" t="s">
        <v>99</v>
      </c>
      <c r="N216" s="78" t="s">
        <v>99</v>
      </c>
      <c r="O216" s="78" t="s">
        <v>100</v>
      </c>
      <c r="P216" s="78" t="s">
        <v>100</v>
      </c>
    </row>
    <row r="217" spans="1:16" s="78" customFormat="1" x14ac:dyDescent="0.25">
      <c r="A217" s="315" t="s">
        <v>252</v>
      </c>
      <c r="B217" s="295" t="s">
        <v>252</v>
      </c>
      <c r="C217" s="78" t="s">
        <v>218</v>
      </c>
      <c r="D217" s="78" t="s">
        <v>219</v>
      </c>
      <c r="E217" s="78" t="s">
        <v>219</v>
      </c>
      <c r="F217" s="78" t="s">
        <v>220</v>
      </c>
      <c r="G217" s="78" t="s">
        <v>220</v>
      </c>
      <c r="H217" s="78" t="s">
        <v>55</v>
      </c>
      <c r="I217" s="78" t="s">
        <v>55</v>
      </c>
      <c r="J217" s="78" t="s">
        <v>57</v>
      </c>
      <c r="K217" s="78" t="s">
        <v>98</v>
      </c>
      <c r="L217" s="78" t="s">
        <v>98</v>
      </c>
      <c r="M217" s="78" t="s">
        <v>99</v>
      </c>
      <c r="N217" s="78" t="s">
        <v>99</v>
      </c>
      <c r="O217" s="78" t="s">
        <v>100</v>
      </c>
      <c r="P217" s="78" t="s">
        <v>100</v>
      </c>
    </row>
    <row r="218" spans="1:16" s="78" customFormat="1" x14ac:dyDescent="0.25">
      <c r="A218" s="315" t="e">
        <v>#N/A</v>
      </c>
      <c r="B218" s="295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5" t="e">
        <v>#N/A</v>
      </c>
      <c r="B219" s="295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5" t="e">
        <v>#N/A</v>
      </c>
      <c r="B220" s="295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5" t="e">
        <v>#N/A</v>
      </c>
      <c r="B221" s="295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5" t="e">
        <v>#N/A</v>
      </c>
      <c r="B222" s="295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5" t="e">
        <v>#N/A</v>
      </c>
      <c r="B223" s="295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5" t="e">
        <v>#N/A</v>
      </c>
      <c r="B224" s="295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5" t="e">
        <v>#N/A</v>
      </c>
      <c r="B225" s="295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5" t="e">
        <v>#N/A</v>
      </c>
      <c r="B226" s="295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5" t="e">
        <v>#N/A</v>
      </c>
      <c r="B227" s="295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5" t="e">
        <v>#N/A</v>
      </c>
      <c r="B228" s="295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4" t="e">
        <v>#N/A</v>
      </c>
      <c r="B229" s="295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7" t="e">
        <v>#N/A</v>
      </c>
      <c r="B230" s="292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7" t="e">
        <v>#N/A</v>
      </c>
      <c r="B231" s="292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7" t="e">
        <v>#N/A</v>
      </c>
      <c r="B232" s="292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7" t="e">
        <v>#N/A</v>
      </c>
      <c r="B233" s="292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7" t="e">
        <v>#N/A</v>
      </c>
      <c r="B234" s="292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7" t="e">
        <v>#N/A</v>
      </c>
      <c r="B235" s="292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7" t="e">
        <v>#N/A</v>
      </c>
      <c r="B236" s="292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7" t="e">
        <v>#N/A</v>
      </c>
      <c r="B237" s="292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7" t="e">
        <v>#N/A</v>
      </c>
      <c r="B238" s="292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7" t="e">
        <v>#N/A</v>
      </c>
      <c r="B239" s="292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7" t="e">
        <v>#N/A</v>
      </c>
      <c r="B240" s="292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7" t="e">
        <v>#N/A</v>
      </c>
      <c r="B241" s="292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7" t="e">
        <v>#N/A</v>
      </c>
      <c r="B242" s="292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7" t="e">
        <v>#N/A</v>
      </c>
      <c r="B243" s="292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7" t="e">
        <v>#N/A</v>
      </c>
      <c r="B244" s="292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7" t="e">
        <v>#N/A</v>
      </c>
      <c r="B245" s="292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7" t="e">
        <v>#N/A</v>
      </c>
      <c r="B246" s="292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7" t="e">
        <v>#N/A</v>
      </c>
      <c r="B247" s="292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7" t="e">
        <v>#N/A</v>
      </c>
      <c r="B248" s="292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7" t="e">
        <v>#N/A</v>
      </c>
      <c r="B249" s="292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7" t="e">
        <v>#N/A</v>
      </c>
      <c r="B250" s="292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7" t="e">
        <v>#N/A</v>
      </c>
      <c r="B251" s="292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7" t="e">
        <v>#N/A</v>
      </c>
      <c r="B252" s="292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7" t="e">
        <v>#N/A</v>
      </c>
      <c r="B253" s="292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7" t="e">
        <v>#N/A</v>
      </c>
      <c r="B254" s="292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7" t="e">
        <v>#N/A</v>
      </c>
      <c r="B255" s="292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7" t="e">
        <v>#N/A</v>
      </c>
      <c r="B256" s="292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3" t="e">
        <v>#N/A</v>
      </c>
      <c r="B257" s="292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362</v>
      </c>
      <c r="B258" s="292"/>
      <c r="C258" s="65">
        <f>INDEX(Parameter!$9:$9,,MATCH(1,Parameter!$8:$8,0))</f>
        <v>1</v>
      </c>
      <c r="D258" s="65">
        <f>INDEX(Parameter!$B$10:$AB$10,MATCH(C258,Parameter!$B$9:$AB$9,0))</f>
        <v>4</v>
      </c>
      <c r="E258" s="65">
        <f>COUNTIF(Data!$DY$90:$IB$90,Specials!C258)</f>
        <v>2</v>
      </c>
      <c r="F258" s="65">
        <f ca="1">LARGE(OFFSET(Data!$BR$91:$BR$190,,MATCH(C258,Data!$BR$90:$CR$90,0)-1),1)</f>
        <v>2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8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8 Players</v>
      </c>
      <c r="L258" s="65" t="str">
        <f>""</f>
        <v/>
      </c>
      <c r="M258" s="65" t="s">
        <v>248</v>
      </c>
      <c r="N258" s="65" t="s">
        <v>249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60</v>
      </c>
      <c r="B259" s="292" t="s">
        <v>234</v>
      </c>
      <c r="C259" s="65" t="s">
        <v>33</v>
      </c>
      <c r="D259" s="65" t="s">
        <v>235</v>
      </c>
      <c r="E259" s="65" t="s">
        <v>236</v>
      </c>
      <c r="F259" s="65" t="s">
        <v>237</v>
      </c>
      <c r="G259" s="65" t="s">
        <v>238</v>
      </c>
      <c r="H259" s="65" t="s">
        <v>239</v>
      </c>
      <c r="I259" s="65" t="s">
        <v>240</v>
      </c>
      <c r="J259" s="65" t="s">
        <v>241</v>
      </c>
      <c r="L259" s="65" t="s">
        <v>242</v>
      </c>
      <c r="M259" s="65" t="s">
        <v>243</v>
      </c>
      <c r="N259" s="65" t="s">
        <v>244</v>
      </c>
      <c r="O259" s="65" t="s">
        <v>245</v>
      </c>
      <c r="P259" s="65" t="s">
        <v>246</v>
      </c>
    </row>
    <row r="260" spans="1:16" s="65" customFormat="1" hidden="1" x14ac:dyDescent="0.25">
      <c r="A260" s="65" t="s">
        <v>362</v>
      </c>
      <c r="B260" s="292"/>
      <c r="C260" s="65">
        <f>INDEX(Parameter!$9:$9,,MATCH(3,Parameter!$8:$8,0))</f>
        <v>3</v>
      </c>
      <c r="D260" s="65">
        <f>INDEX(Parameter!$B$10:$AB$10,MATCH(C260,Parameter!$B$9:$AB$9,0))</f>
        <v>4</v>
      </c>
      <c r="E260" s="65">
        <f>COUNTIF(Data!$DY$90:$IB$90,Specials!C260)</f>
        <v>2</v>
      </c>
      <c r="F260" s="65">
        <f ca="1">LARGE(OFFSET(Data!$BR$91:$BR$190,,MATCH(C260,Data!$BR$90:$CR$90,0)-1),1)</f>
        <v>1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248</v>
      </c>
      <c r="N260" s="65" t="s">
        <v>249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362</v>
      </c>
      <c r="B261" s="292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2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3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3 Players</v>
      </c>
      <c r="L261" s="65" t="str">
        <f>""</f>
        <v/>
      </c>
      <c r="M261" s="65" t="s">
        <v>248</v>
      </c>
      <c r="N261" s="65" t="s">
        <v>249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362</v>
      </c>
      <c r="B262" s="292"/>
      <c r="C262" s="65">
        <f>INDEX(Parameter!$9:$9,,MATCH(5,Parameter!$8:$8,0))</f>
        <v>5</v>
      </c>
      <c r="D262" s="65">
        <f>INDEX(Parameter!$B$10:$AB$10,MATCH(C262,Parameter!$B$9:$AB$9,0))</f>
        <v>3</v>
      </c>
      <c r="E262" s="65">
        <f>COUNTIF(Data!$DY$90:$IB$90,Specials!C262)</f>
        <v>2</v>
      </c>
      <c r="F262" s="65">
        <f ca="1">LARGE(OFFSET(Data!$BR$91:$BR$190,,MATCH(C262,Data!$BR$90:$CR$90,0)-1),1)</f>
        <v>2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1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Michal Kúdela</v>
      </c>
      <c r="L262" s="65" t="str">
        <f>""</f>
        <v/>
      </c>
      <c r="M262" s="65" t="s">
        <v>248</v>
      </c>
      <c r="N262" s="65" t="s">
        <v>249</v>
      </c>
      <c r="O262" s="65" t="e">
        <f t="shared" ca="1" si="20"/>
        <v>#VALUE!</v>
      </c>
      <c r="P262" s="65" t="str">
        <f ca="1">IF(H262=1,"On hole "&amp;C262&amp;" (par "&amp;D262&amp;") only "&amp;K262&amp;" played all rounds under par","")</f>
        <v>On hole 5 (par 3) only Michal Kúdela played all rounds under par</v>
      </c>
    </row>
    <row r="263" spans="1:16" s="65" customFormat="1" hidden="1" x14ac:dyDescent="0.25">
      <c r="A263" s="65" t="s">
        <v>362</v>
      </c>
      <c r="B263" s="292"/>
      <c r="C263" s="65">
        <f>INDEX(Parameter!$9:$9,,MATCH(6,Parameter!$8:$8,0))</f>
        <v>6</v>
      </c>
      <c r="D263" s="65">
        <f>INDEX(Parameter!$B$10:$AB$10,MATCH(C263,Parameter!$B$9:$AB$9,0))</f>
        <v>5</v>
      </c>
      <c r="E263" s="65">
        <f>COUNTIF(Data!$DY$90:$IB$90,Specials!C263)</f>
        <v>2</v>
      </c>
      <c r="F263" s="65">
        <f ca="1">LARGE(OFFSET(Data!$BR$91:$BR$190,,MATCH(C263,Data!$BR$90:$CR$90,0)-1),1)</f>
        <v>2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3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3 Players</v>
      </c>
      <c r="L263" s="65" t="str">
        <f>""</f>
        <v/>
      </c>
      <c r="M263" s="65" t="s">
        <v>248</v>
      </c>
      <c r="N263" s="65" t="s">
        <v>249</v>
      </c>
      <c r="O263" s="65" t="e">
        <f t="shared" ca="1" si="20"/>
        <v>#VALUE!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362</v>
      </c>
      <c r="B264" s="292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3</v>
      </c>
      <c r="F264" s="65">
        <f ca="1">LARGE(OFFSET(Data!$BR$91:$BR$190,,MATCH(C264,Data!$BR$90:$CR$90,0)-1),1)</f>
        <v>1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248</v>
      </c>
      <c r="N264" s="65" t="s">
        <v>249</v>
      </c>
      <c r="O264" s="65" t="e">
        <f t="shared" ca="1" si="20"/>
        <v>#VALUE!</v>
      </c>
      <c r="P264" s="65" t="str">
        <f t="shared" ca="1" si="21"/>
        <v/>
      </c>
    </row>
    <row r="265" spans="1:16" s="65" customFormat="1" hidden="1" x14ac:dyDescent="0.25">
      <c r="A265" s="65" t="s">
        <v>362</v>
      </c>
      <c r="B265" s="292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2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1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Wolfgang Aichinger</v>
      </c>
      <c r="L265" s="65" t="str">
        <f>""</f>
        <v/>
      </c>
      <c r="M265" s="65" t="s">
        <v>248</v>
      </c>
      <c r="N265" s="65" t="s">
        <v>249</v>
      </c>
      <c r="O265" s="65" t="e">
        <f t="shared" ca="1" si="20"/>
        <v>#VALUE!</v>
      </c>
      <c r="P265" s="65" t="str">
        <f t="shared" ca="1" si="21"/>
        <v>On hole 8 (par 3) only Wolfgang Aichinger played all rounds under par</v>
      </c>
    </row>
    <row r="266" spans="1:16" s="65" customFormat="1" hidden="1" x14ac:dyDescent="0.25">
      <c r="A266" s="65" t="s">
        <v>362</v>
      </c>
      <c r="B266" s="292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2</v>
      </c>
      <c r="F266" s="65">
        <f ca="1">LARGE(OFFSET(Data!$BR$91:$BR$190,,MATCH(C266,Data!$BR$90:$CR$90,0)-1),1)</f>
        <v>2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3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3 Players</v>
      </c>
      <c r="L266" s="65" t="str">
        <f>""</f>
        <v/>
      </c>
      <c r="M266" s="65" t="s">
        <v>248</v>
      </c>
      <c r="N266" s="65" t="s">
        <v>249</v>
      </c>
      <c r="O266" s="65" t="e">
        <f t="shared" ca="1" si="20"/>
        <v>#VALUE!</v>
      </c>
      <c r="P266" s="65" t="str">
        <f t="shared" ca="1" si="21"/>
        <v/>
      </c>
    </row>
    <row r="267" spans="1:16" s="65" customFormat="1" hidden="1" x14ac:dyDescent="0.25">
      <c r="A267" s="65" t="s">
        <v>362</v>
      </c>
      <c r="B267" s="292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2</v>
      </c>
      <c r="F267" s="65">
        <f ca="1">LARGE(OFFSET(Data!$BR$91:$BR$190,,MATCH(C267,Data!$BR$90:$CR$90,0)-1),1)</f>
        <v>1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248</v>
      </c>
      <c r="N267" s="65" t="s">
        <v>249</v>
      </c>
      <c r="O267" s="65" t="e">
        <f t="shared" ca="1" si="20"/>
        <v>#VALUE!</v>
      </c>
      <c r="P267" s="65" t="str">
        <f t="shared" ca="1" si="21"/>
        <v/>
      </c>
    </row>
    <row r="268" spans="1:16" s="65" customFormat="1" hidden="1" x14ac:dyDescent="0.25">
      <c r="A268" s="65" t="s">
        <v>362</v>
      </c>
      <c r="B268" s="292"/>
      <c r="C268" s="65">
        <f>INDEX(Parameter!$9:$9,,MATCH(11,Parameter!$8:$8,0))</f>
        <v>12</v>
      </c>
      <c r="D268" s="65">
        <f>INDEX(Parameter!$B$10:$AB$10,MATCH(C268,Parameter!$B$9:$AB$9,0))</f>
        <v>3</v>
      </c>
      <c r="E268" s="65">
        <f>COUNTIF(Data!$DY$90:$IB$90,Specials!C268)</f>
        <v>2</v>
      </c>
      <c r="F268" s="65">
        <f ca="1">LARGE(OFFSET(Data!$BR$91:$BR$190,,MATCH(C268,Data!$BR$90:$CR$90,0)-1),1)</f>
        <v>1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0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0 Players</v>
      </c>
      <c r="L268" s="65" t="str">
        <f>""</f>
        <v/>
      </c>
      <c r="M268" s="65" t="s">
        <v>248</v>
      </c>
      <c r="N268" s="65" t="s">
        <v>249</v>
      </c>
      <c r="O268" s="65" t="e">
        <f t="shared" ca="1" si="20"/>
        <v>#VALUE!</v>
      </c>
      <c r="P268" s="65" t="str">
        <f t="shared" ca="1" si="21"/>
        <v/>
      </c>
    </row>
    <row r="269" spans="1:16" s="65" customFormat="1" hidden="1" x14ac:dyDescent="0.25">
      <c r="A269" s="65" t="s">
        <v>362</v>
      </c>
      <c r="B269" s="292"/>
      <c r="C269" s="65">
        <f>INDEX(Parameter!$9:$9,,MATCH(12,Parameter!$8:$8,0))</f>
        <v>14</v>
      </c>
      <c r="D269" s="65">
        <f>INDEX(Parameter!$B$10:$AB$10,MATCH(C269,Parameter!$B$9:$AB$9,0))</f>
        <v>4</v>
      </c>
      <c r="E269" s="65">
        <f>COUNTIF(Data!$DY$90:$IB$90,Specials!C269)</f>
        <v>2</v>
      </c>
      <c r="F269" s="65">
        <f ca="1">LARGE(OFFSET(Data!$BR$91:$BR$190,,MATCH(C269,Data!$BR$90:$CR$90,0)-1),1)</f>
        <v>1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0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0 Players</v>
      </c>
      <c r="L269" s="65" t="str">
        <f>""</f>
        <v/>
      </c>
      <c r="M269" s="65" t="s">
        <v>248</v>
      </c>
      <c r="N269" s="65" t="s">
        <v>249</v>
      </c>
      <c r="O269" s="65" t="e">
        <f t="shared" ca="1" si="20"/>
        <v>#VALUE!</v>
      </c>
      <c r="P269" s="65" t="str">
        <f t="shared" ca="1" si="21"/>
        <v/>
      </c>
    </row>
    <row r="270" spans="1:16" s="65" customFormat="1" hidden="1" x14ac:dyDescent="0.25">
      <c r="A270" s="65" t="s">
        <v>362</v>
      </c>
      <c r="B270" s="292"/>
      <c r="C270" s="65">
        <f>INDEX(Parameter!$9:$9,,MATCH(13,Parameter!$8:$8,0))</f>
        <v>15</v>
      </c>
      <c r="D270" s="65">
        <f>INDEX(Parameter!$B$10:$AB$10,MATCH(C270,Parameter!$B$9:$AB$9,0))</f>
        <v>4</v>
      </c>
      <c r="E270" s="65">
        <f>COUNTIF(Data!$DY$90:$IB$90,Specials!C270)</f>
        <v>2</v>
      </c>
      <c r="F270" s="65">
        <f ca="1">LARGE(OFFSET(Data!$BR$91:$BR$190,,MATCH(C270,Data!$BR$90:$CR$90,0)-1),1)</f>
        <v>2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3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3 Players</v>
      </c>
      <c r="L270" s="65" t="str">
        <f>""</f>
        <v/>
      </c>
      <c r="M270" s="65" t="s">
        <v>248</v>
      </c>
      <c r="N270" s="65" t="s">
        <v>249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362</v>
      </c>
      <c r="B271" s="292"/>
      <c r="C271" s="65">
        <f>INDEX(Parameter!$9:$9,,MATCH(14,Parameter!$8:$8,0))</f>
        <v>16</v>
      </c>
      <c r="D271" s="65">
        <f>INDEX(Parameter!$B$10:$AB$10,MATCH(C271,Parameter!$B$9:$AB$9,0))</f>
        <v>3</v>
      </c>
      <c r="E271" s="65">
        <f>COUNTIF(Data!$DY$90:$IB$90,Specials!C271)</f>
        <v>2</v>
      </c>
      <c r="F271" s="65">
        <f ca="1">LARGE(OFFSET(Data!$BR$91:$BR$190,,MATCH(C271,Data!$BR$90:$CR$90,0)-1),1)</f>
        <v>2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3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3 Players</v>
      </c>
      <c r="L271" s="65" t="str">
        <f>""</f>
        <v/>
      </c>
      <c r="M271" s="65" t="s">
        <v>248</v>
      </c>
      <c r="N271" s="65" t="s">
        <v>249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362</v>
      </c>
      <c r="B272" s="292"/>
      <c r="C272" s="65">
        <f>INDEX(Parameter!$9:$9,,MATCH(15,Parameter!$8:$8,0))</f>
        <v>17</v>
      </c>
      <c r="D272" s="65">
        <f>INDEX(Parameter!$B$10:$AB$10,MATCH(C272,Parameter!$B$9:$AB$9,0))</f>
        <v>3</v>
      </c>
      <c r="E272" s="65">
        <f>COUNTIF(Data!$DY$90:$IB$90,Specials!C272)</f>
        <v>2</v>
      </c>
      <c r="F272" s="65">
        <f ca="1">LARGE(OFFSET(Data!$BR$91:$BR$190,,MATCH(C272,Data!$BR$90:$CR$90,0)-1),1)</f>
        <v>1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0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0 Players</v>
      </c>
      <c r="L272" s="65" t="str">
        <f>""</f>
        <v/>
      </c>
      <c r="M272" s="65" t="s">
        <v>248</v>
      </c>
      <c r="N272" s="65" t="s">
        <v>249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362</v>
      </c>
      <c r="B273" s="292"/>
      <c r="C273" s="65">
        <f>INDEX(Parameter!$9:$9,,MATCH(16,Parameter!$8:$8,0))</f>
        <v>18</v>
      </c>
      <c r="D273" s="65">
        <f>INDEX(Parameter!$B$10:$AB$10,MATCH(C273,Parameter!$B$9:$AB$9,0))</f>
        <v>3</v>
      </c>
      <c r="E273" s="65">
        <f>COUNTIF(Data!$DY$90:$IB$90,Specials!C273)</f>
        <v>2</v>
      </c>
      <c r="F273" s="65">
        <f ca="1">LARGE(OFFSET(Data!$BR$91:$BR$190,,MATCH(C273,Data!$BR$90:$CR$90,0)-1),1)</f>
        <v>2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1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Daniel Wilging</v>
      </c>
      <c r="L273" s="65" t="str">
        <f>""</f>
        <v/>
      </c>
      <c r="M273" s="65" t="s">
        <v>248</v>
      </c>
      <c r="N273" s="65" t="s">
        <v>249</v>
      </c>
      <c r="O273" s="65" t="e">
        <f t="shared" ca="1" si="20"/>
        <v>#VALUE!</v>
      </c>
      <c r="P273" s="65" t="str">
        <f t="shared" ca="1" si="21"/>
        <v>On hole 18 (par 3) only Daniel Wilging played all rounds under par</v>
      </c>
    </row>
    <row r="274" spans="1:16" s="65" customFormat="1" hidden="1" x14ac:dyDescent="0.25">
      <c r="A274" s="65" t="s">
        <v>362</v>
      </c>
      <c r="B274" s="292"/>
      <c r="C274" s="65" t="str">
        <f>INDEX(Parameter!$9:$9,,MATCH(17,Parameter!$8:$8,0))</f>
        <v>17a</v>
      </c>
      <c r="D274" s="65" t="str">
        <f>INDEX(Parameter!$B$10:$AB$10,MATCH(C274,Parameter!$B$9:$AB$9,0))</f>
        <v>no</v>
      </c>
      <c r="E274" s="65">
        <f>COUNTIF(Data!$DY$90:$IB$90,Specials!C274)</f>
        <v>0</v>
      </c>
      <c r="F274" s="65">
        <f ca="1">LARGE(OFFSET(Data!$BR$91:$BR$190,,MATCH(C274,Data!$BR$90:$CR$90,0)-1),1)</f>
        <v>0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0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0 Players</v>
      </c>
      <c r="L274" s="65" t="str">
        <f>""</f>
        <v/>
      </c>
      <c r="M274" s="65" t="s">
        <v>248</v>
      </c>
      <c r="N274" s="65" t="s">
        <v>249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362</v>
      </c>
      <c r="B275" s="292"/>
      <c r="C275" s="65" t="str">
        <f>INDEX(Parameter!$9:$9,,MATCH(18,Parameter!$8:$8,0))</f>
        <v>18a</v>
      </c>
      <c r="D275" s="65" t="str">
        <f>INDEX(Parameter!$B$10:$AB$10,MATCH(C275,Parameter!$B$9:$AB$9,0))</f>
        <v>no</v>
      </c>
      <c r="E275" s="65">
        <f>COUNTIF(Data!$DY$90:$IB$90,Specials!C275)</f>
        <v>0</v>
      </c>
      <c r="F275" s="65">
        <f ca="1">LARGE(OFFSET(Data!$BR$91:$BR$190,,MATCH(C275,Data!$BR$90:$CR$90,0)-1),1)</f>
        <v>0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248</v>
      </c>
      <c r="N275" s="65" t="s">
        <v>249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362</v>
      </c>
      <c r="B276" s="292"/>
      <c r="C276" s="65">
        <f>INDEX(Parameter!$9:$9,,MATCH(19,Parameter!$8:$8,0))</f>
        <v>19</v>
      </c>
      <c r="D276" s="65" t="str">
        <f>INDEX(Parameter!$B$10:$AB$10,MATCH(C276,Parameter!$B$9:$AB$9,0))</f>
        <v>no</v>
      </c>
      <c r="E276" s="65">
        <f>COUNTIF(Data!$DY$90:$IB$90,Specials!C276)</f>
        <v>0</v>
      </c>
      <c r="F276" s="65">
        <f ca="1">LARGE(OFFSET(Data!$BR$91:$BR$190,,MATCH(C276,Data!$BR$90:$CR$90,0)-1),1)</f>
        <v>0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248</v>
      </c>
      <c r="N276" s="65" t="s">
        <v>249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362</v>
      </c>
      <c r="B277" s="292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248</v>
      </c>
      <c r="N277" s="65" t="s">
        <v>249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362</v>
      </c>
      <c r="B278" s="292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248</v>
      </c>
      <c r="N278" s="65" t="s">
        <v>249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362</v>
      </c>
      <c r="B279" s="292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248</v>
      </c>
      <c r="N279" s="65" t="s">
        <v>249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362</v>
      </c>
      <c r="B280" s="292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248</v>
      </c>
      <c r="N280" s="65" t="s">
        <v>249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362</v>
      </c>
      <c r="B281" s="292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248</v>
      </c>
      <c r="N281" s="65" t="s">
        <v>249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362</v>
      </c>
      <c r="B282" s="292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248</v>
      </c>
      <c r="N282" s="65" t="s">
        <v>249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362</v>
      </c>
      <c r="B283" s="292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248</v>
      </c>
      <c r="N283" s="65" t="s">
        <v>249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362</v>
      </c>
      <c r="B284" s="292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248</v>
      </c>
      <c r="N284" s="65" t="s">
        <v>249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89" t="s">
        <v>60</v>
      </c>
      <c r="B285" s="289" t="s">
        <v>252</v>
      </c>
      <c r="C285" s="78" t="s">
        <v>252</v>
      </c>
      <c r="D285" s="78" t="s">
        <v>218</v>
      </c>
      <c r="E285" s="78" t="s">
        <v>219</v>
      </c>
      <c r="F285" s="78" t="s">
        <v>219</v>
      </c>
      <c r="G285" s="78" t="s">
        <v>220</v>
      </c>
      <c r="H285" s="78" t="s">
        <v>220</v>
      </c>
      <c r="I285" s="78" t="s">
        <v>55</v>
      </c>
      <c r="J285" s="78" t="s">
        <v>358</v>
      </c>
      <c r="K285" s="78" t="s">
        <v>57</v>
      </c>
      <c r="L285" s="78" t="s">
        <v>98</v>
      </c>
      <c r="M285" s="78" t="s">
        <v>98</v>
      </c>
      <c r="N285" s="78" t="s">
        <v>99</v>
      </c>
      <c r="O285" s="78" t="s">
        <v>99</v>
      </c>
      <c r="P285" s="78" t="s">
        <v>100</v>
      </c>
    </row>
    <row r="286" spans="1:16" s="65" customFormat="1" hidden="1" x14ac:dyDescent="0.25">
      <c r="A286" s="285" t="s">
        <v>276</v>
      </c>
      <c r="B286" s="286"/>
      <c r="D286" s="65">
        <f t="array" ref="D286">IF(Parameter!$B$1&gt;0,SMALL(IF((Data!$J$91:$J$190&lt;999)*(Data!$DW$91:$DW$190="M"),Data!$J$91:$J$190),1),"")</f>
        <v>49</v>
      </c>
      <c r="F286" s="65">
        <f>IF(Parameter!$B$1&gt;0,Specials!D286,999)</f>
        <v>49</v>
      </c>
      <c r="H286" s="65">
        <f t="array" ref="H286">SUM(IF((Data!$J$91:$J$190=D286)*(Data!$DW$91:$DW$190="M"),1))</f>
        <v>1</v>
      </c>
      <c r="K286" s="65" t="str">
        <f t="array" ref="K286">IF($H286=1,INDEX(Data!$DT$91:$DT$190,MATCH($D286,Data!$J$91:$J$190*(Data!$DW$91:$DW$190="M"),0)),$H286&amp;" Players")</f>
        <v>Michal Kúdela</v>
      </c>
      <c r="L286" s="65" t="str">
        <f>K286&amp;" ("&amp;D286&amp;")"</f>
        <v>Michal Kúdela (49)</v>
      </c>
      <c r="M286" s="65" t="s">
        <v>254</v>
      </c>
      <c r="N286" s="65" t="s">
        <v>249</v>
      </c>
      <c r="O286" s="65" t="str">
        <f t="shared" si="20"/>
        <v># Triple-Bogeys</v>
      </c>
    </row>
    <row r="287" spans="1:16" s="65" customFormat="1" hidden="1" x14ac:dyDescent="0.25">
      <c r="A287" s="285" t="s">
        <v>277</v>
      </c>
      <c r="B287" s="286"/>
      <c r="D287" s="65">
        <f t="array" ref="D287">IF(Parameter!$B$2&gt;0,SMALL(IF((Data!$K$91:$K$190&lt;999)*(Data!$DW$91:$DW$190="M"),Data!$K$91:$K$190),1),"")</f>
        <v>52</v>
      </c>
      <c r="F287" s="65">
        <f>IF(AND(Parameter!$B$2&gt;0,Parameter!$B$2=Parameter!$B$1),Specials!D287,999)</f>
        <v>52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Mike Bischof-Horak</v>
      </c>
      <c r="L287" s="65" t="str">
        <f>K287&amp;" ("&amp;D287&amp;")"</f>
        <v>Mike Bischof-Horak (52)</v>
      </c>
      <c r="M287" s="65" t="s">
        <v>254</v>
      </c>
      <c r="N287" s="65" t="s">
        <v>249</v>
      </c>
      <c r="O287" s="65" t="str">
        <f t="shared" si="20"/>
        <v># Triple-Bogeys</v>
      </c>
    </row>
    <row r="288" spans="1:16" s="65" customFormat="1" hidden="1" x14ac:dyDescent="0.25">
      <c r="A288" s="285" t="s">
        <v>278</v>
      </c>
      <c r="B288" s="286"/>
      <c r="D288" s="65" t="str">
        <f t="array" ref="D288">IF(Parameter!$B$3&gt;0,SMALL(IF((Data!$L$91:$L$190&lt;999)*(Data!$DW$91:$DW$190="M"),Data!$L$91:$L$190),1),"")</f>
        <v/>
      </c>
      <c r="F288" s="65">
        <f>IF(AND(Parameter!$B$3&gt;0,Parameter!$B$3=Parameter!$B$2),Specials!D288,999)</f>
        <v>999</v>
      </c>
      <c r="H288" s="65">
        <f t="array" ref="H288">SUM(IF((Data!$L$91:$L$190=D288)*(Data!$DW$91:$DW$190="M"),1))</f>
        <v>0</v>
      </c>
      <c r="K288" s="65" t="str">
        <f t="array" ref="K288">IF($H288=1,INDEX(Data!$DT$91:$DT$190,MATCH($D288,Data!$L$91:$L$190*(Data!$DW$91:$DW$190="M"),0)),$H288&amp;" Players")</f>
        <v>0 Players</v>
      </c>
      <c r="L288" s="65" t="str">
        <f>K288&amp;" ("&amp;D288&amp;")"</f>
        <v>0 Players ()</v>
      </c>
      <c r="M288" s="65" t="s">
        <v>254</v>
      </c>
      <c r="N288" s="65" t="s">
        <v>249</v>
      </c>
      <c r="O288" s="65" t="str">
        <f t="shared" si="20"/>
        <v># Triple-Bogeys</v>
      </c>
    </row>
    <row r="289" spans="1:16" s="65" customFormat="1" hidden="1" x14ac:dyDescent="0.25">
      <c r="A289" s="285" t="s">
        <v>279</v>
      </c>
      <c r="B289" s="286"/>
      <c r="D289" s="65" t="str">
        <f t="array" ref="D289">IF(Parameter!$B$4&gt;0,SMALL(IF((Data!$M$91:$M$190&lt;999)*(Data!$DW$91:$DW$190="M"),Data!$M$91:$M$190),1),"")</f>
        <v/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0</v>
      </c>
      <c r="K289" s="65" t="str">
        <f t="array" ref="K289">IF($H289=1,INDEX(Data!$DT$91:$DT$190,MATCH($D289,Data!$M$91:$M$190*(Data!$DW$91:$DW$190="M"),0)),$H289&amp;" Players")</f>
        <v>0 Players</v>
      </c>
      <c r="L289" s="65" t="str">
        <f>K289&amp;" ("&amp;D289&amp;")"</f>
        <v>0 Players ()</v>
      </c>
      <c r="M289" s="65" t="s">
        <v>254</v>
      </c>
      <c r="N289" s="65" t="s">
        <v>249</v>
      </c>
      <c r="O289" s="65" t="str">
        <f t="shared" si="20"/>
        <v># Triple-Bogeys</v>
      </c>
    </row>
    <row r="290" spans="1:16" s="65" customFormat="1" hidden="1" x14ac:dyDescent="0.25">
      <c r="A290" s="286" t="s">
        <v>304</v>
      </c>
      <c r="B290" s="286"/>
      <c r="D290" s="65">
        <f>MIN($F286:$F288)</f>
        <v>49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Michal Kúdela / Round 1</v>
      </c>
      <c r="M290" s="65" t="s">
        <v>1</v>
      </c>
      <c r="N290" s="65" t="s">
        <v>249</v>
      </c>
      <c r="O290" s="65" t="e">
        <f t="shared" si="20"/>
        <v>#VALUE!</v>
      </c>
      <c r="P290" s="65" t="str">
        <f>"Best score in tournament: "&amp;D290</f>
        <v>Best score in tournament: 49</v>
      </c>
    </row>
    <row r="291" spans="1:16" s="78" customFormat="1" hidden="1" x14ac:dyDescent="0.25">
      <c r="A291" s="289" t="str">
        <f>"Biggest Skill-O-Meter-Improvement Men Rating &gt; "&amp;Parameter!$B$32</f>
        <v>Biggest Skill-O-Meter-Improvement Men Rating &gt; 850</v>
      </c>
      <c r="B291" s="289"/>
      <c r="F291" s="78">
        <f t="array" ref="F291">LARGE(IF((Data!$DW$91:$DW$190="M")*(Data!$AN$91:$AN$190&gt;Parameter!$B$32),Data!$AO$91:$AO$190,0),1)</f>
        <v>69.698999999999955</v>
      </c>
      <c r="G291" s="78">
        <f>IF(F291&lt;&gt;0,INDEX(Data!AN$91:$AN$190,MATCH(F291,Data!AO$91:$AO$190,0)),0)</f>
        <v>872.25900000000001</v>
      </c>
      <c r="H291" s="78">
        <f>COUNTIF(Data!AO$91:$AO$190,F291)</f>
        <v>1</v>
      </c>
      <c r="K291" s="78" t="str">
        <f>IF(H291=1,INDEX(Data!DT$91:$DT$190,MATCH(F291,Data!AO$91:$AO$190,0)),"")</f>
        <v>Bálint Kazai</v>
      </c>
      <c r="L291" s="78" t="str">
        <f>IF(H291=1,"Rating in this tournament: "&amp;ROUND(INDEX(Data!AM$91:$AM$190,MATCH(F291,Data!AO$91:$AO$190,0)), 0),"")</f>
        <v>Rating in this tournament: 942</v>
      </c>
      <c r="M291" s="78" t="s">
        <v>1</v>
      </c>
      <c r="N291" s="78" t="s">
        <v>249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Bálint Kazai played 8 % better than his last rating (872)</v>
      </c>
    </row>
    <row r="292" spans="1:16" s="78" customFormat="1" hidden="1" x14ac:dyDescent="0.25">
      <c r="A292" s="289" t="str">
        <f>"Biggest Skill-O-Meter-Worsening Men Rating &gt; "&amp;Parameter!$B$32</f>
        <v>Biggest Skill-O-Meter-Worsening Men Rating &gt; 850</v>
      </c>
      <c r="B292" s="289"/>
      <c r="F292" s="78">
        <f t="array" ref="F292">SMALL(IF((Data!$DW$91:$DW$190="M")*(Data!$AN$91:$AN$190&gt;Parameter!$B$32),Data!$AO$91:$AO$190,0),1)</f>
        <v>-153.73599999999999</v>
      </c>
      <c r="G292" s="78">
        <f>IF(F292&lt;&gt;0,INDEX(Data!AN$91:$AN$190,MATCH(F292,Data!AO$91:$AO$190,0)),0)</f>
        <v>953.83299999999997</v>
      </c>
      <c r="H292" s="78">
        <f>COUNTIF(Data!AO$91:$AO$190,F292)</f>
        <v>1</v>
      </c>
      <c r="K292" s="78" t="str">
        <f>IF(H292=1,INDEX(Data!DT$91:$DT$190,MATCH(F292,Data!AO$91:$AO$190,0)),"")</f>
        <v>Robin Binder</v>
      </c>
      <c r="L292" s="78" t="str">
        <f>IF(H292=1,"Rating in this tournament: "&amp;ROUND(INDEX(Data!AM$91:$AM$190,MATCH(F292,Data!AO$91:$AO$190,0)), 0),"")</f>
        <v>Rating in this tournament: 800</v>
      </c>
      <c r="M292" s="78" t="s">
        <v>1</v>
      </c>
      <c r="N292" s="78" t="s">
        <v>249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Robin Binder played 16 % worst than his last rating (954)</v>
      </c>
    </row>
    <row r="293" spans="1:16" s="65" customFormat="1" ht="15" hidden="1" customHeight="1" x14ac:dyDescent="0.25">
      <c r="A293" s="65" t="s">
        <v>367</v>
      </c>
      <c r="B293" s="293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4</v>
      </c>
      <c r="E293" s="65">
        <f>COUNTIF(Data!$DY$90:$IB$90,Specials!C293)</f>
        <v>2</v>
      </c>
      <c r="F293" s="65">
        <f ca="1">OFFSET(Data!$CS$91,MATCH("M1",Data!$A$91:$A$190,0)-1,MATCH(C293,Data!$CS$90:$DS$90,0)-1)</f>
        <v>6</v>
      </c>
      <c r="G293" s="65">
        <f ca="1">OFFSET(Data!$CS$91,MATCH($B293,Data!$A$91:$A$190,0)-1,MATCH(C293,Data!$CS$90:$DS$90,0)-1)</f>
        <v>8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2</v>
      </c>
      <c r="K293" s="65" t="str">
        <f>INDEX(Data!$DT$91:$DT$190,MATCH($B293,Data!$A$91:$A$190,0))</f>
        <v>Mike Bischof-Horak</v>
      </c>
      <c r="L293" s="65" t="str">
        <f ca="1">"Best men took only "&amp;F293&amp;" throws"</f>
        <v>Best men took only 6 throws</v>
      </c>
      <c r="M293" s="65" t="s">
        <v>1</v>
      </c>
      <c r="N293" s="65" t="s">
        <v>249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367</v>
      </c>
      <c r="B294" s="293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4</v>
      </c>
      <c r="E294" s="65">
        <f>COUNTIF(Data!$DY$90:$IB$90,Specials!C294)</f>
        <v>2</v>
      </c>
      <c r="F294" s="65">
        <f ca="1">OFFSET(Data!$CS$91,MATCH("M1",Data!$A$91:$A$190,0)-1,MATCH(C294,Data!$CS$90:$DS$90,0)-1)</f>
        <v>8</v>
      </c>
      <c r="G294" s="65">
        <f ca="1">OFFSET(Data!$CS$91,MATCH($B294,Data!$A$91:$A$190,0)-1,MATCH(C294,Data!$CS$90:$DS$90,0)-1)</f>
        <v>7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2</v>
      </c>
      <c r="K294" s="65" t="str">
        <f>INDEX(Data!$DT$91:$DT$190,MATCH($B294,Data!$A$91:$A$190,0))</f>
        <v>Mike Bischof-Horak</v>
      </c>
      <c r="L294" s="65" t="str">
        <f t="shared" ref="L294:L357" ca="1" si="24">"Best men took only "&amp;F294&amp;" throws"</f>
        <v>Best men took only 8 throws</v>
      </c>
      <c r="M294" s="65" t="s">
        <v>1</v>
      </c>
      <c r="N294" s="65" t="s">
        <v>249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367</v>
      </c>
      <c r="B295" s="293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4</v>
      </c>
      <c r="E295" s="65">
        <f>COUNTIF(Data!$DY$90:$IB$90,Specials!C295)</f>
        <v>2</v>
      </c>
      <c r="F295" s="65">
        <f ca="1">OFFSET(Data!$CS$91,MATCH("M1",Data!$A$91:$A$190,0)-1,MATCH(C295,Data!$CS$90:$DS$90,0)-1)</f>
        <v>10</v>
      </c>
      <c r="G295" s="65">
        <f ca="1">OFFSET(Data!$CS$91,MATCH($B295,Data!$A$91:$A$190,0)-1,MATCH(C295,Data!$CS$90:$DS$90,0)-1)</f>
        <v>9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2</v>
      </c>
      <c r="K295" s="65" t="str">
        <f>INDEX(Data!$DT$91:$DT$190,MATCH($B295,Data!$A$91:$A$190,0))</f>
        <v>Mike Bischof-Horak</v>
      </c>
      <c r="L295" s="65" t="str">
        <f t="shared" ca="1" si="24"/>
        <v>Best men took only 10 throws</v>
      </c>
      <c r="M295" s="65" t="s">
        <v>1</v>
      </c>
      <c r="N295" s="65" t="s">
        <v>249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367</v>
      </c>
      <c r="B296" s="293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2</v>
      </c>
      <c r="F296" s="65">
        <f ca="1">OFFSET(Data!$CS$91,MATCH("M1",Data!$A$91:$A$190,0)-1,MATCH(C296,Data!$CS$90:$DS$90,0)-1)</f>
        <v>4</v>
      </c>
      <c r="G296" s="65">
        <f ca="1">OFFSET(Data!$CS$91,MATCH($B296,Data!$A$91:$A$190,0)-1,MATCH(C296,Data!$CS$90:$DS$90,0)-1)</f>
        <v>6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2</v>
      </c>
      <c r="K296" s="65" t="str">
        <f>INDEX(Data!$DT$91:$DT$190,MATCH($B296,Data!$A$91:$A$190,0))</f>
        <v>Mike Bischof-Horak</v>
      </c>
      <c r="L296" s="65" t="str">
        <f t="shared" ca="1" si="24"/>
        <v>Best men took only 4 throws</v>
      </c>
      <c r="M296" s="65" t="s">
        <v>1</v>
      </c>
      <c r="N296" s="65" t="s">
        <v>249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367</v>
      </c>
      <c r="B297" s="293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3</v>
      </c>
      <c r="E297" s="65">
        <f>COUNTIF(Data!$DY$90:$IB$90,Specials!C297)</f>
        <v>2</v>
      </c>
      <c r="F297" s="65">
        <f ca="1">OFFSET(Data!$CS$91,MATCH("M1",Data!$A$91:$A$190,0)-1,MATCH(C297,Data!$CS$90:$DS$90,0)-1)</f>
        <v>4</v>
      </c>
      <c r="G297" s="65">
        <f ca="1">OFFSET(Data!$CS$91,MATCH($B297,Data!$A$91:$A$190,0)-1,MATCH(C297,Data!$CS$90:$DS$90,0)-1)</f>
        <v>6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2</v>
      </c>
      <c r="K297" s="65" t="str">
        <f>INDEX(Data!$DT$91:$DT$190,MATCH($B297,Data!$A$91:$A$190,0))</f>
        <v>Mike Bischof-Horak</v>
      </c>
      <c r="L297" s="65" t="str">
        <f t="shared" ca="1" si="24"/>
        <v>Best men took only 4 throws</v>
      </c>
      <c r="M297" s="65" t="s">
        <v>1</v>
      </c>
      <c r="N297" s="65" t="s">
        <v>249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367</v>
      </c>
      <c r="B298" s="293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5</v>
      </c>
      <c r="E298" s="65">
        <f>COUNTIF(Data!$DY$90:$IB$90,Specials!C298)</f>
        <v>2</v>
      </c>
      <c r="F298" s="65">
        <f ca="1">OFFSET(Data!$CS$91,MATCH("M1",Data!$A$91:$A$190,0)-1,MATCH(C298,Data!$CS$90:$DS$90,0)-1)</f>
        <v>10</v>
      </c>
      <c r="G298" s="65">
        <f ca="1">OFFSET(Data!$CS$91,MATCH($B298,Data!$A$91:$A$190,0)-1,MATCH(C298,Data!$CS$90:$DS$90,0)-1)</f>
        <v>9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2</v>
      </c>
      <c r="K298" s="65" t="str">
        <f>INDEX(Data!$DT$91:$DT$190,MATCH($B298,Data!$A$91:$A$190,0))</f>
        <v>Mike Bischof-Horak</v>
      </c>
      <c r="L298" s="65" t="str">
        <f t="shared" ca="1" si="24"/>
        <v>Best men took only 10 throws</v>
      </c>
      <c r="M298" s="65" t="s">
        <v>1</v>
      </c>
      <c r="N298" s="65" t="s">
        <v>249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367</v>
      </c>
      <c r="B299" s="293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3</v>
      </c>
      <c r="F299" s="65">
        <f ca="1">OFFSET(Data!$CS$91,MATCH("M1",Data!$A$91:$A$190,0)-1,MATCH(C299,Data!$CS$90:$DS$90,0)-1)</f>
        <v>5</v>
      </c>
      <c r="G299" s="65">
        <f ca="1">OFFSET(Data!$CS$91,MATCH($B299,Data!$A$91:$A$190,0)-1,MATCH(C299,Data!$CS$90:$DS$90,0)-1)</f>
        <v>5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2</v>
      </c>
      <c r="K299" s="65" t="str">
        <f>INDEX(Data!$DT$91:$DT$190,MATCH($B299,Data!$A$91:$A$190,0))</f>
        <v>Mike Bischof-Horak</v>
      </c>
      <c r="L299" s="65" t="str">
        <f t="shared" ca="1" si="24"/>
        <v>Best men took only 5 throws</v>
      </c>
      <c r="M299" s="65" t="s">
        <v>1</v>
      </c>
      <c r="N299" s="65" t="s">
        <v>249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367</v>
      </c>
      <c r="B300" s="293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2</v>
      </c>
      <c r="F300" s="65">
        <f ca="1">OFFSET(Data!$CS$91,MATCH("M1",Data!$A$91:$A$190,0)-1,MATCH(C300,Data!$CS$90:$DS$90,0)-1)</f>
        <v>6</v>
      </c>
      <c r="G300" s="65">
        <f ca="1">OFFSET(Data!$CS$91,MATCH($B300,Data!$A$91:$A$190,0)-1,MATCH(C300,Data!$CS$90:$DS$90,0)-1)</f>
        <v>6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2</v>
      </c>
      <c r="K300" s="65" t="str">
        <f>INDEX(Data!$DT$91:$DT$190,MATCH($B300,Data!$A$91:$A$190,0))</f>
        <v>Mike Bischof-Horak</v>
      </c>
      <c r="L300" s="65" t="str">
        <f t="shared" ca="1" si="24"/>
        <v>Best men took only 6 throws</v>
      </c>
      <c r="M300" s="65" t="s">
        <v>1</v>
      </c>
      <c r="N300" s="65" t="s">
        <v>249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367</v>
      </c>
      <c r="B301" s="293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2</v>
      </c>
      <c r="F301" s="65">
        <f ca="1">OFFSET(Data!$CS$91,MATCH("M1",Data!$A$91:$A$190,0)-1,MATCH(C301,Data!$CS$90:$DS$90,0)-1)</f>
        <v>8</v>
      </c>
      <c r="G301" s="65">
        <f ca="1">OFFSET(Data!$CS$91,MATCH($B301,Data!$A$91:$A$190,0)-1,MATCH(C301,Data!$CS$90:$DS$90,0)-1)</f>
        <v>8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2</v>
      </c>
      <c r="K301" s="65" t="str">
        <f>INDEX(Data!$DT$91:$DT$190,MATCH($B301,Data!$A$91:$A$190,0))</f>
        <v>Mike Bischof-Horak</v>
      </c>
      <c r="L301" s="65" t="str">
        <f t="shared" ca="1" si="24"/>
        <v>Best men took only 8 throws</v>
      </c>
      <c r="M301" s="65" t="s">
        <v>1</v>
      </c>
      <c r="N301" s="65" t="s">
        <v>249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367</v>
      </c>
      <c r="B302" s="293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2</v>
      </c>
      <c r="F302" s="65">
        <f ca="1">OFFSET(Data!$CS$91,MATCH("M1",Data!$A$91:$A$190,0)-1,MATCH(C302,Data!$CS$90:$DS$90,0)-1)</f>
        <v>7</v>
      </c>
      <c r="G302" s="65">
        <f ca="1">OFFSET(Data!$CS$91,MATCH($B302,Data!$A$91:$A$190,0)-1,MATCH(C302,Data!$CS$90:$DS$90,0)-1)</f>
        <v>6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2</v>
      </c>
      <c r="K302" s="65" t="str">
        <f>INDEX(Data!$DT$91:$DT$190,MATCH($B302,Data!$A$91:$A$190,0))</f>
        <v>Mike Bischof-Horak</v>
      </c>
      <c r="L302" s="65" t="str">
        <f t="shared" ca="1" si="24"/>
        <v>Best men took only 7 throws</v>
      </c>
      <c r="M302" s="65" t="s">
        <v>1</v>
      </c>
      <c r="N302" s="65" t="s">
        <v>249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367</v>
      </c>
      <c r="B303" s="293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12</v>
      </c>
      <c r="D303" s="65">
        <f>INDEX(Parameter!$B$10:$AB$10,MATCH(C303,Parameter!$B$9:$AB$9,0))</f>
        <v>3</v>
      </c>
      <c r="E303" s="65">
        <f>COUNTIF(Data!$DY$90:$IB$90,Specials!C303)</f>
        <v>2</v>
      </c>
      <c r="F303" s="65">
        <f ca="1">OFFSET(Data!$CS$91,MATCH("M1",Data!$A$91:$A$190,0)-1,MATCH(C303,Data!$CS$90:$DS$90,0)-1)</f>
        <v>6</v>
      </c>
      <c r="G303" s="65">
        <f ca="1">OFFSET(Data!$CS$91,MATCH($B303,Data!$A$91:$A$190,0)-1,MATCH(C303,Data!$CS$90:$DS$90,0)-1)</f>
        <v>6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2</v>
      </c>
      <c r="K303" s="65" t="str">
        <f>INDEX(Data!$DT$91:$DT$190,MATCH($B303,Data!$A$91:$A$190,0))</f>
        <v>Mike Bischof-Horak</v>
      </c>
      <c r="L303" s="65" t="str">
        <f t="shared" ca="1" si="24"/>
        <v>Best men took only 6 throws</v>
      </c>
      <c r="M303" s="65" t="s">
        <v>1</v>
      </c>
      <c r="N303" s="65" t="s">
        <v>249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367</v>
      </c>
      <c r="B304" s="293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14</v>
      </c>
      <c r="D304" s="65">
        <f>INDEX(Parameter!$B$10:$AB$10,MATCH(C304,Parameter!$B$9:$AB$9,0))</f>
        <v>4</v>
      </c>
      <c r="E304" s="65">
        <f>COUNTIF(Data!$DY$90:$IB$90,Specials!C304)</f>
        <v>2</v>
      </c>
      <c r="F304" s="65">
        <f ca="1">OFFSET(Data!$CS$91,MATCH("M1",Data!$A$91:$A$190,0)-1,MATCH(C304,Data!$CS$90:$DS$90,0)-1)</f>
        <v>7</v>
      </c>
      <c r="G304" s="65">
        <f ca="1">OFFSET(Data!$CS$91,MATCH($B304,Data!$A$91:$A$190,0)-1,MATCH(C304,Data!$CS$90:$DS$90,0)-1)</f>
        <v>8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2</v>
      </c>
      <c r="K304" s="65" t="str">
        <f>INDEX(Data!$DT$91:$DT$190,MATCH($B304,Data!$A$91:$A$190,0))</f>
        <v>Mike Bischof-Horak</v>
      </c>
      <c r="L304" s="65" t="str">
        <f t="shared" ca="1" si="24"/>
        <v>Best men took only 7 throws</v>
      </c>
      <c r="M304" s="65" t="s">
        <v>1</v>
      </c>
      <c r="N304" s="65" t="s">
        <v>249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367</v>
      </c>
      <c r="B305" s="293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15</v>
      </c>
      <c r="D305" s="65">
        <f>INDEX(Parameter!$B$10:$AB$10,MATCH(C305,Parameter!$B$9:$AB$9,0))</f>
        <v>4</v>
      </c>
      <c r="E305" s="65">
        <f>COUNTIF(Data!$DY$90:$IB$90,Specials!C305)</f>
        <v>2</v>
      </c>
      <c r="F305" s="65">
        <f ca="1">OFFSET(Data!$CS$91,MATCH("M1",Data!$A$91:$A$190,0)-1,MATCH(C305,Data!$CS$90:$DS$90,0)-1)</f>
        <v>5</v>
      </c>
      <c r="G305" s="65">
        <f ca="1">OFFSET(Data!$CS$91,MATCH($B305,Data!$A$91:$A$190,0)-1,MATCH(C305,Data!$CS$90:$DS$90,0)-1)</f>
        <v>8</v>
      </c>
      <c r="H305" s="65">
        <f t="shared" ca="1" si="23"/>
        <v>1</v>
      </c>
      <c r="I305" s="65">
        <f t="array" ref="I305">SUM(IF(Data!$A$91:$A$190=$B305,Data!$J$91:$M$190))-SUM(IF(Data!$A$91:$A$190="M1",Data!$J$91:$M$190))</f>
        <v>2</v>
      </c>
      <c r="K305" s="65" t="str">
        <f>INDEX(Data!$DT$91:$DT$190,MATCH($B305,Data!$A$91:$A$190,0))</f>
        <v>Mike Bischof-Horak</v>
      </c>
      <c r="L305" s="65" t="str">
        <f t="shared" ca="1" si="24"/>
        <v>Best men took only 5 throws</v>
      </c>
      <c r="M305" s="65" t="s">
        <v>1</v>
      </c>
      <c r="N305" s="65" t="s">
        <v>249</v>
      </c>
      <c r="O305" s="65" t="e">
        <f t="shared" ca="1" si="20"/>
        <v>#VALUE!</v>
      </c>
      <c r="P305" s="65" t="str">
        <f t="shared" ca="1" si="22"/>
        <v>On hole 15 (par 4) Mike Bischof-Horak took 8 throws in total (2 rounds)</v>
      </c>
    </row>
    <row r="306" spans="1:16" s="65" customFormat="1" hidden="1" x14ac:dyDescent="0.25">
      <c r="A306" s="65" t="s">
        <v>367</v>
      </c>
      <c r="B306" s="293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16</v>
      </c>
      <c r="D306" s="65">
        <f>INDEX(Parameter!$B$10:$AB$10,MATCH(C306,Parameter!$B$9:$AB$9,0))</f>
        <v>3</v>
      </c>
      <c r="E306" s="65">
        <f>COUNTIF(Data!$DY$90:$IB$90,Specials!C306)</f>
        <v>2</v>
      </c>
      <c r="F306" s="65">
        <f ca="1">OFFSET(Data!$CS$91,MATCH("M1",Data!$A$91:$A$190,0)-1,MATCH(C306,Data!$CS$90:$DS$90,0)-1)</f>
        <v>6</v>
      </c>
      <c r="G306" s="65">
        <f ca="1">OFFSET(Data!$CS$91,MATCH($B306,Data!$A$91:$A$190,0)-1,MATCH(C306,Data!$CS$90:$DS$90,0)-1)</f>
        <v>4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2</v>
      </c>
      <c r="K306" s="65" t="str">
        <f>INDEX(Data!$DT$91:$DT$190,MATCH($B306,Data!$A$91:$A$190,0))</f>
        <v>Mike Bischof-Horak</v>
      </c>
      <c r="L306" s="65" t="str">
        <f t="shared" ca="1" si="24"/>
        <v>Best men took only 6 throws</v>
      </c>
      <c r="M306" s="65" t="s">
        <v>1</v>
      </c>
      <c r="N306" s="65" t="s">
        <v>249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367</v>
      </c>
      <c r="B307" s="293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17</v>
      </c>
      <c r="D307" s="65">
        <f>INDEX(Parameter!$B$10:$AB$10,MATCH(C307,Parameter!$B$9:$AB$9,0))</f>
        <v>3</v>
      </c>
      <c r="E307" s="65">
        <f>COUNTIF(Data!$DY$90:$IB$90,Specials!C307)</f>
        <v>2</v>
      </c>
      <c r="F307" s="65">
        <f ca="1">OFFSET(Data!$CS$91,MATCH("M1",Data!$A$91:$A$190,0)-1,MATCH(C307,Data!$CS$90:$DS$90,0)-1)</f>
        <v>7</v>
      </c>
      <c r="G307" s="65">
        <f ca="1">OFFSET(Data!$CS$91,MATCH($B307,Data!$A$91:$A$190,0)-1,MATCH(C307,Data!$CS$90:$DS$90,0)-1)</f>
        <v>5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2</v>
      </c>
      <c r="K307" s="65" t="str">
        <f>INDEX(Data!$DT$91:$DT$190,MATCH($B307,Data!$A$91:$A$190,0))</f>
        <v>Mike Bischof-Horak</v>
      </c>
      <c r="L307" s="65" t="str">
        <f t="shared" ca="1" si="24"/>
        <v>Best men took only 7 throws</v>
      </c>
      <c r="M307" s="65" t="s">
        <v>1</v>
      </c>
      <c r="N307" s="65" t="s">
        <v>249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367</v>
      </c>
      <c r="B308" s="293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18</v>
      </c>
      <c r="D308" s="65">
        <f>INDEX(Parameter!$B$10:$AB$10,MATCH(C308,Parameter!$B$9:$AB$9,0))</f>
        <v>3</v>
      </c>
      <c r="E308" s="65">
        <f>COUNTIF(Data!$DY$90:$IB$90,Specials!C308)</f>
        <v>2</v>
      </c>
      <c r="F308" s="65">
        <f ca="1">OFFSET(Data!$CS$91,MATCH("M1",Data!$A$91:$A$190,0)-1,MATCH(C308,Data!$CS$90:$DS$90,0)-1)</f>
        <v>5</v>
      </c>
      <c r="G308" s="65">
        <f ca="1">OFFSET(Data!$CS$91,MATCH($B308,Data!$A$91:$A$190,0)-1,MATCH(C308,Data!$CS$90:$DS$90,0)-1)</f>
        <v>5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2</v>
      </c>
      <c r="K308" s="65" t="str">
        <f>INDEX(Data!$DT$91:$DT$190,MATCH($B308,Data!$A$91:$A$190,0))</f>
        <v>Mike Bischof-Horak</v>
      </c>
      <c r="L308" s="65" t="str">
        <f t="shared" ca="1" si="24"/>
        <v>Best men took only 5 throws</v>
      </c>
      <c r="M308" s="65" t="s">
        <v>1</v>
      </c>
      <c r="N308" s="65" t="s">
        <v>249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367</v>
      </c>
      <c r="B309" s="293" t="str">
        <f>IF(OR(AND(Parameter!$B$4=0,Parameter!$C$5="n"),INDEX(Data!$M$91:$M$190,MATCH("M2",Data!$A$91:$A$190,0))&gt;0,INDEX(Data!$N$91:$N$190,MATCH("M2",Data!$A$91:$A$190,0))&gt;0),"M2","M1")</f>
        <v>M2</v>
      </c>
      <c r="C309" s="65" t="str">
        <f>INDEX(Parameter!$9:$9,,MATCH(17,Parameter!$8:$8,0))</f>
        <v>17a</v>
      </c>
      <c r="D309" s="65" t="str">
        <f>INDEX(Parameter!$B$10:$AB$10,MATCH(C309,Parameter!$B$9:$AB$9,0))</f>
        <v>no</v>
      </c>
      <c r="E309" s="65">
        <f>COUNTIF(Data!$DY$90:$IB$90,Specials!C309)</f>
        <v>0</v>
      </c>
      <c r="F309" s="65">
        <f ca="1">OFFSET(Data!$CS$91,MATCH("M1",Data!$A$91:$A$190,0)-1,MATCH(C309,Data!$CS$90:$DS$90,0)-1)</f>
        <v>0</v>
      </c>
      <c r="G309" s="65">
        <f ca="1">OFFSET(Data!$CS$91,MATCH($B309,Data!$A$91:$A$190,0)-1,MATCH(C309,Data!$CS$90:$DS$90,0)-1)</f>
        <v>0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2</v>
      </c>
      <c r="K309" s="65" t="str">
        <f>INDEX(Data!$DT$91:$DT$190,MATCH($B309,Data!$A$91:$A$190,0))</f>
        <v>Mike Bischof-Horak</v>
      </c>
      <c r="L309" s="65" t="str">
        <f t="shared" ca="1" si="24"/>
        <v>Best men took only 0 throws</v>
      </c>
      <c r="M309" s="65" t="s">
        <v>1</v>
      </c>
      <c r="N309" s="65" t="s">
        <v>249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367</v>
      </c>
      <c r="B310" s="293" t="str">
        <f>IF(OR(AND(Parameter!$B$4=0,Parameter!$C$5="n"),INDEX(Data!$M$91:$M$190,MATCH("M2",Data!$A$91:$A$190,0))&gt;0,INDEX(Data!$N$91:$N$190,MATCH("M2",Data!$A$91:$A$190,0))&gt;0),"M2","M1")</f>
        <v>M2</v>
      </c>
      <c r="C310" s="65" t="str">
        <f>INDEX(Parameter!$9:$9,,MATCH(18,Parameter!$8:$8,0))</f>
        <v>18a</v>
      </c>
      <c r="D310" s="65" t="str">
        <f>INDEX(Parameter!$B$10:$AB$10,MATCH(C310,Parameter!$B$9:$AB$9,0))</f>
        <v>no</v>
      </c>
      <c r="E310" s="65">
        <f>COUNTIF(Data!$DY$90:$IB$90,Specials!C310)</f>
        <v>0</v>
      </c>
      <c r="F310" s="65">
        <f ca="1">OFFSET(Data!$CS$91,MATCH("M1",Data!$A$91:$A$190,0)-1,MATCH(C310,Data!$CS$90:$DS$90,0)-1)</f>
        <v>0</v>
      </c>
      <c r="G310" s="65">
        <f ca="1">OFFSET(Data!$CS$91,MATCH($B310,Data!$A$91:$A$190,0)-1,MATCH(C310,Data!$CS$90:$DS$90,0)-1)</f>
        <v>0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2</v>
      </c>
      <c r="K310" s="65" t="str">
        <f>INDEX(Data!$DT$91:$DT$190,MATCH($B310,Data!$A$91:$A$190,0))</f>
        <v>Mike Bischof-Horak</v>
      </c>
      <c r="L310" s="65" t="str">
        <f t="shared" ca="1" si="24"/>
        <v>Best men took only 0 throws</v>
      </c>
      <c r="M310" s="65" t="s">
        <v>1</v>
      </c>
      <c r="N310" s="65" t="s">
        <v>249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367</v>
      </c>
      <c r="B311" s="293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 t="str">
        <f>INDEX(Parameter!$B$10:$AB$10,MATCH(C311,Parameter!$B$9:$AB$9,0))</f>
        <v>no</v>
      </c>
      <c r="E311" s="65">
        <f>COUNTIF(Data!$DY$90:$IB$90,Specials!C311)</f>
        <v>0</v>
      </c>
      <c r="F311" s="65">
        <f ca="1">OFFSET(Data!$CS$91,MATCH("M1",Data!$A$91:$A$190,0)-1,MATCH(C311,Data!$CS$90:$DS$90,0)-1)</f>
        <v>0</v>
      </c>
      <c r="G311" s="65">
        <f ca="1">OFFSET(Data!$CS$91,MATCH($B311,Data!$A$91:$A$190,0)-1,MATCH(C311,Data!$CS$90:$DS$90,0)-1)</f>
        <v>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2</v>
      </c>
      <c r="K311" s="65" t="str">
        <f>INDEX(Data!$DT$91:$DT$190,MATCH($B311,Data!$A$91:$A$190,0))</f>
        <v>Mike Bischof-Horak</v>
      </c>
      <c r="L311" s="65" t="str">
        <f t="shared" ca="1" si="24"/>
        <v>Best men took only 0 throws</v>
      </c>
      <c r="M311" s="65" t="s">
        <v>1</v>
      </c>
      <c r="N311" s="65" t="s">
        <v>249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367</v>
      </c>
      <c r="B312" s="293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2</v>
      </c>
      <c r="K312" s="65" t="str">
        <f>INDEX(Data!$DT$91:$DT$190,MATCH($B312,Data!$A$91:$A$190,0))</f>
        <v>Mike Bischof-Horak</v>
      </c>
      <c r="L312" s="65" t="str">
        <f t="shared" ca="1" si="24"/>
        <v>Best men took only 0 throws</v>
      </c>
      <c r="M312" s="65" t="s">
        <v>1</v>
      </c>
      <c r="N312" s="65" t="s">
        <v>249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367</v>
      </c>
      <c r="B313" s="293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2</v>
      </c>
      <c r="K313" s="65" t="str">
        <f>INDEX(Data!$DT$91:$DT$190,MATCH($B313,Data!$A$91:$A$190,0))</f>
        <v>Mike Bischof-Horak</v>
      </c>
      <c r="L313" s="65" t="str">
        <f t="shared" ca="1" si="24"/>
        <v>Best men took only 0 throws</v>
      </c>
      <c r="M313" s="65" t="s">
        <v>1</v>
      </c>
      <c r="N313" s="65" t="s">
        <v>249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367</v>
      </c>
      <c r="B314" s="293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2</v>
      </c>
      <c r="K314" s="65" t="str">
        <f>INDEX(Data!$DT$91:$DT$190,MATCH($B314,Data!$A$91:$A$190,0))</f>
        <v>Mike Bischof-Horak</v>
      </c>
      <c r="L314" s="65" t="str">
        <f t="shared" ca="1" si="24"/>
        <v>Best men took only 0 throws</v>
      </c>
      <c r="M314" s="65" t="s">
        <v>1</v>
      </c>
      <c r="N314" s="65" t="s">
        <v>249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367</v>
      </c>
      <c r="B315" s="293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2</v>
      </c>
      <c r="K315" s="65" t="str">
        <f>INDEX(Data!$DT$91:$DT$190,MATCH($B315,Data!$A$91:$A$190,0))</f>
        <v>Mike Bischof-Horak</v>
      </c>
      <c r="L315" s="65" t="str">
        <f t="shared" ca="1" si="24"/>
        <v>Best men took only 0 throws</v>
      </c>
      <c r="M315" s="65" t="s">
        <v>1</v>
      </c>
      <c r="N315" s="65" t="s">
        <v>249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367</v>
      </c>
      <c r="B316" s="293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2</v>
      </c>
      <c r="K316" s="65" t="str">
        <f>INDEX(Data!$DT$91:$DT$190,MATCH($B316,Data!$A$91:$A$190,0))</f>
        <v>Mike Bischof-Horak</v>
      </c>
      <c r="L316" s="65" t="str">
        <f t="shared" ca="1" si="24"/>
        <v>Best men took only 0 throws</v>
      </c>
      <c r="M316" s="65" t="s">
        <v>1</v>
      </c>
      <c r="N316" s="65" t="s">
        <v>249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367</v>
      </c>
      <c r="B317" s="293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2</v>
      </c>
      <c r="K317" s="65" t="str">
        <f>INDEX(Data!$DT$91:$DT$190,MATCH($B317,Data!$A$91:$A$190,0))</f>
        <v>Mike Bischof-Horak</v>
      </c>
      <c r="L317" s="65" t="str">
        <f t="shared" ca="1" si="24"/>
        <v>Best men took only 0 throws</v>
      </c>
      <c r="M317" s="65" t="s">
        <v>1</v>
      </c>
      <c r="N317" s="65" t="s">
        <v>249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367</v>
      </c>
      <c r="B318" s="293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2</v>
      </c>
      <c r="K318" s="65" t="str">
        <f>INDEX(Data!$DT$91:$DT$190,MATCH($B318,Data!$A$91:$A$190,0))</f>
        <v>Mike Bischof-Horak</v>
      </c>
      <c r="L318" s="65" t="str">
        <f t="shared" ca="1" si="24"/>
        <v>Best men took only 0 throws</v>
      </c>
      <c r="M318" s="65" t="s">
        <v>1</v>
      </c>
      <c r="N318" s="65" t="s">
        <v>249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367</v>
      </c>
      <c r="B319" s="293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2</v>
      </c>
      <c r="K319" s="65" t="str">
        <f>INDEX(Data!$DT$91:$DT$190,MATCH($B319,Data!$A$91:$A$190,0))</f>
        <v>Mike Bischof-Horak</v>
      </c>
      <c r="L319" s="65" t="str">
        <f t="shared" ca="1" si="24"/>
        <v>Best men took only 0 throws</v>
      </c>
      <c r="M319" s="65" t="s">
        <v>1</v>
      </c>
      <c r="N319" s="65" t="s">
        <v>249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367</v>
      </c>
      <c r="B320" s="293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4</v>
      </c>
      <c r="E320" s="65">
        <f>COUNTIF(Data!$DY$90:$IB$90,Specials!C320)</f>
        <v>2</v>
      </c>
      <c r="F320" s="65">
        <f ca="1">OFFSET(Data!$CS$91,MATCH("M1",Data!$A$91:$A$190,0)-1,MATCH(C320,Data!$CS$90:$DS$90,0)-1)</f>
        <v>6</v>
      </c>
      <c r="G320" s="65">
        <f ca="1">OFFSET(Data!$CS$91,MATCH($B320,Data!$A$91:$A$190,0)-1,MATCH(C320,Data!$CS$90:$DS$90,0)-1)</f>
        <v>8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2</v>
      </c>
      <c r="K320" s="65" t="str">
        <f>INDEX(Data!$DT$91:$DT$190,MATCH($B320,Data!$A$91:$A$190,0))</f>
        <v>Reinhold Schachner</v>
      </c>
      <c r="L320" s="65" t="str">
        <f t="shared" ca="1" si="24"/>
        <v>Best men took only 6 throws</v>
      </c>
      <c r="M320" s="65" t="s">
        <v>1</v>
      </c>
      <c r="N320" s="65" t="s">
        <v>249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367</v>
      </c>
      <c r="B321" s="293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4</v>
      </c>
      <c r="E321" s="65">
        <f>COUNTIF(Data!$DY$90:$IB$90,Specials!C321)</f>
        <v>2</v>
      </c>
      <c r="F321" s="65">
        <f ca="1">OFFSET(Data!$CS$91,MATCH("M1",Data!$A$91:$A$190,0)-1,MATCH(C321,Data!$CS$90:$DS$90,0)-1)</f>
        <v>8</v>
      </c>
      <c r="G321" s="65">
        <f ca="1">OFFSET(Data!$CS$91,MATCH($B321,Data!$A$91:$A$190,0)-1,MATCH(C321,Data!$CS$90:$DS$90,0)-1)</f>
        <v>7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2</v>
      </c>
      <c r="K321" s="65" t="str">
        <f>INDEX(Data!$DT$91:$DT$190,MATCH($B321,Data!$A$91:$A$190,0))</f>
        <v>Reinhold Schachner</v>
      </c>
      <c r="L321" s="65" t="str">
        <f t="shared" ca="1" si="24"/>
        <v>Best men took only 8 throws</v>
      </c>
      <c r="M321" s="65" t="s">
        <v>1</v>
      </c>
      <c r="N321" s="65" t="s">
        <v>249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367</v>
      </c>
      <c r="B322" s="293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4</v>
      </c>
      <c r="E322" s="65">
        <f>COUNTIF(Data!$DY$90:$IB$90,Specials!C322)</f>
        <v>2</v>
      </c>
      <c r="F322" s="65">
        <f ca="1">OFFSET(Data!$CS$91,MATCH("M1",Data!$A$91:$A$190,0)-1,MATCH(C322,Data!$CS$90:$DS$90,0)-1)</f>
        <v>10</v>
      </c>
      <c r="G322" s="65">
        <f ca="1">OFFSET(Data!$CS$91,MATCH($B322,Data!$A$91:$A$190,0)-1,MATCH(C322,Data!$CS$90:$DS$90,0)-1)</f>
        <v>10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2</v>
      </c>
      <c r="K322" s="65" t="str">
        <f>INDEX(Data!$DT$91:$DT$190,MATCH($B322,Data!$A$91:$A$190,0))</f>
        <v>Reinhold Schachner</v>
      </c>
      <c r="L322" s="65" t="str">
        <f t="shared" ca="1" si="24"/>
        <v>Best men took only 10 throws</v>
      </c>
      <c r="M322" s="65" t="s">
        <v>1</v>
      </c>
      <c r="N322" s="65" t="s">
        <v>249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367</v>
      </c>
      <c r="B323" s="293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2</v>
      </c>
      <c r="F323" s="65">
        <f ca="1">OFFSET(Data!$CS$91,MATCH("M1",Data!$A$91:$A$190,0)-1,MATCH(C323,Data!$CS$90:$DS$90,0)-1)</f>
        <v>4</v>
      </c>
      <c r="G323" s="65">
        <f ca="1">OFFSET(Data!$CS$91,MATCH($B323,Data!$A$91:$A$190,0)-1,MATCH(C323,Data!$CS$90:$DS$90,0)-1)</f>
        <v>6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2</v>
      </c>
      <c r="K323" s="65" t="str">
        <f>INDEX(Data!$DT$91:$DT$190,MATCH($B323,Data!$A$91:$A$190,0))</f>
        <v>Reinhold Schachner</v>
      </c>
      <c r="L323" s="65" t="str">
        <f t="shared" ca="1" si="24"/>
        <v>Best men took only 4 throws</v>
      </c>
      <c r="M323" s="65" t="s">
        <v>1</v>
      </c>
      <c r="N323" s="65" t="s">
        <v>249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367</v>
      </c>
      <c r="B324" s="293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3</v>
      </c>
      <c r="E324" s="65">
        <f>COUNTIF(Data!$DY$90:$IB$90,Specials!C324)</f>
        <v>2</v>
      </c>
      <c r="F324" s="65">
        <f ca="1">OFFSET(Data!$CS$91,MATCH("M1",Data!$A$91:$A$190,0)-1,MATCH(C324,Data!$CS$90:$DS$90,0)-1)</f>
        <v>4</v>
      </c>
      <c r="G324" s="65">
        <f ca="1">OFFSET(Data!$CS$91,MATCH($B324,Data!$A$91:$A$190,0)-1,MATCH(C324,Data!$CS$90:$DS$90,0)-1)</f>
        <v>5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2</v>
      </c>
      <c r="K324" s="65" t="str">
        <f>INDEX(Data!$DT$91:$DT$190,MATCH($B324,Data!$A$91:$A$190,0))</f>
        <v>Reinhold Schachner</v>
      </c>
      <c r="L324" s="65" t="str">
        <f t="shared" ca="1" si="24"/>
        <v>Best men took only 4 throws</v>
      </c>
      <c r="M324" s="65" t="s">
        <v>1</v>
      </c>
      <c r="N324" s="65" t="s">
        <v>249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367</v>
      </c>
      <c r="B325" s="293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5</v>
      </c>
      <c r="E325" s="65">
        <f>COUNTIF(Data!$DY$90:$IB$90,Specials!C325)</f>
        <v>2</v>
      </c>
      <c r="F325" s="65">
        <f ca="1">OFFSET(Data!$CS$91,MATCH("M1",Data!$A$91:$A$190,0)-1,MATCH(C325,Data!$CS$90:$DS$90,0)-1)</f>
        <v>10</v>
      </c>
      <c r="G325" s="65">
        <f ca="1">OFFSET(Data!$CS$91,MATCH($B325,Data!$A$91:$A$190,0)-1,MATCH(C325,Data!$CS$90:$DS$90,0)-1)</f>
        <v>9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2</v>
      </c>
      <c r="K325" s="65" t="str">
        <f>INDEX(Data!$DT$91:$DT$190,MATCH($B325,Data!$A$91:$A$190,0))</f>
        <v>Reinhold Schachner</v>
      </c>
      <c r="L325" s="65" t="str">
        <f t="shared" ca="1" si="24"/>
        <v>Best men took only 10 throws</v>
      </c>
      <c r="M325" s="65" t="s">
        <v>1</v>
      </c>
      <c r="N325" s="65" t="s">
        <v>249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367</v>
      </c>
      <c r="B326" s="293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3</v>
      </c>
      <c r="F326" s="65">
        <f ca="1">OFFSET(Data!$CS$91,MATCH("M1",Data!$A$91:$A$190,0)-1,MATCH(C326,Data!$CS$90:$DS$90,0)-1)</f>
        <v>5</v>
      </c>
      <c r="G326" s="65">
        <f ca="1">OFFSET(Data!$CS$91,MATCH($B326,Data!$A$91:$A$190,0)-1,MATCH(C326,Data!$CS$90:$DS$90,0)-1)</f>
        <v>5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2</v>
      </c>
      <c r="K326" s="65" t="str">
        <f>INDEX(Data!$DT$91:$DT$190,MATCH($B326,Data!$A$91:$A$190,0))</f>
        <v>Reinhold Schachner</v>
      </c>
      <c r="L326" s="65" t="str">
        <f t="shared" ca="1" si="24"/>
        <v>Best men took only 5 throws</v>
      </c>
      <c r="M326" s="65" t="s">
        <v>1</v>
      </c>
      <c r="N326" s="65" t="s">
        <v>249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367</v>
      </c>
      <c r="B327" s="293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2</v>
      </c>
      <c r="F327" s="65">
        <f ca="1">OFFSET(Data!$CS$91,MATCH("M1",Data!$A$91:$A$190,0)-1,MATCH(C327,Data!$CS$90:$DS$90,0)-1)</f>
        <v>6</v>
      </c>
      <c r="G327" s="65">
        <f ca="1">OFFSET(Data!$CS$91,MATCH($B327,Data!$A$91:$A$190,0)-1,MATCH(C327,Data!$CS$90:$DS$90,0)-1)</f>
        <v>5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2</v>
      </c>
      <c r="K327" s="65" t="str">
        <f>INDEX(Data!$DT$91:$DT$190,MATCH($B327,Data!$A$91:$A$190,0))</f>
        <v>Reinhold Schachner</v>
      </c>
      <c r="L327" s="65" t="str">
        <f t="shared" ca="1" si="24"/>
        <v>Best men took only 6 throws</v>
      </c>
      <c r="M327" s="65" t="s">
        <v>1</v>
      </c>
      <c r="N327" s="65" t="s">
        <v>249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367</v>
      </c>
      <c r="B328" s="293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2</v>
      </c>
      <c r="F328" s="65">
        <f ca="1">OFFSET(Data!$CS$91,MATCH("M1",Data!$A$91:$A$190,0)-1,MATCH(C328,Data!$CS$90:$DS$90,0)-1)</f>
        <v>8</v>
      </c>
      <c r="G328" s="65">
        <f ca="1">OFFSET(Data!$CS$91,MATCH($B328,Data!$A$91:$A$190,0)-1,MATCH(C328,Data!$CS$90:$DS$90,0)-1)</f>
        <v>6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2</v>
      </c>
      <c r="K328" s="65" t="str">
        <f>INDEX(Data!$DT$91:$DT$190,MATCH($B328,Data!$A$91:$A$190,0))</f>
        <v>Reinhold Schachner</v>
      </c>
      <c r="L328" s="65" t="str">
        <f t="shared" ca="1" si="24"/>
        <v>Best men took only 8 throws</v>
      </c>
      <c r="M328" s="65" t="s">
        <v>1</v>
      </c>
      <c r="N328" s="65" t="s">
        <v>249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367</v>
      </c>
      <c r="B329" s="293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2</v>
      </c>
      <c r="F329" s="65">
        <f ca="1">OFFSET(Data!$CS$91,MATCH("M1",Data!$A$91:$A$190,0)-1,MATCH(C329,Data!$CS$90:$DS$90,0)-1)</f>
        <v>7</v>
      </c>
      <c r="G329" s="65">
        <f ca="1">OFFSET(Data!$CS$91,MATCH($B329,Data!$A$91:$A$190,0)-1,MATCH(C329,Data!$CS$90:$DS$90,0)-1)</f>
        <v>6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2</v>
      </c>
      <c r="K329" s="65" t="str">
        <f>INDEX(Data!$DT$91:$DT$190,MATCH($B329,Data!$A$91:$A$190,0))</f>
        <v>Reinhold Schachner</v>
      </c>
      <c r="L329" s="65" t="str">
        <f t="shared" ca="1" si="24"/>
        <v>Best men took only 7 throws</v>
      </c>
      <c r="M329" s="65" t="s">
        <v>1</v>
      </c>
      <c r="N329" s="65" t="s">
        <v>249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367</v>
      </c>
      <c r="B330" s="293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12</v>
      </c>
      <c r="D330" s="65">
        <f>INDEX(Parameter!$B$10:$AB$10,MATCH(C330,Parameter!$B$9:$AB$9,0))</f>
        <v>3</v>
      </c>
      <c r="E330" s="65">
        <f>COUNTIF(Data!$DY$90:$IB$90,Specials!C330)</f>
        <v>2</v>
      </c>
      <c r="F330" s="65">
        <f ca="1">OFFSET(Data!$CS$91,MATCH("M1",Data!$A$91:$A$190,0)-1,MATCH(C330,Data!$CS$90:$DS$90,0)-1)</f>
        <v>6</v>
      </c>
      <c r="G330" s="65">
        <f ca="1">OFFSET(Data!$CS$91,MATCH($B330,Data!$A$91:$A$190,0)-1,MATCH(C330,Data!$CS$90:$DS$90,0)-1)</f>
        <v>5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2</v>
      </c>
      <c r="K330" s="65" t="str">
        <f>INDEX(Data!$DT$91:$DT$190,MATCH($B330,Data!$A$91:$A$190,0))</f>
        <v>Reinhold Schachner</v>
      </c>
      <c r="L330" s="65" t="str">
        <f t="shared" ca="1" si="24"/>
        <v>Best men took only 6 throws</v>
      </c>
      <c r="M330" s="65" t="s">
        <v>1</v>
      </c>
      <c r="N330" s="65" t="s">
        <v>249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367</v>
      </c>
      <c r="B331" s="293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14</v>
      </c>
      <c r="D331" s="65">
        <f>INDEX(Parameter!$B$10:$AB$10,MATCH(C331,Parameter!$B$9:$AB$9,0))</f>
        <v>4</v>
      </c>
      <c r="E331" s="65">
        <f>COUNTIF(Data!$DY$90:$IB$90,Specials!C331)</f>
        <v>2</v>
      </c>
      <c r="F331" s="65">
        <f ca="1">OFFSET(Data!$CS$91,MATCH("M1",Data!$A$91:$A$190,0)-1,MATCH(C331,Data!$CS$90:$DS$90,0)-1)</f>
        <v>7</v>
      </c>
      <c r="G331" s="65">
        <f ca="1">OFFSET(Data!$CS$91,MATCH($B331,Data!$A$91:$A$190,0)-1,MATCH(C331,Data!$CS$90:$DS$90,0)-1)</f>
        <v>10</v>
      </c>
      <c r="H331" s="65">
        <f t="shared" ca="1" si="23"/>
        <v>1</v>
      </c>
      <c r="I331" s="65">
        <f t="array" ref="I331">SUM(IF(Data!$A$91:$A$190=$B331,Data!$J$91:$M$190))-SUM(IF(Data!$A$91:$A$190="M1",Data!$J$91:$M$190))</f>
        <v>2</v>
      </c>
      <c r="K331" s="65" t="str">
        <f>INDEX(Data!$DT$91:$DT$190,MATCH($B331,Data!$A$91:$A$190,0))</f>
        <v>Reinhold Schachner</v>
      </c>
      <c r="L331" s="65" t="str">
        <f t="shared" ca="1" si="24"/>
        <v>Best men took only 7 throws</v>
      </c>
      <c r="M331" s="65" t="s">
        <v>1</v>
      </c>
      <c r="N331" s="65" t="s">
        <v>249</v>
      </c>
      <c r="O331" s="65" t="e">
        <f t="shared" ca="1" si="25"/>
        <v>#VALUE!</v>
      </c>
      <c r="P331" s="65" t="str">
        <f t="shared" ca="1" si="26"/>
        <v>On hole 14 (par 4) Reinhold Schachner took 10 throws in total (2 rounds)</v>
      </c>
    </row>
    <row r="332" spans="1:16" s="65" customFormat="1" hidden="1" x14ac:dyDescent="0.25">
      <c r="A332" s="65" t="s">
        <v>367</v>
      </c>
      <c r="B332" s="293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15</v>
      </c>
      <c r="D332" s="65">
        <f>INDEX(Parameter!$B$10:$AB$10,MATCH(C332,Parameter!$B$9:$AB$9,0))</f>
        <v>4</v>
      </c>
      <c r="E332" s="65">
        <f>COUNTIF(Data!$DY$90:$IB$90,Specials!C332)</f>
        <v>2</v>
      </c>
      <c r="F332" s="65">
        <f ca="1">OFFSET(Data!$CS$91,MATCH("M1",Data!$A$91:$A$190,0)-1,MATCH(C332,Data!$CS$90:$DS$90,0)-1)</f>
        <v>5</v>
      </c>
      <c r="G332" s="65">
        <f ca="1">OFFSET(Data!$CS$91,MATCH($B332,Data!$A$91:$A$190,0)-1,MATCH(C332,Data!$CS$90:$DS$90,0)-1)</f>
        <v>7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2</v>
      </c>
      <c r="K332" s="65" t="str">
        <f>INDEX(Data!$DT$91:$DT$190,MATCH($B332,Data!$A$91:$A$190,0))</f>
        <v>Reinhold Schachner</v>
      </c>
      <c r="L332" s="65" t="str">
        <f t="shared" ca="1" si="24"/>
        <v>Best men took only 5 throws</v>
      </c>
      <c r="M332" s="65" t="s">
        <v>1</v>
      </c>
      <c r="N332" s="65" t="s">
        <v>249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367</v>
      </c>
      <c r="B333" s="293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16</v>
      </c>
      <c r="D333" s="65">
        <f>INDEX(Parameter!$B$10:$AB$10,MATCH(C333,Parameter!$B$9:$AB$9,0))</f>
        <v>3</v>
      </c>
      <c r="E333" s="65">
        <f>COUNTIF(Data!$DY$90:$IB$90,Specials!C333)</f>
        <v>2</v>
      </c>
      <c r="F333" s="65">
        <f ca="1">OFFSET(Data!$CS$91,MATCH("M1",Data!$A$91:$A$190,0)-1,MATCH(C333,Data!$CS$90:$DS$90,0)-1)</f>
        <v>6</v>
      </c>
      <c r="G333" s="65">
        <f ca="1">OFFSET(Data!$CS$91,MATCH($B333,Data!$A$91:$A$190,0)-1,MATCH(C333,Data!$CS$90:$DS$90,0)-1)</f>
        <v>4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2</v>
      </c>
      <c r="K333" s="65" t="str">
        <f>INDEX(Data!$DT$91:$DT$190,MATCH($B333,Data!$A$91:$A$190,0))</f>
        <v>Reinhold Schachner</v>
      </c>
      <c r="L333" s="65" t="str">
        <f t="shared" ca="1" si="24"/>
        <v>Best men took only 6 throws</v>
      </c>
      <c r="M333" s="65" t="s">
        <v>1</v>
      </c>
      <c r="N333" s="65" t="s">
        <v>249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367</v>
      </c>
      <c r="B334" s="293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17</v>
      </c>
      <c r="D334" s="65">
        <f>INDEX(Parameter!$B$10:$AB$10,MATCH(C334,Parameter!$B$9:$AB$9,0))</f>
        <v>3</v>
      </c>
      <c r="E334" s="65">
        <f>COUNTIF(Data!$DY$90:$IB$90,Specials!C334)</f>
        <v>2</v>
      </c>
      <c r="F334" s="65">
        <f ca="1">OFFSET(Data!$CS$91,MATCH("M1",Data!$A$91:$A$190,0)-1,MATCH(C334,Data!$CS$90:$DS$90,0)-1)</f>
        <v>7</v>
      </c>
      <c r="G334" s="65">
        <f ca="1">OFFSET(Data!$CS$91,MATCH($B334,Data!$A$91:$A$190,0)-1,MATCH(C334,Data!$CS$90:$DS$90,0)-1)</f>
        <v>8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2</v>
      </c>
      <c r="K334" s="65" t="str">
        <f>INDEX(Data!$DT$91:$DT$190,MATCH($B334,Data!$A$91:$A$190,0))</f>
        <v>Reinhold Schachner</v>
      </c>
      <c r="L334" s="65" t="str">
        <f t="shared" ca="1" si="24"/>
        <v>Best men took only 7 throws</v>
      </c>
      <c r="M334" s="65" t="s">
        <v>1</v>
      </c>
      <c r="N334" s="65" t="s">
        <v>249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367</v>
      </c>
      <c r="B335" s="293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18</v>
      </c>
      <c r="D335" s="65">
        <f>INDEX(Parameter!$B$10:$AB$10,MATCH(C335,Parameter!$B$9:$AB$9,0))</f>
        <v>3</v>
      </c>
      <c r="E335" s="65">
        <f>COUNTIF(Data!$DY$90:$IB$90,Specials!C335)</f>
        <v>2</v>
      </c>
      <c r="F335" s="65">
        <f ca="1">OFFSET(Data!$CS$91,MATCH("M1",Data!$A$91:$A$190,0)-1,MATCH(C335,Data!$CS$90:$DS$90,0)-1)</f>
        <v>5</v>
      </c>
      <c r="G335" s="65">
        <f ca="1">OFFSET(Data!$CS$91,MATCH($B335,Data!$A$91:$A$190,0)-1,MATCH(C335,Data!$CS$90:$DS$90,0)-1)</f>
        <v>5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2</v>
      </c>
      <c r="K335" s="65" t="str">
        <f>INDEX(Data!$DT$91:$DT$190,MATCH($B335,Data!$A$91:$A$190,0))</f>
        <v>Reinhold Schachner</v>
      </c>
      <c r="L335" s="65" t="str">
        <f t="shared" ca="1" si="24"/>
        <v>Best men took only 5 throws</v>
      </c>
      <c r="M335" s="65" t="s">
        <v>1</v>
      </c>
      <c r="N335" s="65" t="s">
        <v>249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367</v>
      </c>
      <c r="B336" s="293" t="str">
        <f>IF(OR(AND(Parameter!$B$4=0,Parameter!$C$5="n"),INDEX(Data!$M$91:$M$190,MATCH("M3",Data!$A$91:$A$190,0))&gt;0,INDEX(Data!$N$91:$N$190,MATCH("M3",Data!$A$91:$A$190,0))&gt;0),"M3","M1")</f>
        <v>M3</v>
      </c>
      <c r="C336" s="65" t="str">
        <f>INDEX(Parameter!$9:$9,,MATCH(17,Parameter!$8:$8,0))</f>
        <v>17a</v>
      </c>
      <c r="D336" s="65" t="str">
        <f>INDEX(Parameter!$B$10:$AB$10,MATCH(C336,Parameter!$B$9:$AB$9,0))</f>
        <v>no</v>
      </c>
      <c r="E336" s="65">
        <f>COUNTIF(Data!$DY$90:$IB$90,Specials!C336)</f>
        <v>0</v>
      </c>
      <c r="F336" s="65">
        <f ca="1">OFFSET(Data!$CS$91,MATCH("M1",Data!$A$91:$A$190,0)-1,MATCH(C336,Data!$CS$90:$DS$90,0)-1)</f>
        <v>0</v>
      </c>
      <c r="G336" s="65">
        <f ca="1">OFFSET(Data!$CS$91,MATCH($B336,Data!$A$91:$A$190,0)-1,MATCH(C336,Data!$CS$90:$DS$90,0)-1)</f>
        <v>0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2</v>
      </c>
      <c r="K336" s="65" t="str">
        <f>INDEX(Data!$DT$91:$DT$190,MATCH($B336,Data!$A$91:$A$190,0))</f>
        <v>Reinhold Schachner</v>
      </c>
      <c r="L336" s="65" t="str">
        <f t="shared" ca="1" si="24"/>
        <v>Best men took only 0 throws</v>
      </c>
      <c r="M336" s="65" t="s">
        <v>1</v>
      </c>
      <c r="N336" s="65" t="s">
        <v>249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367</v>
      </c>
      <c r="B337" s="293" t="str">
        <f>IF(OR(AND(Parameter!$B$4=0,Parameter!$C$5="n"),INDEX(Data!$M$91:$M$190,MATCH("M3",Data!$A$91:$A$190,0))&gt;0,INDEX(Data!$N$91:$N$190,MATCH("M3",Data!$A$91:$A$190,0))&gt;0),"M3","M1")</f>
        <v>M3</v>
      </c>
      <c r="C337" s="65" t="str">
        <f>INDEX(Parameter!$9:$9,,MATCH(18,Parameter!$8:$8,0))</f>
        <v>18a</v>
      </c>
      <c r="D337" s="65" t="str">
        <f>INDEX(Parameter!$B$10:$AB$10,MATCH(C337,Parameter!$B$9:$AB$9,0))</f>
        <v>no</v>
      </c>
      <c r="E337" s="65">
        <f>COUNTIF(Data!$DY$90:$IB$90,Specials!C337)</f>
        <v>0</v>
      </c>
      <c r="F337" s="65">
        <f ca="1">OFFSET(Data!$CS$91,MATCH("M1",Data!$A$91:$A$190,0)-1,MATCH(C337,Data!$CS$90:$DS$90,0)-1)</f>
        <v>0</v>
      </c>
      <c r="G337" s="65">
        <f ca="1">OFFSET(Data!$CS$91,MATCH($B337,Data!$A$91:$A$190,0)-1,MATCH(C337,Data!$CS$90:$DS$90,0)-1)</f>
        <v>0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2</v>
      </c>
      <c r="K337" s="65" t="str">
        <f>INDEX(Data!$DT$91:$DT$190,MATCH($B337,Data!$A$91:$A$190,0))</f>
        <v>Reinhold Schachner</v>
      </c>
      <c r="L337" s="65" t="str">
        <f t="shared" ca="1" si="24"/>
        <v>Best men took only 0 throws</v>
      </c>
      <c r="M337" s="65" t="s">
        <v>1</v>
      </c>
      <c r="N337" s="65" t="s">
        <v>249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367</v>
      </c>
      <c r="B338" s="293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 t="str">
        <f>INDEX(Parameter!$B$10:$AB$10,MATCH(C338,Parameter!$B$9:$AB$9,0))</f>
        <v>no</v>
      </c>
      <c r="E338" s="65">
        <f>COUNTIF(Data!$DY$90:$IB$90,Specials!C338)</f>
        <v>0</v>
      </c>
      <c r="F338" s="65">
        <f ca="1">OFFSET(Data!$CS$91,MATCH("M1",Data!$A$91:$A$190,0)-1,MATCH(C338,Data!$CS$90:$DS$90,0)-1)</f>
        <v>0</v>
      </c>
      <c r="G338" s="65">
        <f ca="1">OFFSET(Data!$CS$91,MATCH($B338,Data!$A$91:$A$190,0)-1,MATCH(C338,Data!$CS$90:$DS$90,0)-1)</f>
        <v>0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2</v>
      </c>
      <c r="K338" s="65" t="str">
        <f>INDEX(Data!$DT$91:$DT$190,MATCH($B338,Data!$A$91:$A$190,0))</f>
        <v>Reinhold Schachner</v>
      </c>
      <c r="L338" s="65" t="str">
        <f t="shared" ca="1" si="24"/>
        <v>Best men took only 0 throws</v>
      </c>
      <c r="M338" s="65" t="s">
        <v>1</v>
      </c>
      <c r="N338" s="65" t="s">
        <v>249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367</v>
      </c>
      <c r="B339" s="293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2</v>
      </c>
      <c r="K339" s="65" t="str">
        <f>INDEX(Data!$DT$91:$DT$190,MATCH($B339,Data!$A$91:$A$190,0))</f>
        <v>Reinhold Schachner</v>
      </c>
      <c r="L339" s="65" t="str">
        <f t="shared" ca="1" si="24"/>
        <v>Best men took only 0 throws</v>
      </c>
      <c r="M339" s="65" t="s">
        <v>1</v>
      </c>
      <c r="N339" s="65" t="s">
        <v>249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367</v>
      </c>
      <c r="B340" s="293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2</v>
      </c>
      <c r="K340" s="65" t="str">
        <f>INDEX(Data!$DT$91:$DT$190,MATCH($B340,Data!$A$91:$A$190,0))</f>
        <v>Reinhold Schachner</v>
      </c>
      <c r="L340" s="65" t="str">
        <f t="shared" ca="1" si="24"/>
        <v>Best men took only 0 throws</v>
      </c>
      <c r="M340" s="65" t="s">
        <v>1</v>
      </c>
      <c r="N340" s="65" t="s">
        <v>249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367</v>
      </c>
      <c r="B341" s="293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2</v>
      </c>
      <c r="K341" s="65" t="str">
        <f>INDEX(Data!$DT$91:$DT$190,MATCH($B341,Data!$A$91:$A$190,0))</f>
        <v>Reinhold Schachner</v>
      </c>
      <c r="L341" s="65" t="str">
        <f t="shared" ca="1" si="24"/>
        <v>Best men took only 0 throws</v>
      </c>
      <c r="M341" s="65" t="s">
        <v>1</v>
      </c>
      <c r="N341" s="65" t="s">
        <v>249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367</v>
      </c>
      <c r="B342" s="293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2</v>
      </c>
      <c r="K342" s="65" t="str">
        <f>INDEX(Data!$DT$91:$DT$190,MATCH($B342,Data!$A$91:$A$190,0))</f>
        <v>Reinhold Schachner</v>
      </c>
      <c r="L342" s="65" t="str">
        <f t="shared" ca="1" si="24"/>
        <v>Best men took only 0 throws</v>
      </c>
      <c r="M342" s="65" t="s">
        <v>1</v>
      </c>
      <c r="N342" s="65" t="s">
        <v>249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367</v>
      </c>
      <c r="B343" s="293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2</v>
      </c>
      <c r="K343" s="65" t="str">
        <f>INDEX(Data!$DT$91:$DT$190,MATCH($B343,Data!$A$91:$A$190,0))</f>
        <v>Reinhold Schachner</v>
      </c>
      <c r="L343" s="65" t="str">
        <f t="shared" ca="1" si="24"/>
        <v>Best men took only 0 throws</v>
      </c>
      <c r="M343" s="65" t="s">
        <v>1</v>
      </c>
      <c r="N343" s="65" t="s">
        <v>249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367</v>
      </c>
      <c r="B344" s="293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2</v>
      </c>
      <c r="K344" s="65" t="str">
        <f>INDEX(Data!$DT$91:$DT$190,MATCH($B344,Data!$A$91:$A$190,0))</f>
        <v>Reinhold Schachner</v>
      </c>
      <c r="L344" s="65" t="str">
        <f t="shared" ca="1" si="24"/>
        <v>Best men took only 0 throws</v>
      </c>
      <c r="M344" s="65" t="s">
        <v>1</v>
      </c>
      <c r="N344" s="65" t="s">
        <v>249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367</v>
      </c>
      <c r="B345" s="293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2</v>
      </c>
      <c r="K345" s="65" t="str">
        <f>INDEX(Data!$DT$91:$DT$190,MATCH($B345,Data!$A$91:$A$190,0))</f>
        <v>Reinhold Schachner</v>
      </c>
      <c r="L345" s="65" t="str">
        <f t="shared" ca="1" si="24"/>
        <v>Best men took only 0 throws</v>
      </c>
      <c r="M345" s="65" t="s">
        <v>1</v>
      </c>
      <c r="N345" s="65" t="s">
        <v>249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367</v>
      </c>
      <c r="B346" s="293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2</v>
      </c>
      <c r="K346" s="65" t="str">
        <f>INDEX(Data!$DT$91:$DT$190,MATCH($B346,Data!$A$91:$A$190,0))</f>
        <v>Reinhold Schachner</v>
      </c>
      <c r="L346" s="65" t="str">
        <f t="shared" ca="1" si="24"/>
        <v>Best men took only 0 throws</v>
      </c>
      <c r="M346" s="65" t="s">
        <v>1</v>
      </c>
      <c r="N346" s="65" t="s">
        <v>249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367</v>
      </c>
      <c r="B347" s="293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4</v>
      </c>
      <c r="E347" s="65">
        <f>COUNTIF(Data!$DY$90:$IB$90,Specials!C347)</f>
        <v>2</v>
      </c>
      <c r="F347" s="65">
        <f ca="1">OFFSET(Data!$CS$91,MATCH("M1",Data!$A$91:$A$190,0)-1,MATCH(C347,Data!$CS$90:$DS$90,0)-1)</f>
        <v>6</v>
      </c>
      <c r="G347" s="65">
        <f ca="1">OFFSET(Data!$CS$91,MATCH($B347,Data!$A$91:$A$190,0)-1,MATCH(C347,Data!$CS$90:$DS$90,0)-1)</f>
        <v>6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2</v>
      </c>
      <c r="K347" s="65" t="str">
        <f>INDEX(Data!$DT$91:$DT$190,MATCH($B347,Data!$A$91:$A$190,0))</f>
        <v>Róbert Furka</v>
      </c>
      <c r="L347" s="65" t="str">
        <f t="shared" ca="1" si="24"/>
        <v>Best men took only 6 throws</v>
      </c>
      <c r="M347" s="65" t="s">
        <v>1</v>
      </c>
      <c r="N347" s="65" t="s">
        <v>249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367</v>
      </c>
      <c r="B348" s="293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4</v>
      </c>
      <c r="E348" s="65">
        <f>COUNTIF(Data!$DY$90:$IB$90,Specials!C348)</f>
        <v>2</v>
      </c>
      <c r="F348" s="65">
        <f ca="1">OFFSET(Data!$CS$91,MATCH("M1",Data!$A$91:$A$190,0)-1,MATCH(C348,Data!$CS$90:$DS$90,0)-1)</f>
        <v>8</v>
      </c>
      <c r="G348" s="65">
        <f ca="1">OFFSET(Data!$CS$91,MATCH($B348,Data!$A$91:$A$190,0)-1,MATCH(C348,Data!$CS$90:$DS$90,0)-1)</f>
        <v>8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2</v>
      </c>
      <c r="K348" s="65" t="str">
        <f>INDEX(Data!$DT$91:$DT$190,MATCH($B348,Data!$A$91:$A$190,0))</f>
        <v>Róbert Furka</v>
      </c>
      <c r="L348" s="65" t="str">
        <f t="shared" ca="1" si="24"/>
        <v>Best men took only 8 throws</v>
      </c>
      <c r="M348" s="65" t="s">
        <v>1</v>
      </c>
      <c r="N348" s="65" t="s">
        <v>249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367</v>
      </c>
      <c r="B349" s="293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4</v>
      </c>
      <c r="E349" s="65">
        <f>COUNTIF(Data!$DY$90:$IB$90,Specials!C349)</f>
        <v>2</v>
      </c>
      <c r="F349" s="65">
        <f ca="1">OFFSET(Data!$CS$91,MATCH("M1",Data!$A$91:$A$190,0)-1,MATCH(C349,Data!$CS$90:$DS$90,0)-1)</f>
        <v>10</v>
      </c>
      <c r="G349" s="65">
        <f ca="1">OFFSET(Data!$CS$91,MATCH($B349,Data!$A$91:$A$190,0)-1,MATCH(C349,Data!$CS$90:$DS$90,0)-1)</f>
        <v>8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2</v>
      </c>
      <c r="K349" s="65" t="str">
        <f>INDEX(Data!$DT$91:$DT$190,MATCH($B349,Data!$A$91:$A$190,0))</f>
        <v>Róbert Furka</v>
      </c>
      <c r="L349" s="65" t="str">
        <f t="shared" ca="1" si="24"/>
        <v>Best men took only 10 throws</v>
      </c>
      <c r="M349" s="65" t="s">
        <v>1</v>
      </c>
      <c r="N349" s="65" t="s">
        <v>249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367</v>
      </c>
      <c r="B350" s="293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2</v>
      </c>
      <c r="F350" s="65">
        <f ca="1">OFFSET(Data!$CS$91,MATCH("M1",Data!$A$91:$A$190,0)-1,MATCH(C350,Data!$CS$90:$DS$90,0)-1)</f>
        <v>4</v>
      </c>
      <c r="G350" s="65">
        <f ca="1">OFFSET(Data!$CS$91,MATCH($B350,Data!$A$91:$A$190,0)-1,MATCH(C350,Data!$CS$90:$DS$90,0)-1)</f>
        <v>4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2</v>
      </c>
      <c r="K350" s="65" t="str">
        <f>INDEX(Data!$DT$91:$DT$190,MATCH($B350,Data!$A$91:$A$190,0))</f>
        <v>Róbert Furka</v>
      </c>
      <c r="L350" s="65" t="str">
        <f t="shared" ca="1" si="24"/>
        <v>Best men took only 4 throws</v>
      </c>
      <c r="M350" s="65" t="s">
        <v>1</v>
      </c>
      <c r="N350" s="65" t="s">
        <v>249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367</v>
      </c>
      <c r="B351" s="293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3</v>
      </c>
      <c r="E351" s="65">
        <f>COUNTIF(Data!$DY$90:$IB$90,Specials!C351)</f>
        <v>2</v>
      </c>
      <c r="F351" s="65">
        <f ca="1">OFFSET(Data!$CS$91,MATCH("M1",Data!$A$91:$A$190,0)-1,MATCH(C351,Data!$CS$90:$DS$90,0)-1)</f>
        <v>4</v>
      </c>
      <c r="G351" s="65">
        <f ca="1">OFFSET(Data!$CS$91,MATCH($B351,Data!$A$91:$A$190,0)-1,MATCH(C351,Data!$CS$90:$DS$90,0)-1)</f>
        <v>6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2</v>
      </c>
      <c r="K351" s="65" t="str">
        <f>INDEX(Data!$DT$91:$DT$190,MATCH($B351,Data!$A$91:$A$190,0))</f>
        <v>Róbert Furka</v>
      </c>
      <c r="L351" s="65" t="str">
        <f t="shared" ca="1" si="24"/>
        <v>Best men took only 4 throws</v>
      </c>
      <c r="M351" s="65" t="s">
        <v>1</v>
      </c>
      <c r="N351" s="65" t="s">
        <v>249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367</v>
      </c>
      <c r="B352" s="293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5</v>
      </c>
      <c r="E352" s="65">
        <f>COUNTIF(Data!$DY$90:$IB$90,Specials!C352)</f>
        <v>2</v>
      </c>
      <c r="F352" s="65">
        <f ca="1">OFFSET(Data!$CS$91,MATCH("M1",Data!$A$91:$A$190,0)-1,MATCH(C352,Data!$CS$90:$DS$90,0)-1)</f>
        <v>10</v>
      </c>
      <c r="G352" s="65">
        <f ca="1">OFFSET(Data!$CS$91,MATCH($B352,Data!$A$91:$A$190,0)-1,MATCH(C352,Data!$CS$90:$DS$90,0)-1)</f>
        <v>9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2</v>
      </c>
      <c r="K352" s="65" t="str">
        <f>INDEX(Data!$DT$91:$DT$190,MATCH($B352,Data!$A$91:$A$190,0))</f>
        <v>Róbert Furka</v>
      </c>
      <c r="L352" s="65" t="str">
        <f t="shared" ca="1" si="24"/>
        <v>Best men took only 10 throws</v>
      </c>
      <c r="M352" s="65" t="s">
        <v>1</v>
      </c>
      <c r="N352" s="65" t="s">
        <v>249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367</v>
      </c>
      <c r="B353" s="293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3</v>
      </c>
      <c r="F353" s="65">
        <f ca="1">OFFSET(Data!$CS$91,MATCH("M1",Data!$A$91:$A$190,0)-1,MATCH(C353,Data!$CS$90:$DS$90,0)-1)</f>
        <v>5</v>
      </c>
      <c r="G353" s="65">
        <f ca="1">OFFSET(Data!$CS$91,MATCH($B353,Data!$A$91:$A$190,0)-1,MATCH(C353,Data!$CS$90:$DS$90,0)-1)</f>
        <v>5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2</v>
      </c>
      <c r="K353" s="65" t="str">
        <f>INDEX(Data!$DT$91:$DT$190,MATCH($B353,Data!$A$91:$A$190,0))</f>
        <v>Róbert Furka</v>
      </c>
      <c r="L353" s="65" t="str">
        <f t="shared" ca="1" si="24"/>
        <v>Best men took only 5 throws</v>
      </c>
      <c r="M353" s="65" t="s">
        <v>1</v>
      </c>
      <c r="N353" s="65" t="s">
        <v>249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367</v>
      </c>
      <c r="B354" s="293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2</v>
      </c>
      <c r="F354" s="65">
        <f ca="1">OFFSET(Data!$CS$91,MATCH("M1",Data!$A$91:$A$190,0)-1,MATCH(C354,Data!$CS$90:$DS$90,0)-1)</f>
        <v>6</v>
      </c>
      <c r="G354" s="65">
        <f ca="1">OFFSET(Data!$CS$91,MATCH($B354,Data!$A$91:$A$190,0)-1,MATCH(C354,Data!$CS$90:$DS$90,0)-1)</f>
        <v>6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2</v>
      </c>
      <c r="K354" s="65" t="str">
        <f>INDEX(Data!$DT$91:$DT$190,MATCH($B354,Data!$A$91:$A$190,0))</f>
        <v>Róbert Furka</v>
      </c>
      <c r="L354" s="65" t="str">
        <f t="shared" ca="1" si="24"/>
        <v>Best men took only 6 throws</v>
      </c>
      <c r="M354" s="65" t="s">
        <v>1</v>
      </c>
      <c r="N354" s="65" t="s">
        <v>249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367</v>
      </c>
      <c r="B355" s="293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2</v>
      </c>
      <c r="F355" s="65">
        <f ca="1">OFFSET(Data!$CS$91,MATCH("M1",Data!$A$91:$A$190,0)-1,MATCH(C355,Data!$CS$90:$DS$90,0)-1)</f>
        <v>8</v>
      </c>
      <c r="G355" s="65">
        <f ca="1">OFFSET(Data!$CS$91,MATCH($B355,Data!$A$91:$A$190,0)-1,MATCH(C355,Data!$CS$90:$DS$90,0)-1)</f>
        <v>8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2</v>
      </c>
      <c r="K355" s="65" t="str">
        <f>INDEX(Data!$DT$91:$DT$190,MATCH($B355,Data!$A$91:$A$190,0))</f>
        <v>Róbert Furka</v>
      </c>
      <c r="L355" s="65" t="str">
        <f t="shared" ca="1" si="24"/>
        <v>Best men took only 8 throws</v>
      </c>
      <c r="M355" s="65" t="s">
        <v>1</v>
      </c>
      <c r="N355" s="65" t="s">
        <v>249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367</v>
      </c>
      <c r="B356" s="293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2</v>
      </c>
      <c r="F356" s="65">
        <f ca="1">OFFSET(Data!$CS$91,MATCH("M1",Data!$A$91:$A$190,0)-1,MATCH(C356,Data!$CS$90:$DS$90,0)-1)</f>
        <v>7</v>
      </c>
      <c r="G356" s="65">
        <f ca="1">OFFSET(Data!$CS$91,MATCH($B356,Data!$A$91:$A$190,0)-1,MATCH(C356,Data!$CS$90:$DS$90,0)-1)</f>
        <v>6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2</v>
      </c>
      <c r="K356" s="65" t="str">
        <f>INDEX(Data!$DT$91:$DT$190,MATCH($B356,Data!$A$91:$A$190,0))</f>
        <v>Róbert Furka</v>
      </c>
      <c r="L356" s="65" t="str">
        <f t="shared" ca="1" si="24"/>
        <v>Best men took only 7 throws</v>
      </c>
      <c r="M356" s="65" t="s">
        <v>1</v>
      </c>
      <c r="N356" s="65" t="s">
        <v>249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367</v>
      </c>
      <c r="B357" s="293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12</v>
      </c>
      <c r="D357" s="65">
        <f>INDEX(Parameter!$B$10:$AB$10,MATCH(C357,Parameter!$B$9:$AB$9,0))</f>
        <v>3</v>
      </c>
      <c r="E357" s="65">
        <f>COUNTIF(Data!$DY$90:$IB$90,Specials!C357)</f>
        <v>2</v>
      </c>
      <c r="F357" s="65">
        <f ca="1">OFFSET(Data!$CS$91,MATCH("M1",Data!$A$91:$A$190,0)-1,MATCH(C357,Data!$CS$90:$DS$90,0)-1)</f>
        <v>6</v>
      </c>
      <c r="G357" s="65">
        <f ca="1">OFFSET(Data!$CS$91,MATCH($B357,Data!$A$91:$A$190,0)-1,MATCH(C357,Data!$CS$90:$DS$90,0)-1)</f>
        <v>6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2</v>
      </c>
      <c r="K357" s="65" t="str">
        <f>INDEX(Data!$DT$91:$DT$190,MATCH($B357,Data!$A$91:$A$190,0))</f>
        <v>Róbert Furka</v>
      </c>
      <c r="L357" s="65" t="str">
        <f t="shared" ca="1" si="24"/>
        <v>Best men took only 6 throws</v>
      </c>
      <c r="M357" s="65" t="s">
        <v>1</v>
      </c>
      <c r="N357" s="65" t="s">
        <v>249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367</v>
      </c>
      <c r="B358" s="293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14</v>
      </c>
      <c r="D358" s="65">
        <f>INDEX(Parameter!$B$10:$AB$10,MATCH(C358,Parameter!$B$9:$AB$9,0))</f>
        <v>4</v>
      </c>
      <c r="E358" s="65">
        <f>COUNTIF(Data!$DY$90:$IB$90,Specials!C358)</f>
        <v>2</v>
      </c>
      <c r="F358" s="65">
        <f ca="1">OFFSET(Data!$CS$91,MATCH("M1",Data!$A$91:$A$190,0)-1,MATCH(C358,Data!$CS$90:$DS$90,0)-1)</f>
        <v>7</v>
      </c>
      <c r="G358" s="65">
        <f ca="1">OFFSET(Data!$CS$91,MATCH($B358,Data!$A$91:$A$190,0)-1,MATCH(C358,Data!$CS$90:$DS$90,0)-1)</f>
        <v>7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2</v>
      </c>
      <c r="K358" s="65" t="str">
        <f>INDEX(Data!$DT$91:$DT$190,MATCH($B358,Data!$A$91:$A$190,0))</f>
        <v>Róbert Furka</v>
      </c>
      <c r="L358" s="65" t="str">
        <f t="shared" ref="L358:L400" ca="1" si="29">"Best men took only "&amp;F358&amp;" throws"</f>
        <v>Best men took only 7 throws</v>
      </c>
      <c r="M358" s="65" t="s">
        <v>1</v>
      </c>
      <c r="N358" s="65" t="s">
        <v>249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367</v>
      </c>
      <c r="B359" s="293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15</v>
      </c>
      <c r="D359" s="65">
        <f>INDEX(Parameter!$B$10:$AB$10,MATCH(C359,Parameter!$B$9:$AB$9,0))</f>
        <v>4</v>
      </c>
      <c r="E359" s="65">
        <f>COUNTIF(Data!$DY$90:$IB$90,Specials!C359)</f>
        <v>2</v>
      </c>
      <c r="F359" s="65">
        <f ca="1">OFFSET(Data!$CS$91,MATCH("M1",Data!$A$91:$A$190,0)-1,MATCH(C359,Data!$CS$90:$DS$90,0)-1)</f>
        <v>5</v>
      </c>
      <c r="G359" s="65">
        <f ca="1">OFFSET(Data!$CS$91,MATCH($B359,Data!$A$91:$A$190,0)-1,MATCH(C359,Data!$CS$90:$DS$90,0)-1)</f>
        <v>7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2</v>
      </c>
      <c r="K359" s="65" t="str">
        <f>INDEX(Data!$DT$91:$DT$190,MATCH($B359,Data!$A$91:$A$190,0))</f>
        <v>Róbert Furka</v>
      </c>
      <c r="L359" s="65" t="str">
        <f t="shared" ca="1" si="29"/>
        <v>Best men took only 5 throws</v>
      </c>
      <c r="M359" s="65" t="s">
        <v>1</v>
      </c>
      <c r="N359" s="65" t="s">
        <v>249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367</v>
      </c>
      <c r="B360" s="293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16</v>
      </c>
      <c r="D360" s="65">
        <f>INDEX(Parameter!$B$10:$AB$10,MATCH(C360,Parameter!$B$9:$AB$9,0))</f>
        <v>3</v>
      </c>
      <c r="E360" s="65">
        <f>COUNTIF(Data!$DY$90:$IB$90,Specials!C360)</f>
        <v>2</v>
      </c>
      <c r="F360" s="65">
        <f ca="1">OFFSET(Data!$CS$91,MATCH("M1",Data!$A$91:$A$190,0)-1,MATCH(C360,Data!$CS$90:$DS$90,0)-1)</f>
        <v>6</v>
      </c>
      <c r="G360" s="65">
        <f ca="1">OFFSET(Data!$CS$91,MATCH($B360,Data!$A$91:$A$190,0)-1,MATCH(C360,Data!$CS$90:$DS$90,0)-1)</f>
        <v>8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2</v>
      </c>
      <c r="K360" s="65" t="str">
        <f>INDEX(Data!$DT$91:$DT$190,MATCH($B360,Data!$A$91:$A$190,0))</f>
        <v>Róbert Furka</v>
      </c>
      <c r="L360" s="65" t="str">
        <f t="shared" ca="1" si="29"/>
        <v>Best men took only 6 throws</v>
      </c>
      <c r="M360" s="65" t="s">
        <v>1</v>
      </c>
      <c r="N360" s="65" t="s">
        <v>249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367</v>
      </c>
      <c r="B361" s="293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17</v>
      </c>
      <c r="D361" s="65">
        <f>INDEX(Parameter!$B$10:$AB$10,MATCH(C361,Parameter!$B$9:$AB$9,0))</f>
        <v>3</v>
      </c>
      <c r="E361" s="65">
        <f>COUNTIF(Data!$DY$90:$IB$90,Specials!C361)</f>
        <v>2</v>
      </c>
      <c r="F361" s="65">
        <f ca="1">OFFSET(Data!$CS$91,MATCH("M1",Data!$A$91:$A$190,0)-1,MATCH(C361,Data!$CS$90:$DS$90,0)-1)</f>
        <v>7</v>
      </c>
      <c r="G361" s="65">
        <f ca="1">OFFSET(Data!$CS$91,MATCH($B361,Data!$A$91:$A$190,0)-1,MATCH(C361,Data!$CS$90:$DS$90,0)-1)</f>
        <v>6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2</v>
      </c>
      <c r="K361" s="65" t="str">
        <f>INDEX(Data!$DT$91:$DT$190,MATCH($B361,Data!$A$91:$A$190,0))</f>
        <v>Róbert Furka</v>
      </c>
      <c r="L361" s="65" t="str">
        <f t="shared" ca="1" si="29"/>
        <v>Best men took only 7 throws</v>
      </c>
      <c r="M361" s="65" t="s">
        <v>1</v>
      </c>
      <c r="N361" s="65" t="s">
        <v>249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367</v>
      </c>
      <c r="B362" s="293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18</v>
      </c>
      <c r="D362" s="65">
        <f>INDEX(Parameter!$B$10:$AB$10,MATCH(C362,Parameter!$B$9:$AB$9,0))</f>
        <v>3</v>
      </c>
      <c r="E362" s="65">
        <f>COUNTIF(Data!$DY$90:$IB$90,Specials!C362)</f>
        <v>2</v>
      </c>
      <c r="F362" s="65">
        <f ca="1">OFFSET(Data!$CS$91,MATCH("M1",Data!$A$91:$A$190,0)-1,MATCH(C362,Data!$CS$90:$DS$90,0)-1)</f>
        <v>5</v>
      </c>
      <c r="G362" s="65">
        <f ca="1">OFFSET(Data!$CS$91,MATCH($B362,Data!$A$91:$A$190,0)-1,MATCH(C362,Data!$CS$90:$DS$90,0)-1)</f>
        <v>6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2</v>
      </c>
      <c r="K362" s="65" t="str">
        <f>INDEX(Data!$DT$91:$DT$190,MATCH($B362,Data!$A$91:$A$190,0))</f>
        <v>Róbert Furka</v>
      </c>
      <c r="L362" s="65" t="str">
        <f t="shared" ca="1" si="29"/>
        <v>Best men took only 5 throws</v>
      </c>
      <c r="M362" s="65" t="s">
        <v>1</v>
      </c>
      <c r="N362" s="65" t="s">
        <v>249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367</v>
      </c>
      <c r="B363" s="293" t="str">
        <f>IF(OR(AND(Parameter!$B$4=0,Parameter!$C$5="n"),INDEX(Data!$M$91:$M$190,MATCH("M4",Data!$A$91:$A$190,0))&gt;0,INDEX(Data!$N$91:$N$190,MATCH("M4",Data!$A$91:$A$190,0))&gt;0),"M4","M1")</f>
        <v>M4</v>
      </c>
      <c r="C363" s="65" t="str">
        <f>INDEX(Parameter!$9:$9,,MATCH(17,Parameter!$8:$8,0))</f>
        <v>17a</v>
      </c>
      <c r="D363" s="65" t="str">
        <f>INDEX(Parameter!$B$10:$AB$10,MATCH(C363,Parameter!$B$9:$AB$9,0))</f>
        <v>no</v>
      </c>
      <c r="E363" s="65">
        <f>COUNTIF(Data!$DY$90:$IB$90,Specials!C363)</f>
        <v>0</v>
      </c>
      <c r="F363" s="65">
        <f ca="1">OFFSET(Data!$CS$91,MATCH("M1",Data!$A$91:$A$190,0)-1,MATCH(C363,Data!$CS$90:$DS$90,0)-1)</f>
        <v>0</v>
      </c>
      <c r="G363" s="65">
        <f ca="1">OFFSET(Data!$CS$91,MATCH($B363,Data!$A$91:$A$190,0)-1,MATCH(C363,Data!$CS$90:$DS$90,0)-1)</f>
        <v>0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2</v>
      </c>
      <c r="K363" s="65" t="str">
        <f>INDEX(Data!$DT$91:$DT$190,MATCH($B363,Data!$A$91:$A$190,0))</f>
        <v>Róbert Furka</v>
      </c>
      <c r="L363" s="65" t="str">
        <f t="shared" ca="1" si="29"/>
        <v>Best men took only 0 throws</v>
      </c>
      <c r="M363" s="65" t="s">
        <v>1</v>
      </c>
      <c r="N363" s="65" t="s">
        <v>249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367</v>
      </c>
      <c r="B364" s="293" t="str">
        <f>IF(OR(AND(Parameter!$B$4=0,Parameter!$C$5="n"),INDEX(Data!$M$91:$M$190,MATCH("M4",Data!$A$91:$A$190,0))&gt;0,INDEX(Data!$N$91:$N$190,MATCH("M4",Data!$A$91:$A$190,0))&gt;0),"M4","M1")</f>
        <v>M4</v>
      </c>
      <c r="C364" s="65" t="str">
        <f>INDEX(Parameter!$9:$9,,MATCH(18,Parameter!$8:$8,0))</f>
        <v>18a</v>
      </c>
      <c r="D364" s="65" t="str">
        <f>INDEX(Parameter!$B$10:$AB$10,MATCH(C364,Parameter!$B$9:$AB$9,0))</f>
        <v>no</v>
      </c>
      <c r="E364" s="65">
        <f>COUNTIF(Data!$DY$90:$IB$90,Specials!C364)</f>
        <v>0</v>
      </c>
      <c r="F364" s="65">
        <f ca="1">OFFSET(Data!$CS$91,MATCH("M1",Data!$A$91:$A$190,0)-1,MATCH(C364,Data!$CS$90:$DS$90,0)-1)</f>
        <v>0</v>
      </c>
      <c r="G364" s="65">
        <f ca="1">OFFSET(Data!$CS$91,MATCH($B364,Data!$A$91:$A$190,0)-1,MATCH(C364,Data!$CS$90:$DS$90,0)-1)</f>
        <v>0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2</v>
      </c>
      <c r="K364" s="65" t="str">
        <f>INDEX(Data!$DT$91:$DT$190,MATCH($B364,Data!$A$91:$A$190,0))</f>
        <v>Róbert Furka</v>
      </c>
      <c r="L364" s="65" t="str">
        <f t="shared" ca="1" si="29"/>
        <v>Best men took only 0 throws</v>
      </c>
      <c r="M364" s="65" t="s">
        <v>1</v>
      </c>
      <c r="N364" s="65" t="s">
        <v>249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367</v>
      </c>
      <c r="B365" s="293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 t="str">
        <f>INDEX(Parameter!$B$10:$AB$10,MATCH(C365,Parameter!$B$9:$AB$9,0))</f>
        <v>no</v>
      </c>
      <c r="E365" s="65">
        <f>COUNTIF(Data!$DY$90:$IB$90,Specials!C365)</f>
        <v>0</v>
      </c>
      <c r="F365" s="65">
        <f ca="1">OFFSET(Data!$CS$91,MATCH("M1",Data!$A$91:$A$190,0)-1,MATCH(C365,Data!$CS$90:$DS$90,0)-1)</f>
        <v>0</v>
      </c>
      <c r="G365" s="65">
        <f ca="1">OFFSET(Data!$CS$91,MATCH($B365,Data!$A$91:$A$190,0)-1,MATCH(C365,Data!$CS$90:$DS$90,0)-1)</f>
        <v>0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2</v>
      </c>
      <c r="K365" s="65" t="str">
        <f>INDEX(Data!$DT$91:$DT$190,MATCH($B365,Data!$A$91:$A$190,0))</f>
        <v>Róbert Furka</v>
      </c>
      <c r="L365" s="65" t="str">
        <f t="shared" ca="1" si="29"/>
        <v>Best men took only 0 throws</v>
      </c>
      <c r="M365" s="65" t="s">
        <v>1</v>
      </c>
      <c r="N365" s="65" t="s">
        <v>249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367</v>
      </c>
      <c r="B366" s="293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2</v>
      </c>
      <c r="K366" s="65" t="str">
        <f>INDEX(Data!$DT$91:$DT$190,MATCH($B366,Data!$A$91:$A$190,0))</f>
        <v>Róbert Furka</v>
      </c>
      <c r="L366" s="65" t="str">
        <f t="shared" ca="1" si="29"/>
        <v>Best men took only 0 throws</v>
      </c>
      <c r="M366" s="65" t="s">
        <v>1</v>
      </c>
      <c r="N366" s="65" t="s">
        <v>249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367</v>
      </c>
      <c r="B367" s="293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2</v>
      </c>
      <c r="K367" s="65" t="str">
        <f>INDEX(Data!$DT$91:$DT$190,MATCH($B367,Data!$A$91:$A$190,0))</f>
        <v>Róbert Furka</v>
      </c>
      <c r="L367" s="65" t="str">
        <f t="shared" ca="1" si="29"/>
        <v>Best men took only 0 throws</v>
      </c>
      <c r="M367" s="65" t="s">
        <v>1</v>
      </c>
      <c r="N367" s="65" t="s">
        <v>249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367</v>
      </c>
      <c r="B368" s="293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2</v>
      </c>
      <c r="K368" s="65" t="str">
        <f>INDEX(Data!$DT$91:$DT$190,MATCH($B368,Data!$A$91:$A$190,0))</f>
        <v>Róbert Furka</v>
      </c>
      <c r="L368" s="65" t="str">
        <f t="shared" ca="1" si="29"/>
        <v>Best men took only 0 throws</v>
      </c>
      <c r="M368" s="65" t="s">
        <v>1</v>
      </c>
      <c r="N368" s="65" t="s">
        <v>249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367</v>
      </c>
      <c r="B369" s="293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2</v>
      </c>
      <c r="K369" s="65" t="str">
        <f>INDEX(Data!$DT$91:$DT$190,MATCH($B369,Data!$A$91:$A$190,0))</f>
        <v>Róbert Furka</v>
      </c>
      <c r="L369" s="65" t="str">
        <f t="shared" ca="1" si="29"/>
        <v>Best men took only 0 throws</v>
      </c>
      <c r="M369" s="65" t="s">
        <v>1</v>
      </c>
      <c r="N369" s="65" t="s">
        <v>249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367</v>
      </c>
      <c r="B370" s="293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2</v>
      </c>
      <c r="K370" s="65" t="str">
        <f>INDEX(Data!$DT$91:$DT$190,MATCH($B370,Data!$A$91:$A$190,0))</f>
        <v>Róbert Furka</v>
      </c>
      <c r="L370" s="65" t="str">
        <f t="shared" ca="1" si="29"/>
        <v>Best men took only 0 throws</v>
      </c>
      <c r="M370" s="65" t="s">
        <v>1</v>
      </c>
      <c r="N370" s="65" t="s">
        <v>249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367</v>
      </c>
      <c r="B371" s="293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2</v>
      </c>
      <c r="K371" s="65" t="str">
        <f>INDEX(Data!$DT$91:$DT$190,MATCH($B371,Data!$A$91:$A$190,0))</f>
        <v>Róbert Furka</v>
      </c>
      <c r="L371" s="65" t="str">
        <f t="shared" ca="1" si="29"/>
        <v>Best men took only 0 throws</v>
      </c>
      <c r="M371" s="65" t="s">
        <v>1</v>
      </c>
      <c r="N371" s="65" t="s">
        <v>249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367</v>
      </c>
      <c r="B372" s="293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2</v>
      </c>
      <c r="K372" s="65" t="str">
        <f>INDEX(Data!$DT$91:$DT$190,MATCH($B372,Data!$A$91:$A$190,0))</f>
        <v>Róbert Furka</v>
      </c>
      <c r="L372" s="65" t="str">
        <f t="shared" ca="1" si="29"/>
        <v>Best men took only 0 throws</v>
      </c>
      <c r="M372" s="65" t="s">
        <v>1</v>
      </c>
      <c r="N372" s="65" t="s">
        <v>249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367</v>
      </c>
      <c r="B373" s="293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2</v>
      </c>
      <c r="K373" s="65" t="str">
        <f>INDEX(Data!$DT$91:$DT$190,MATCH($B373,Data!$A$91:$A$190,0))</f>
        <v>Róbert Furka</v>
      </c>
      <c r="L373" s="65" t="str">
        <f t="shared" ca="1" si="29"/>
        <v>Best men took only 0 throws</v>
      </c>
      <c r="M373" s="65" t="s">
        <v>1</v>
      </c>
      <c r="N373" s="65" t="s">
        <v>249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367</v>
      </c>
      <c r="B374" s="293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4</v>
      </c>
      <c r="E374" s="65">
        <f>COUNTIF(Data!$DY$90:$IB$90,Specials!C374)</f>
        <v>2</v>
      </c>
      <c r="F374" s="65">
        <f ca="1">OFFSET(Data!$CS$91,MATCH("M1",Data!$A$91:$A$190,0)-1,MATCH(C374,Data!$CS$90:$DS$90,0)-1)</f>
        <v>6</v>
      </c>
      <c r="G374" s="65">
        <f ca="1">OFFSET(Data!$CS$91,MATCH($B374,Data!$A$91:$A$190,0)-1,MATCH(C374,Data!$CS$90:$DS$90,0)-1)</f>
        <v>6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3</v>
      </c>
      <c r="K374" s="65" t="str">
        <f>INDEX(Data!$DT$91:$DT$190,MATCH($B374,Data!$A$91:$A$190,0))</f>
        <v>Otfried Derschmidt</v>
      </c>
      <c r="L374" s="65" t="str">
        <f t="shared" ca="1" si="29"/>
        <v>Best men took only 6 throws</v>
      </c>
      <c r="M374" s="65" t="s">
        <v>1</v>
      </c>
      <c r="N374" s="65" t="s">
        <v>249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367</v>
      </c>
      <c r="B375" s="293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4</v>
      </c>
      <c r="E375" s="65">
        <f>COUNTIF(Data!$DY$90:$IB$90,Specials!C375)</f>
        <v>2</v>
      </c>
      <c r="F375" s="65">
        <f ca="1">OFFSET(Data!$CS$91,MATCH("M1",Data!$A$91:$A$190,0)-1,MATCH(C375,Data!$CS$90:$DS$90,0)-1)</f>
        <v>8</v>
      </c>
      <c r="G375" s="65">
        <f ca="1">OFFSET(Data!$CS$91,MATCH($B375,Data!$A$91:$A$190,0)-1,MATCH(C375,Data!$CS$90:$DS$90,0)-1)</f>
        <v>7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3</v>
      </c>
      <c r="K375" s="65" t="str">
        <f>INDEX(Data!$DT$91:$DT$190,MATCH($B375,Data!$A$91:$A$190,0))</f>
        <v>Otfried Derschmidt</v>
      </c>
      <c r="L375" s="65" t="str">
        <f t="shared" ca="1" si="29"/>
        <v>Best men took only 8 throws</v>
      </c>
      <c r="M375" s="65" t="s">
        <v>1</v>
      </c>
      <c r="N375" s="65" t="s">
        <v>249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367</v>
      </c>
      <c r="B376" s="293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4</v>
      </c>
      <c r="E376" s="65">
        <f>COUNTIF(Data!$DY$90:$IB$90,Specials!C376)</f>
        <v>2</v>
      </c>
      <c r="F376" s="65">
        <f ca="1">OFFSET(Data!$CS$91,MATCH("M1",Data!$A$91:$A$190,0)-1,MATCH(C376,Data!$CS$90:$DS$90,0)-1)</f>
        <v>10</v>
      </c>
      <c r="G376" s="65">
        <f ca="1">OFFSET(Data!$CS$91,MATCH($B376,Data!$A$91:$A$190,0)-1,MATCH(C376,Data!$CS$90:$DS$90,0)-1)</f>
        <v>9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3</v>
      </c>
      <c r="K376" s="65" t="str">
        <f>INDEX(Data!$DT$91:$DT$190,MATCH($B376,Data!$A$91:$A$190,0))</f>
        <v>Otfried Derschmidt</v>
      </c>
      <c r="L376" s="65" t="str">
        <f t="shared" ca="1" si="29"/>
        <v>Best men took only 10 throws</v>
      </c>
      <c r="M376" s="65" t="s">
        <v>1</v>
      </c>
      <c r="N376" s="65" t="s">
        <v>249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367</v>
      </c>
      <c r="B377" s="293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2</v>
      </c>
      <c r="F377" s="65">
        <f ca="1">OFFSET(Data!$CS$91,MATCH("M1",Data!$A$91:$A$190,0)-1,MATCH(C377,Data!$CS$90:$DS$90,0)-1)</f>
        <v>4</v>
      </c>
      <c r="G377" s="65">
        <f ca="1">OFFSET(Data!$CS$91,MATCH($B377,Data!$A$91:$A$190,0)-1,MATCH(C377,Data!$CS$90:$DS$90,0)-1)</f>
        <v>6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3</v>
      </c>
      <c r="K377" s="65" t="str">
        <f>INDEX(Data!$DT$91:$DT$190,MATCH($B377,Data!$A$91:$A$190,0))</f>
        <v>Otfried Derschmidt</v>
      </c>
      <c r="L377" s="65" t="str">
        <f t="shared" ca="1" si="29"/>
        <v>Best men took only 4 throws</v>
      </c>
      <c r="M377" s="65" t="s">
        <v>1</v>
      </c>
      <c r="N377" s="65" t="s">
        <v>249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367</v>
      </c>
      <c r="B378" s="293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3</v>
      </c>
      <c r="E378" s="65">
        <f>COUNTIF(Data!$DY$90:$IB$90,Specials!C378)</f>
        <v>2</v>
      </c>
      <c r="F378" s="65">
        <f ca="1">OFFSET(Data!$CS$91,MATCH("M1",Data!$A$91:$A$190,0)-1,MATCH(C378,Data!$CS$90:$DS$90,0)-1)</f>
        <v>4</v>
      </c>
      <c r="G378" s="65">
        <f ca="1">OFFSET(Data!$CS$91,MATCH($B378,Data!$A$91:$A$190,0)-1,MATCH(C378,Data!$CS$90:$DS$90,0)-1)</f>
        <v>5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3</v>
      </c>
      <c r="K378" s="65" t="str">
        <f>INDEX(Data!$DT$91:$DT$190,MATCH($B378,Data!$A$91:$A$190,0))</f>
        <v>Otfried Derschmidt</v>
      </c>
      <c r="L378" s="65" t="str">
        <f t="shared" ca="1" si="29"/>
        <v>Best men took only 4 throws</v>
      </c>
      <c r="M378" s="65" t="s">
        <v>1</v>
      </c>
      <c r="N378" s="65" t="s">
        <v>249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367</v>
      </c>
      <c r="B379" s="293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5</v>
      </c>
      <c r="E379" s="65">
        <f>COUNTIF(Data!$DY$90:$IB$90,Specials!C379)</f>
        <v>2</v>
      </c>
      <c r="F379" s="65">
        <f ca="1">OFFSET(Data!$CS$91,MATCH("M1",Data!$A$91:$A$190,0)-1,MATCH(C379,Data!$CS$90:$DS$90,0)-1)</f>
        <v>10</v>
      </c>
      <c r="G379" s="65">
        <f ca="1">OFFSET(Data!$CS$91,MATCH($B379,Data!$A$91:$A$190,0)-1,MATCH(C379,Data!$CS$90:$DS$90,0)-1)</f>
        <v>8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3</v>
      </c>
      <c r="K379" s="65" t="str">
        <f>INDEX(Data!$DT$91:$DT$190,MATCH($B379,Data!$A$91:$A$190,0))</f>
        <v>Otfried Derschmidt</v>
      </c>
      <c r="L379" s="65" t="str">
        <f t="shared" ca="1" si="29"/>
        <v>Best men took only 10 throws</v>
      </c>
      <c r="M379" s="65" t="s">
        <v>1</v>
      </c>
      <c r="N379" s="65" t="s">
        <v>249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367</v>
      </c>
      <c r="B380" s="293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3</v>
      </c>
      <c r="F380" s="65">
        <f ca="1">OFFSET(Data!$CS$91,MATCH("M1",Data!$A$91:$A$190,0)-1,MATCH(C380,Data!$CS$90:$DS$90,0)-1)</f>
        <v>5</v>
      </c>
      <c r="G380" s="65">
        <f ca="1">OFFSET(Data!$CS$91,MATCH($B380,Data!$A$91:$A$190,0)-1,MATCH(C380,Data!$CS$90:$DS$90,0)-1)</f>
        <v>5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3</v>
      </c>
      <c r="K380" s="65" t="str">
        <f>INDEX(Data!$DT$91:$DT$190,MATCH($B380,Data!$A$91:$A$190,0))</f>
        <v>Otfried Derschmidt</v>
      </c>
      <c r="L380" s="65" t="str">
        <f t="shared" ca="1" si="29"/>
        <v>Best men took only 5 throws</v>
      </c>
      <c r="M380" s="65" t="s">
        <v>1</v>
      </c>
      <c r="N380" s="65" t="s">
        <v>249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367</v>
      </c>
      <c r="B381" s="293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2</v>
      </c>
      <c r="F381" s="65">
        <f ca="1">OFFSET(Data!$CS$91,MATCH("M1",Data!$A$91:$A$190,0)-1,MATCH(C381,Data!$CS$90:$DS$90,0)-1)</f>
        <v>6</v>
      </c>
      <c r="G381" s="65">
        <f ca="1">OFFSET(Data!$CS$91,MATCH($B381,Data!$A$91:$A$190,0)-1,MATCH(C381,Data!$CS$90:$DS$90,0)-1)</f>
        <v>5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3</v>
      </c>
      <c r="K381" s="65" t="str">
        <f>INDEX(Data!$DT$91:$DT$190,MATCH($B381,Data!$A$91:$A$190,0))</f>
        <v>Otfried Derschmidt</v>
      </c>
      <c r="L381" s="65" t="str">
        <f t="shared" ca="1" si="29"/>
        <v>Best men took only 6 throws</v>
      </c>
      <c r="M381" s="65" t="s">
        <v>1</v>
      </c>
      <c r="N381" s="65" t="s">
        <v>249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367</v>
      </c>
      <c r="B382" s="293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2</v>
      </c>
      <c r="F382" s="65">
        <f ca="1">OFFSET(Data!$CS$91,MATCH("M1",Data!$A$91:$A$190,0)-1,MATCH(C382,Data!$CS$90:$DS$90,0)-1)</f>
        <v>8</v>
      </c>
      <c r="G382" s="65">
        <f ca="1">OFFSET(Data!$CS$91,MATCH($B382,Data!$A$91:$A$190,0)-1,MATCH(C382,Data!$CS$90:$DS$90,0)-1)</f>
        <v>7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3</v>
      </c>
      <c r="K382" s="65" t="str">
        <f>INDEX(Data!$DT$91:$DT$190,MATCH($B382,Data!$A$91:$A$190,0))</f>
        <v>Otfried Derschmidt</v>
      </c>
      <c r="L382" s="65" t="str">
        <f t="shared" ca="1" si="29"/>
        <v>Best men took only 8 throws</v>
      </c>
      <c r="M382" s="65" t="s">
        <v>1</v>
      </c>
      <c r="N382" s="65" t="s">
        <v>249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367</v>
      </c>
      <c r="B383" s="293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2</v>
      </c>
      <c r="F383" s="65">
        <f ca="1">OFFSET(Data!$CS$91,MATCH("M1",Data!$A$91:$A$190,0)-1,MATCH(C383,Data!$CS$90:$DS$90,0)-1)</f>
        <v>7</v>
      </c>
      <c r="G383" s="65">
        <f ca="1">OFFSET(Data!$CS$91,MATCH($B383,Data!$A$91:$A$190,0)-1,MATCH(C383,Data!$CS$90:$DS$90,0)-1)</f>
        <v>7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3</v>
      </c>
      <c r="K383" s="65" t="str">
        <f>INDEX(Data!$DT$91:$DT$190,MATCH($B383,Data!$A$91:$A$190,0))</f>
        <v>Otfried Derschmidt</v>
      </c>
      <c r="L383" s="65" t="str">
        <f t="shared" ca="1" si="29"/>
        <v>Best men took only 7 throws</v>
      </c>
      <c r="M383" s="65" t="s">
        <v>1</v>
      </c>
      <c r="N383" s="65" t="s">
        <v>249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367</v>
      </c>
      <c r="B384" s="293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12</v>
      </c>
      <c r="D384" s="65">
        <f>INDEX(Parameter!$B$10:$AB$10,MATCH(C384,Parameter!$B$9:$AB$9,0))</f>
        <v>3</v>
      </c>
      <c r="E384" s="65">
        <f>COUNTIF(Data!$DY$90:$IB$90,Specials!C384)</f>
        <v>2</v>
      </c>
      <c r="F384" s="65">
        <f ca="1">OFFSET(Data!$CS$91,MATCH("M1",Data!$A$91:$A$190,0)-1,MATCH(C384,Data!$CS$90:$DS$90,0)-1)</f>
        <v>6</v>
      </c>
      <c r="G384" s="65">
        <f ca="1">OFFSET(Data!$CS$91,MATCH($B384,Data!$A$91:$A$190,0)-1,MATCH(C384,Data!$CS$90:$DS$90,0)-1)</f>
        <v>7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3</v>
      </c>
      <c r="K384" s="65" t="str">
        <f>INDEX(Data!$DT$91:$DT$190,MATCH($B384,Data!$A$91:$A$190,0))</f>
        <v>Otfried Derschmidt</v>
      </c>
      <c r="L384" s="65" t="str">
        <f t="shared" ca="1" si="29"/>
        <v>Best men took only 6 throws</v>
      </c>
      <c r="M384" s="65" t="s">
        <v>1</v>
      </c>
      <c r="N384" s="65" t="s">
        <v>249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367</v>
      </c>
      <c r="B385" s="293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14</v>
      </c>
      <c r="D385" s="65">
        <f>INDEX(Parameter!$B$10:$AB$10,MATCH(C385,Parameter!$B$9:$AB$9,0))</f>
        <v>4</v>
      </c>
      <c r="E385" s="65">
        <f>COUNTIF(Data!$DY$90:$IB$90,Specials!C385)</f>
        <v>2</v>
      </c>
      <c r="F385" s="65">
        <f ca="1">OFFSET(Data!$CS$91,MATCH("M1",Data!$A$91:$A$190,0)-1,MATCH(C385,Data!$CS$90:$DS$90,0)-1)</f>
        <v>7</v>
      </c>
      <c r="G385" s="65">
        <f ca="1">OFFSET(Data!$CS$91,MATCH($B385,Data!$A$91:$A$190,0)-1,MATCH(C385,Data!$CS$90:$DS$90,0)-1)</f>
        <v>10</v>
      </c>
      <c r="H385" s="65">
        <f t="shared" ca="1" si="28"/>
        <v>1</v>
      </c>
      <c r="I385" s="65">
        <f t="array" ref="I385">SUM(IF(Data!$A$91:$A$190=$B385,Data!$J$91:$M$190))-SUM(IF(Data!$A$91:$A$190="M1",Data!$J$91:$M$190))</f>
        <v>3</v>
      </c>
      <c r="K385" s="65" t="str">
        <f>INDEX(Data!$DT$91:$DT$190,MATCH($B385,Data!$A$91:$A$190,0))</f>
        <v>Otfried Derschmidt</v>
      </c>
      <c r="L385" s="65" t="str">
        <f t="shared" ca="1" si="29"/>
        <v>Best men took only 7 throws</v>
      </c>
      <c r="M385" s="65" t="s">
        <v>1</v>
      </c>
      <c r="N385" s="65" t="s">
        <v>249</v>
      </c>
      <c r="O385" s="65" t="e">
        <f t="shared" ca="1" si="25"/>
        <v>#VALUE!</v>
      </c>
      <c r="P385" s="65" t="str">
        <f t="shared" ca="1" si="27"/>
        <v>On hole 14 (par 4) Otfried Derschmidt took 10 throws in total (2 rounds)</v>
      </c>
    </row>
    <row r="386" spans="1:16" s="65" customFormat="1" hidden="1" x14ac:dyDescent="0.25">
      <c r="A386" s="65" t="s">
        <v>367</v>
      </c>
      <c r="B386" s="293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15</v>
      </c>
      <c r="D386" s="65">
        <f>INDEX(Parameter!$B$10:$AB$10,MATCH(C386,Parameter!$B$9:$AB$9,0))</f>
        <v>4</v>
      </c>
      <c r="E386" s="65">
        <f>COUNTIF(Data!$DY$90:$IB$90,Specials!C386)</f>
        <v>2</v>
      </c>
      <c r="F386" s="65">
        <f ca="1">OFFSET(Data!$CS$91,MATCH("M1",Data!$A$91:$A$190,0)-1,MATCH(C386,Data!$CS$90:$DS$90,0)-1)</f>
        <v>5</v>
      </c>
      <c r="G386" s="65">
        <f ca="1">OFFSET(Data!$CS$91,MATCH($B386,Data!$A$91:$A$190,0)-1,MATCH(C386,Data!$CS$90:$DS$90,0)-1)</f>
        <v>7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3</v>
      </c>
      <c r="K386" s="65" t="str">
        <f>INDEX(Data!$DT$91:$DT$190,MATCH($B386,Data!$A$91:$A$190,0))</f>
        <v>Otfried Derschmidt</v>
      </c>
      <c r="L386" s="65" t="str">
        <f t="shared" ca="1" si="29"/>
        <v>Best men took only 5 throws</v>
      </c>
      <c r="M386" s="65" t="s">
        <v>1</v>
      </c>
      <c r="N386" s="65" t="s">
        <v>249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367</v>
      </c>
      <c r="B387" s="293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16</v>
      </c>
      <c r="D387" s="65">
        <f>INDEX(Parameter!$B$10:$AB$10,MATCH(C387,Parameter!$B$9:$AB$9,0))</f>
        <v>3</v>
      </c>
      <c r="E387" s="65">
        <f>COUNTIF(Data!$DY$90:$IB$90,Specials!C387)</f>
        <v>2</v>
      </c>
      <c r="F387" s="65">
        <f ca="1">OFFSET(Data!$CS$91,MATCH("M1",Data!$A$91:$A$190,0)-1,MATCH(C387,Data!$CS$90:$DS$90,0)-1)</f>
        <v>6</v>
      </c>
      <c r="G387" s="65">
        <f ca="1">OFFSET(Data!$CS$91,MATCH($B387,Data!$A$91:$A$190,0)-1,MATCH(C387,Data!$CS$90:$DS$90,0)-1)</f>
        <v>6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3</v>
      </c>
      <c r="K387" s="65" t="str">
        <f>INDEX(Data!$DT$91:$DT$190,MATCH($B387,Data!$A$91:$A$190,0))</f>
        <v>Otfried Derschmidt</v>
      </c>
      <c r="L387" s="65" t="str">
        <f t="shared" ca="1" si="29"/>
        <v>Best men took only 6 throws</v>
      </c>
      <c r="M387" s="65" t="s">
        <v>1</v>
      </c>
      <c r="N387" s="65" t="s">
        <v>249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367</v>
      </c>
      <c r="B388" s="293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17</v>
      </c>
      <c r="D388" s="65">
        <f>INDEX(Parameter!$B$10:$AB$10,MATCH(C388,Parameter!$B$9:$AB$9,0))</f>
        <v>3</v>
      </c>
      <c r="E388" s="65">
        <f>COUNTIF(Data!$DY$90:$IB$90,Specials!C388)</f>
        <v>2</v>
      </c>
      <c r="F388" s="65">
        <f ca="1">OFFSET(Data!$CS$91,MATCH("M1",Data!$A$91:$A$190,0)-1,MATCH(C388,Data!$CS$90:$DS$90,0)-1)</f>
        <v>7</v>
      </c>
      <c r="G388" s="65">
        <f ca="1">OFFSET(Data!$CS$91,MATCH($B388,Data!$A$91:$A$190,0)-1,MATCH(C388,Data!$CS$90:$DS$90,0)-1)</f>
        <v>7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3</v>
      </c>
      <c r="K388" s="65" t="str">
        <f>INDEX(Data!$DT$91:$DT$190,MATCH($B388,Data!$A$91:$A$190,0))</f>
        <v>Otfried Derschmidt</v>
      </c>
      <c r="L388" s="65" t="str">
        <f t="shared" ca="1" si="29"/>
        <v>Best men took only 7 throws</v>
      </c>
      <c r="M388" s="65" t="s">
        <v>1</v>
      </c>
      <c r="N388" s="65" t="s">
        <v>249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367</v>
      </c>
      <c r="B389" s="293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18</v>
      </c>
      <c r="D389" s="65">
        <f>INDEX(Parameter!$B$10:$AB$10,MATCH(C389,Parameter!$B$9:$AB$9,0))</f>
        <v>3</v>
      </c>
      <c r="E389" s="65">
        <f>COUNTIF(Data!$DY$90:$IB$90,Specials!C389)</f>
        <v>2</v>
      </c>
      <c r="F389" s="65">
        <f ca="1">OFFSET(Data!$CS$91,MATCH("M1",Data!$A$91:$A$190,0)-1,MATCH(C389,Data!$CS$90:$DS$90,0)-1)</f>
        <v>5</v>
      </c>
      <c r="G389" s="65">
        <f ca="1">OFFSET(Data!$CS$91,MATCH($B389,Data!$A$91:$A$190,0)-1,MATCH(C389,Data!$CS$90:$DS$90,0)-1)</f>
        <v>5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3</v>
      </c>
      <c r="K389" s="65" t="str">
        <f>INDEX(Data!$DT$91:$DT$190,MATCH($B389,Data!$A$91:$A$190,0))</f>
        <v>Otfried Derschmidt</v>
      </c>
      <c r="L389" s="65" t="str">
        <f t="shared" ca="1" si="29"/>
        <v>Best men took only 5 throws</v>
      </c>
      <c r="M389" s="65" t="s">
        <v>1</v>
      </c>
      <c r="N389" s="65" t="s">
        <v>249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367</v>
      </c>
      <c r="B390" s="293" t="str">
        <f>IF(OR(AND(Parameter!$B$4=0,Parameter!$C$5="n"),INDEX(Data!$M$91:$M$190,MATCH("M5",Data!$A$91:$A$190,0))&gt;0,INDEX(Data!$N$91:$N$190,MATCH("M5",Data!$A$91:$A$190,0))&gt;0),"M5","M1")</f>
        <v>M5</v>
      </c>
      <c r="C390" s="65" t="str">
        <f>INDEX(Parameter!$9:$9,,MATCH(17,Parameter!$8:$8,0))</f>
        <v>17a</v>
      </c>
      <c r="D390" s="65" t="str">
        <f>INDEX(Parameter!$B$10:$AB$10,MATCH(C390,Parameter!$B$9:$AB$9,0))</f>
        <v>no</v>
      </c>
      <c r="E390" s="65">
        <f>COUNTIF(Data!$DY$90:$IB$90,Specials!C390)</f>
        <v>0</v>
      </c>
      <c r="F390" s="65">
        <f ca="1">OFFSET(Data!$CS$91,MATCH("M1",Data!$A$91:$A$190,0)-1,MATCH(C390,Data!$CS$90:$DS$90,0)-1)</f>
        <v>0</v>
      </c>
      <c r="G390" s="65">
        <f ca="1">OFFSET(Data!$CS$91,MATCH($B390,Data!$A$91:$A$190,0)-1,MATCH(C390,Data!$CS$90:$DS$90,0)-1)</f>
        <v>0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3</v>
      </c>
      <c r="K390" s="65" t="str">
        <f>INDEX(Data!$DT$91:$DT$190,MATCH($B390,Data!$A$91:$A$190,0))</f>
        <v>Otfried Derschmidt</v>
      </c>
      <c r="L390" s="65" t="str">
        <f t="shared" ca="1" si="29"/>
        <v>Best men took only 0 throws</v>
      </c>
      <c r="M390" s="65" t="s">
        <v>1</v>
      </c>
      <c r="N390" s="65" t="s">
        <v>249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367</v>
      </c>
      <c r="B391" s="293" t="str">
        <f>IF(OR(AND(Parameter!$B$4=0,Parameter!$C$5="n"),INDEX(Data!$M$91:$M$190,MATCH("M5",Data!$A$91:$A$190,0))&gt;0,INDEX(Data!$N$91:$N$190,MATCH("M5",Data!$A$91:$A$190,0))&gt;0),"M5","M1")</f>
        <v>M5</v>
      </c>
      <c r="C391" s="65" t="str">
        <f>INDEX(Parameter!$9:$9,,MATCH(18,Parameter!$8:$8,0))</f>
        <v>18a</v>
      </c>
      <c r="D391" s="65" t="str">
        <f>INDEX(Parameter!$B$10:$AB$10,MATCH(C391,Parameter!$B$9:$AB$9,0))</f>
        <v>no</v>
      </c>
      <c r="E391" s="65">
        <f>COUNTIF(Data!$DY$90:$IB$90,Specials!C391)</f>
        <v>0</v>
      </c>
      <c r="F391" s="65">
        <f ca="1">OFFSET(Data!$CS$91,MATCH("M1",Data!$A$91:$A$190,0)-1,MATCH(C391,Data!$CS$90:$DS$90,0)-1)</f>
        <v>0</v>
      </c>
      <c r="G391" s="65">
        <f ca="1">OFFSET(Data!$CS$91,MATCH($B391,Data!$A$91:$A$190,0)-1,MATCH(C391,Data!$CS$90:$DS$90,0)-1)</f>
        <v>0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3</v>
      </c>
      <c r="K391" s="65" t="str">
        <f>INDEX(Data!$DT$91:$DT$190,MATCH($B391,Data!$A$91:$A$190,0))</f>
        <v>Otfried Derschmidt</v>
      </c>
      <c r="L391" s="65" t="str">
        <f t="shared" ca="1" si="29"/>
        <v>Best men took only 0 throws</v>
      </c>
      <c r="M391" s="65" t="s">
        <v>1</v>
      </c>
      <c r="N391" s="65" t="s">
        <v>249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367</v>
      </c>
      <c r="B392" s="293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 t="str">
        <f>INDEX(Parameter!$B$10:$AB$10,MATCH(C392,Parameter!$B$9:$AB$9,0))</f>
        <v>no</v>
      </c>
      <c r="E392" s="65">
        <f>COUNTIF(Data!$DY$90:$IB$90,Specials!C392)</f>
        <v>0</v>
      </c>
      <c r="F392" s="65">
        <f ca="1">OFFSET(Data!$CS$91,MATCH("M1",Data!$A$91:$A$190,0)-1,MATCH(C392,Data!$CS$90:$DS$90,0)-1)</f>
        <v>0</v>
      </c>
      <c r="G392" s="65">
        <f ca="1">OFFSET(Data!$CS$91,MATCH($B392,Data!$A$91:$A$190,0)-1,MATCH(C392,Data!$CS$90:$DS$90,0)-1)</f>
        <v>0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3</v>
      </c>
      <c r="K392" s="65" t="str">
        <f>INDEX(Data!$DT$91:$DT$190,MATCH($B392,Data!$A$91:$A$190,0))</f>
        <v>Otfried Derschmidt</v>
      </c>
      <c r="L392" s="65" t="str">
        <f t="shared" ca="1" si="29"/>
        <v>Best men took only 0 throws</v>
      </c>
      <c r="M392" s="65" t="s">
        <v>1</v>
      </c>
      <c r="N392" s="65" t="s">
        <v>249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367</v>
      </c>
      <c r="B393" s="293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3</v>
      </c>
      <c r="K393" s="65" t="str">
        <f>INDEX(Data!$DT$91:$DT$190,MATCH($B393,Data!$A$91:$A$190,0))</f>
        <v>Otfried Derschmidt</v>
      </c>
      <c r="L393" s="65" t="str">
        <f t="shared" ca="1" si="29"/>
        <v>Best men took only 0 throws</v>
      </c>
      <c r="M393" s="65" t="s">
        <v>1</v>
      </c>
      <c r="N393" s="65" t="s">
        <v>249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367</v>
      </c>
      <c r="B394" s="293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3</v>
      </c>
      <c r="K394" s="65" t="str">
        <f>INDEX(Data!$DT$91:$DT$190,MATCH($B394,Data!$A$91:$A$190,0))</f>
        <v>Otfried Derschmidt</v>
      </c>
      <c r="L394" s="65" t="str">
        <f t="shared" ca="1" si="29"/>
        <v>Best men took only 0 throws</v>
      </c>
      <c r="M394" s="65" t="s">
        <v>1</v>
      </c>
      <c r="N394" s="65" t="s">
        <v>249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367</v>
      </c>
      <c r="B395" s="293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3</v>
      </c>
      <c r="K395" s="65" t="str">
        <f>INDEX(Data!$DT$91:$DT$190,MATCH($B395,Data!$A$91:$A$190,0))</f>
        <v>Otfried Derschmidt</v>
      </c>
      <c r="L395" s="65" t="str">
        <f t="shared" ca="1" si="29"/>
        <v>Best men took only 0 throws</v>
      </c>
      <c r="M395" s="65" t="s">
        <v>1</v>
      </c>
      <c r="N395" s="65" t="s">
        <v>249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367</v>
      </c>
      <c r="B396" s="293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3</v>
      </c>
      <c r="K396" s="65" t="str">
        <f>INDEX(Data!$DT$91:$DT$190,MATCH($B396,Data!$A$91:$A$190,0))</f>
        <v>Otfried Derschmidt</v>
      </c>
      <c r="L396" s="65" t="str">
        <f t="shared" ca="1" si="29"/>
        <v>Best men took only 0 throws</v>
      </c>
      <c r="M396" s="65" t="s">
        <v>1</v>
      </c>
      <c r="N396" s="65" t="s">
        <v>249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367</v>
      </c>
      <c r="B397" s="293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3</v>
      </c>
      <c r="K397" s="65" t="str">
        <f>INDEX(Data!$DT$91:$DT$190,MATCH($B397,Data!$A$91:$A$190,0))</f>
        <v>Otfried Derschmidt</v>
      </c>
      <c r="L397" s="65" t="str">
        <f t="shared" ca="1" si="29"/>
        <v>Best men took only 0 throws</v>
      </c>
      <c r="M397" s="65" t="s">
        <v>1</v>
      </c>
      <c r="N397" s="65" t="s">
        <v>249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367</v>
      </c>
      <c r="B398" s="293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3</v>
      </c>
      <c r="K398" s="65" t="str">
        <f>INDEX(Data!$DT$91:$DT$190,MATCH($B398,Data!$A$91:$A$190,0))</f>
        <v>Otfried Derschmidt</v>
      </c>
      <c r="L398" s="65" t="str">
        <f t="shared" ca="1" si="29"/>
        <v>Best men took only 0 throws</v>
      </c>
      <c r="M398" s="65" t="s">
        <v>1</v>
      </c>
      <c r="N398" s="65" t="s">
        <v>249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367</v>
      </c>
      <c r="B399" s="293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3</v>
      </c>
      <c r="K399" s="65" t="str">
        <f>INDEX(Data!$DT$91:$DT$190,MATCH($B399,Data!$A$91:$A$190,0))</f>
        <v>Otfried Derschmidt</v>
      </c>
      <c r="L399" s="65" t="str">
        <f t="shared" ca="1" si="29"/>
        <v>Best men took only 0 throws</v>
      </c>
      <c r="M399" s="65" t="s">
        <v>1</v>
      </c>
      <c r="N399" s="65" t="s">
        <v>249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367</v>
      </c>
      <c r="B400" s="293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3</v>
      </c>
      <c r="K400" s="65" t="str">
        <f>INDEX(Data!$DT$91:$DT$190,MATCH($B400,Data!$A$91:$A$190,0))</f>
        <v>Otfried Derschmidt</v>
      </c>
      <c r="L400" s="65" t="str">
        <f t="shared" ca="1" si="29"/>
        <v>Best men took only 0 throws</v>
      </c>
      <c r="M400" s="65" t="s">
        <v>1</v>
      </c>
      <c r="N400" s="65" t="s">
        <v>249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363</v>
      </c>
      <c r="B401" s="295"/>
      <c r="C401" s="78">
        <f>INDEX(Parameter!$9:$9,,MATCH(1,Parameter!$8:$8,0))</f>
        <v>1</v>
      </c>
      <c r="D401" s="78">
        <f>INDEX(Parameter!$B$10:$AB$10,MATCH(C401,Parameter!$B$9:$AB$9,0))</f>
        <v>4</v>
      </c>
      <c r="E401" s="78">
        <f>COUNTIF(Data!$DY$90:$IB$90,Specials!C401)</f>
        <v>2</v>
      </c>
      <c r="F401" s="78">
        <f ca="1">OFFSET(Data!$CS$91,MATCH("M1",Data!$A$91:$A$190,0)-1,MATCH(C401,Data!$CS$90:$DS$90,0)-1)</f>
        <v>6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6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6 throws</v>
      </c>
      <c r="M401" s="78" t="s">
        <v>1</v>
      </c>
      <c r="N401" s="78" t="s">
        <v>249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60</v>
      </c>
      <c r="B402" s="295" t="s">
        <v>234</v>
      </c>
      <c r="C402" s="78" t="s">
        <v>33</v>
      </c>
      <c r="D402" s="78" t="s">
        <v>235</v>
      </c>
      <c r="E402" s="78" t="s">
        <v>236</v>
      </c>
      <c r="F402" s="78" t="s">
        <v>237</v>
      </c>
      <c r="G402" s="78" t="s">
        <v>238</v>
      </c>
      <c r="H402" s="78" t="s">
        <v>239</v>
      </c>
      <c r="I402" s="78" t="s">
        <v>240</v>
      </c>
      <c r="J402" s="78" t="s">
        <v>241</v>
      </c>
      <c r="L402" s="78" t="s">
        <v>242</v>
      </c>
      <c r="M402" s="78" t="s">
        <v>243</v>
      </c>
      <c r="N402" s="78" t="s">
        <v>244</v>
      </c>
      <c r="O402" s="78" t="s">
        <v>245</v>
      </c>
      <c r="P402" s="78" t="s">
        <v>246</v>
      </c>
    </row>
    <row r="403" spans="1:16" s="78" customFormat="1" hidden="1" x14ac:dyDescent="0.25">
      <c r="A403" s="78" t="s">
        <v>363</v>
      </c>
      <c r="B403" s="295"/>
      <c r="C403" s="78">
        <f>INDEX(Parameter!$9:$9,,MATCH(3,Parameter!$8:$8,0))</f>
        <v>3</v>
      </c>
      <c r="D403" s="78">
        <f>INDEX(Parameter!$B$10:$AB$10,MATCH(C403,Parameter!$B$9:$AB$9,0))</f>
        <v>4</v>
      </c>
      <c r="E403" s="78">
        <f>COUNTIF(Data!$DY$90:$IB$90,Specials!C403)</f>
        <v>2</v>
      </c>
      <c r="F403" s="78">
        <f ca="1">OFFSET(Data!$CS$91,MATCH("M1",Data!$A$91:$A$190,0)-1,MATCH(C403,Data!$CS$90:$DS$90,0)-1)</f>
        <v>10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7</v>
      </c>
      <c r="H403" s="78">
        <f t="array" aca="1" ref="H403" ca="1">IF(AND(G403&lt;=F403-E403*1,G403&lt;&gt;0),SUM(IF((OFFSET(Data!$CS$91:$CS$190,,MATCH(C403,Data!$CS$90:$DS$90,0)-1)=Specials!G403)*(Data!$DW$91:$DW$190="M"),1)),0)</f>
        <v>1</v>
      </c>
      <c r="K403" s="78" t="str">
        <f t="array" aca="1" ref="K403" ca="1">IF(H403=1,INDEX(Data!$DT$91:$DT$190,MATCH(G403,(OFFSET(Data!$CS$91:$CS$190,,MATCH(C403,Data!$CS$90:$DS$90,0)-1))*(Data!$DW$91:$DW$190="M"),0)),H403&amp;" Players")</f>
        <v>Peter Pichler</v>
      </c>
      <c r="L403" s="78" t="str">
        <f t="shared" ref="L402:L427" ca="1" si="33">"Best men took "&amp;F403&amp;" throws"</f>
        <v>Best men took 10 throws</v>
      </c>
      <c r="M403" s="78" t="s">
        <v>1</v>
      </c>
      <c r="N403" s="78" t="s">
        <v>249</v>
      </c>
      <c r="O403" s="78" t="e">
        <f t="shared" ca="1" si="30"/>
        <v>#VALUE!</v>
      </c>
      <c r="P403" s="78" t="str">
        <f t="shared" ca="1" si="32"/>
        <v>On hole 3 (par 4) Peter Pichler played 3 throws better than best men (2 rounds)</v>
      </c>
    </row>
    <row r="404" spans="1:16" s="78" customFormat="1" hidden="1" x14ac:dyDescent="0.25">
      <c r="A404" s="78" t="s">
        <v>363</v>
      </c>
      <c r="B404" s="295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2</v>
      </c>
      <c r="F404" s="78">
        <f ca="1">OFFSET(Data!$CS$91,MATCH("M1",Data!$A$91:$A$190,0)-1,MATCH(C404,Data!$CS$90:$DS$90,0)-1)</f>
        <v>4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4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4 throws</v>
      </c>
      <c r="M404" s="78" t="s">
        <v>1</v>
      </c>
      <c r="N404" s="78" t="s">
        <v>249</v>
      </c>
      <c r="O404" s="78" t="e">
        <f t="shared" ca="1" si="30"/>
        <v>#VALUE!</v>
      </c>
      <c r="P404" s="78" t="str">
        <f t="shared" ca="1" si="32"/>
        <v/>
      </c>
    </row>
    <row r="405" spans="1:16" s="78" customFormat="1" hidden="1" x14ac:dyDescent="0.25">
      <c r="A405" s="78" t="s">
        <v>363</v>
      </c>
      <c r="B405" s="295"/>
      <c r="C405" s="78">
        <f>INDEX(Parameter!$9:$9,,MATCH(5,Parameter!$8:$8,0))</f>
        <v>5</v>
      </c>
      <c r="D405" s="78">
        <f>INDEX(Parameter!$B$10:$AB$10,MATCH(C405,Parameter!$B$9:$AB$9,0))</f>
        <v>3</v>
      </c>
      <c r="E405" s="78">
        <f>COUNTIF(Data!$DY$90:$IB$90,Specials!C405)</f>
        <v>2</v>
      </c>
      <c r="F405" s="78">
        <f ca="1">OFFSET(Data!$CS$91,MATCH("M1",Data!$A$91:$A$190,0)-1,MATCH(C405,Data!$CS$90:$DS$90,0)-1)</f>
        <v>4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4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4 throws</v>
      </c>
      <c r="M405" s="78" t="s">
        <v>1</v>
      </c>
      <c r="N405" s="78" t="s">
        <v>249</v>
      </c>
      <c r="O405" s="78" t="e">
        <f t="shared" ca="1" si="30"/>
        <v>#VALUE!</v>
      </c>
      <c r="P405" s="78" t="str">
        <f t="shared" ca="1" si="32"/>
        <v/>
      </c>
    </row>
    <row r="406" spans="1:16" s="78" customFormat="1" hidden="1" x14ac:dyDescent="0.25">
      <c r="A406" s="78" t="s">
        <v>363</v>
      </c>
      <c r="B406" s="295"/>
      <c r="C406" s="78">
        <f>INDEX(Parameter!$9:$9,,MATCH(6,Parameter!$8:$8,0))</f>
        <v>6</v>
      </c>
      <c r="D406" s="78">
        <f>INDEX(Parameter!$B$10:$AB$10,MATCH(C406,Parameter!$B$9:$AB$9,0))</f>
        <v>5</v>
      </c>
      <c r="E406" s="78">
        <f>COUNTIF(Data!$DY$90:$IB$90,Specials!C406)</f>
        <v>2</v>
      </c>
      <c r="F406" s="78">
        <f ca="1">OFFSET(Data!$CS$91,MATCH("M1",Data!$A$91:$A$190,0)-1,MATCH(C406,Data!$CS$90:$DS$90,0)-1)</f>
        <v>10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8</v>
      </c>
      <c r="H406" s="78">
        <f t="array" aca="1" ref="H406" ca="1">IF(AND(G406&lt;=F406-E406*1,G406&lt;&gt;0),SUM(IF((OFFSET(Data!$CS$91:$CS$190,,MATCH(C406,Data!$CS$90:$DS$90,0)-1)=Specials!G406)*(Data!$DW$91:$DW$190="M"),1)),0)</f>
        <v>3</v>
      </c>
      <c r="K406" s="78" t="str">
        <f t="array" aca="1" ref="K406" ca="1">IF(H406=1,INDEX(Data!$DT$91:$DT$190,MATCH(G406,(OFFSET(Data!$CS$91:$CS$190,,MATCH(C406,Data!$CS$90:$DS$90,0)-1))*(Data!$DW$91:$DW$190="M"),0)),H406&amp;" Players")</f>
        <v>3 Players</v>
      </c>
      <c r="L406" s="78" t="str">
        <f t="shared" ca="1" si="33"/>
        <v>Best men took 10 throws</v>
      </c>
      <c r="M406" s="78" t="s">
        <v>1</v>
      </c>
      <c r="N406" s="78" t="s">
        <v>249</v>
      </c>
      <c r="O406" s="78" t="e">
        <f t="shared" ca="1" si="30"/>
        <v>#VALUE!</v>
      </c>
      <c r="P406" s="78" t="str">
        <f t="shared" ca="1" si="32"/>
        <v/>
      </c>
    </row>
    <row r="407" spans="1:16" s="78" customFormat="1" hidden="1" x14ac:dyDescent="0.25">
      <c r="A407" s="78" t="s">
        <v>363</v>
      </c>
      <c r="B407" s="295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3</v>
      </c>
      <c r="F407" s="78">
        <f ca="1">OFFSET(Data!$CS$91,MATCH("M1",Data!$A$91:$A$190,0)-1,MATCH(C407,Data!$CS$90:$DS$90,0)-1)</f>
        <v>5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5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5 throws</v>
      </c>
      <c r="M407" s="78" t="s">
        <v>1</v>
      </c>
      <c r="N407" s="78" t="s">
        <v>249</v>
      </c>
      <c r="O407" s="78" t="e">
        <f t="shared" ca="1" si="30"/>
        <v>#VALUE!</v>
      </c>
      <c r="P407" s="78" t="str">
        <f t="shared" ca="1" si="32"/>
        <v/>
      </c>
    </row>
    <row r="408" spans="1:16" s="78" customFormat="1" hidden="1" x14ac:dyDescent="0.25">
      <c r="A408" s="78" t="s">
        <v>363</v>
      </c>
      <c r="B408" s="295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2</v>
      </c>
      <c r="F408" s="78">
        <f ca="1">OFFSET(Data!$CS$91,MATCH("M1",Data!$A$91:$A$190,0)-1,MATCH(C408,Data!$CS$90:$DS$90,0)-1)</f>
        <v>6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4</v>
      </c>
      <c r="H408" s="78">
        <f t="array" aca="1" ref="H408" ca="1">IF(AND(G408&lt;=F408-E408*1,G408&lt;&gt;0),SUM(IF((OFFSET(Data!$CS$91:$CS$190,,MATCH(C408,Data!$CS$90:$DS$90,0)-1)=Specials!G408)*(Data!$DW$91:$DW$190="M"),1)),0)</f>
        <v>1</v>
      </c>
      <c r="K408" s="78" t="str">
        <f t="array" aca="1" ref="K408" ca="1">IF(H408=1,INDEX(Data!$DT$91:$DT$190,MATCH(G408,(OFFSET(Data!$CS$91:$CS$190,,MATCH(C408,Data!$CS$90:$DS$90,0)-1))*(Data!$DW$91:$DW$190="M"),0)),H408&amp;" Players")</f>
        <v>Wolfgang Aichinger</v>
      </c>
      <c r="L408" s="78" t="str">
        <f t="shared" ca="1" si="33"/>
        <v>Best men took 6 throws</v>
      </c>
      <c r="M408" s="78" t="s">
        <v>1</v>
      </c>
      <c r="N408" s="78" t="s">
        <v>249</v>
      </c>
      <c r="O408" s="78" t="e">
        <f t="shared" ca="1" si="30"/>
        <v>#VALUE!</v>
      </c>
      <c r="P408" s="78" t="str">
        <f t="shared" ca="1" si="32"/>
        <v>On hole 8 (par 3) Wolfgang Aichinger played 2 throws better than best men (2 rounds)</v>
      </c>
    </row>
    <row r="409" spans="1:16" s="78" customFormat="1" hidden="1" x14ac:dyDescent="0.25">
      <c r="A409" s="78" t="s">
        <v>363</v>
      </c>
      <c r="B409" s="295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2</v>
      </c>
      <c r="F409" s="78">
        <f ca="1">OFFSET(Data!$CS$91,MATCH("M1",Data!$A$91:$A$190,0)-1,MATCH(C409,Data!$CS$90:$DS$90,0)-1)</f>
        <v>8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6</v>
      </c>
      <c r="H409" s="78">
        <f t="array" aca="1" ref="H409" ca="1">IF(AND(G409&lt;=F409-E409*1,G409&lt;&gt;0),SUM(IF((OFFSET(Data!$CS$91:$CS$190,,MATCH(C409,Data!$CS$90:$DS$90,0)-1)=Specials!G409)*(Data!$DW$91:$DW$190="M"),1)),0)</f>
        <v>3</v>
      </c>
      <c r="K409" s="78" t="str">
        <f t="array" aca="1" ref="K409" ca="1">IF(H409=1,INDEX(Data!$DT$91:$DT$190,MATCH(G409,(OFFSET(Data!$CS$91:$CS$190,,MATCH(C409,Data!$CS$90:$DS$90,0)-1))*(Data!$DW$91:$DW$190="M"),0)),H409&amp;" Players")</f>
        <v>3 Players</v>
      </c>
      <c r="L409" s="78" t="str">
        <f t="shared" ca="1" si="33"/>
        <v>Best men took 8 throws</v>
      </c>
      <c r="M409" s="78" t="s">
        <v>1</v>
      </c>
      <c r="N409" s="78" t="s">
        <v>249</v>
      </c>
      <c r="O409" s="78" t="e">
        <f t="shared" ca="1" si="30"/>
        <v>#VALUE!</v>
      </c>
      <c r="P409" s="78" t="str">
        <f t="shared" ca="1" si="32"/>
        <v/>
      </c>
    </row>
    <row r="410" spans="1:16" s="78" customFormat="1" hidden="1" x14ac:dyDescent="0.25">
      <c r="A410" s="78" t="s">
        <v>363</v>
      </c>
      <c r="B410" s="295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2</v>
      </c>
      <c r="F410" s="78">
        <f ca="1">OFFSET(Data!$CS$91,MATCH("M1",Data!$A$91:$A$190,0)-1,MATCH(C410,Data!$CS$90:$DS$90,0)-1)</f>
        <v>7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6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7 throws</v>
      </c>
      <c r="M410" s="78" t="s">
        <v>1</v>
      </c>
      <c r="N410" s="78" t="s">
        <v>249</v>
      </c>
      <c r="O410" s="78" t="e">
        <f t="shared" ca="1" si="30"/>
        <v>#VALUE!</v>
      </c>
      <c r="P410" s="78" t="str">
        <f t="shared" ca="1" si="32"/>
        <v/>
      </c>
    </row>
    <row r="411" spans="1:16" s="78" customFormat="1" hidden="1" x14ac:dyDescent="0.25">
      <c r="A411" s="78" t="s">
        <v>363</v>
      </c>
      <c r="B411" s="295"/>
      <c r="C411" s="78">
        <f>INDEX(Parameter!$9:$9,,MATCH(11,Parameter!$8:$8,0))</f>
        <v>12</v>
      </c>
      <c r="D411" s="78">
        <f>INDEX(Parameter!$B$10:$AB$10,MATCH(C411,Parameter!$B$9:$AB$9,0))</f>
        <v>3</v>
      </c>
      <c r="E411" s="78">
        <f>COUNTIF(Data!$DY$90:$IB$90,Specials!C411)</f>
        <v>2</v>
      </c>
      <c r="F411" s="78">
        <f ca="1">OFFSET(Data!$CS$91,MATCH("M1",Data!$A$91:$A$190,0)-1,MATCH(C411,Data!$CS$90:$DS$90,0)-1)</f>
        <v>6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5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6 throws</v>
      </c>
      <c r="M411" s="78" t="s">
        <v>1</v>
      </c>
      <c r="N411" s="78" t="s">
        <v>249</v>
      </c>
      <c r="O411" s="78" t="e">
        <f t="shared" ca="1" si="30"/>
        <v>#VALUE!</v>
      </c>
      <c r="P411" s="78" t="str">
        <f t="shared" ca="1" si="32"/>
        <v/>
      </c>
    </row>
    <row r="412" spans="1:16" s="78" customFormat="1" hidden="1" x14ac:dyDescent="0.25">
      <c r="A412" s="78" t="s">
        <v>363</v>
      </c>
      <c r="B412" s="295"/>
      <c r="C412" s="78">
        <f>INDEX(Parameter!$9:$9,,MATCH(12,Parameter!$8:$8,0))</f>
        <v>14</v>
      </c>
      <c r="D412" s="78">
        <f>INDEX(Parameter!$B$10:$AB$10,MATCH(C412,Parameter!$B$9:$AB$9,0))</f>
        <v>4</v>
      </c>
      <c r="E412" s="78">
        <f>COUNTIF(Data!$DY$90:$IB$90,Specials!C412)</f>
        <v>2</v>
      </c>
      <c r="F412" s="78">
        <f ca="1">OFFSET(Data!$CS$91,MATCH("M1",Data!$A$91:$A$190,0)-1,MATCH(C412,Data!$CS$90:$DS$90,0)-1)</f>
        <v>7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7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7 throws</v>
      </c>
      <c r="M412" s="78" t="s">
        <v>1</v>
      </c>
      <c r="N412" s="78" t="s">
        <v>249</v>
      </c>
      <c r="O412" s="78" t="e">
        <f t="shared" ca="1" si="30"/>
        <v>#VALUE!</v>
      </c>
      <c r="P412" s="78" t="str">
        <f t="shared" ca="1" si="32"/>
        <v/>
      </c>
    </row>
    <row r="413" spans="1:16" s="78" customFormat="1" hidden="1" x14ac:dyDescent="0.25">
      <c r="A413" s="78" t="s">
        <v>363</v>
      </c>
      <c r="B413" s="295"/>
      <c r="C413" s="78">
        <f>INDEX(Parameter!$9:$9,,MATCH(13,Parameter!$8:$8,0))</f>
        <v>15</v>
      </c>
      <c r="D413" s="78">
        <f>INDEX(Parameter!$B$10:$AB$10,MATCH(C413,Parameter!$B$9:$AB$9,0))</f>
        <v>4</v>
      </c>
      <c r="E413" s="78">
        <f>COUNTIF(Data!$DY$90:$IB$90,Specials!C413)</f>
        <v>2</v>
      </c>
      <c r="F413" s="78">
        <f ca="1">OFFSET(Data!$CS$91,MATCH("M1",Data!$A$91:$A$190,0)-1,MATCH(C413,Data!$CS$90:$DS$90,0)-1)</f>
        <v>5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5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5 throws</v>
      </c>
      <c r="M413" s="78" t="s">
        <v>1</v>
      </c>
      <c r="N413" s="78" t="s">
        <v>249</v>
      </c>
      <c r="O413" s="78" t="e">
        <f t="shared" ca="1" si="30"/>
        <v>#VALUE!</v>
      </c>
      <c r="P413" s="78" t="str">
        <f t="shared" ca="1" si="32"/>
        <v/>
      </c>
    </row>
    <row r="414" spans="1:16" s="78" customFormat="1" hidden="1" x14ac:dyDescent="0.25">
      <c r="A414" s="78" t="s">
        <v>363</v>
      </c>
      <c r="B414" s="295"/>
      <c r="C414" s="78">
        <f>INDEX(Parameter!$9:$9,,MATCH(14,Parameter!$8:$8,0))</f>
        <v>16</v>
      </c>
      <c r="D414" s="78">
        <f>INDEX(Parameter!$B$10:$AB$10,MATCH(C414,Parameter!$B$9:$AB$9,0))</f>
        <v>3</v>
      </c>
      <c r="E414" s="78">
        <f>COUNTIF(Data!$DY$90:$IB$90,Specials!C414)</f>
        <v>2</v>
      </c>
      <c r="F414" s="78">
        <f ca="1">OFFSET(Data!$CS$91,MATCH("M1",Data!$A$91:$A$190,0)-1,MATCH(C414,Data!$CS$90:$DS$90,0)-1)</f>
        <v>6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4</v>
      </c>
      <c r="H414" s="78">
        <f t="array" aca="1" ref="H414" ca="1">IF(AND(G414&lt;=F414-E414*1,G414&lt;&gt;0),SUM(IF((OFFSET(Data!$CS$91:$CS$190,,MATCH(C414,Data!$CS$90:$DS$90,0)-1)=Specials!G414)*(Data!$DW$91:$DW$190="M"),1)),0)</f>
        <v>4</v>
      </c>
      <c r="K414" s="78" t="str">
        <f t="array" aca="1" ref="K414" ca="1">IF(H414=1,INDEX(Data!$DT$91:$DT$190,MATCH(G414,(OFFSET(Data!$CS$91:$CS$190,,MATCH(C414,Data!$CS$90:$DS$90,0)-1))*(Data!$DW$91:$DW$190="M"),0)),H414&amp;" Players")</f>
        <v>4 Players</v>
      </c>
      <c r="L414" s="78" t="str">
        <f t="shared" ca="1" si="33"/>
        <v>Best men took 6 throws</v>
      </c>
      <c r="M414" s="78" t="s">
        <v>1</v>
      </c>
      <c r="N414" s="78" t="s">
        <v>249</v>
      </c>
      <c r="O414" s="78" t="e">
        <f t="shared" ca="1" si="30"/>
        <v>#VALUE!</v>
      </c>
      <c r="P414" s="78" t="str">
        <f t="shared" ca="1" si="32"/>
        <v/>
      </c>
    </row>
    <row r="415" spans="1:16" s="78" customFormat="1" hidden="1" x14ac:dyDescent="0.25">
      <c r="A415" s="78" t="s">
        <v>363</v>
      </c>
      <c r="B415" s="295"/>
      <c r="C415" s="78">
        <f>INDEX(Parameter!$9:$9,,MATCH(15,Parameter!$8:$8,0))</f>
        <v>17</v>
      </c>
      <c r="D415" s="78">
        <f>INDEX(Parameter!$B$10:$AB$10,MATCH(C415,Parameter!$B$9:$AB$9,0))</f>
        <v>3</v>
      </c>
      <c r="E415" s="78">
        <f>COUNTIF(Data!$DY$90:$IB$90,Specials!C415)</f>
        <v>2</v>
      </c>
      <c r="F415" s="78">
        <f ca="1">OFFSET(Data!$CS$91,MATCH("M1",Data!$A$91:$A$190,0)-1,MATCH(C415,Data!$CS$90:$DS$90,0)-1)</f>
        <v>7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5</v>
      </c>
      <c r="H415" s="78">
        <f t="array" aca="1" ref="H415" ca="1">IF(AND(G415&lt;=F415-E415*1,G415&lt;&gt;0),SUM(IF((OFFSET(Data!$CS$91:$CS$190,,MATCH(C415,Data!$CS$90:$DS$90,0)-1)=Specials!G415)*(Data!$DW$91:$DW$190="M"),1)),0)</f>
        <v>3</v>
      </c>
      <c r="K415" s="78" t="str">
        <f t="array" aca="1" ref="K415" ca="1">IF(H415=1,INDEX(Data!$DT$91:$DT$190,MATCH(G415,(OFFSET(Data!$CS$91:$CS$190,,MATCH(C415,Data!$CS$90:$DS$90,0)-1))*(Data!$DW$91:$DW$190="M"),0)),H415&amp;" Players")</f>
        <v>3 Players</v>
      </c>
      <c r="L415" s="78" t="str">
        <f t="shared" ca="1" si="33"/>
        <v>Best men took 7 throws</v>
      </c>
      <c r="M415" s="78" t="s">
        <v>1</v>
      </c>
      <c r="N415" s="78" t="s">
        <v>249</v>
      </c>
      <c r="O415" s="78" t="e">
        <f t="shared" ca="1" si="30"/>
        <v>#VALUE!</v>
      </c>
      <c r="P415" s="78" t="str">
        <f t="shared" ca="1" si="32"/>
        <v/>
      </c>
    </row>
    <row r="416" spans="1:16" s="78" customFormat="1" hidden="1" x14ac:dyDescent="0.25">
      <c r="A416" s="78" t="s">
        <v>363</v>
      </c>
      <c r="B416" s="295"/>
      <c r="C416" s="78">
        <f>INDEX(Parameter!$9:$9,,MATCH(16,Parameter!$8:$8,0))</f>
        <v>18</v>
      </c>
      <c r="D416" s="78">
        <f>INDEX(Parameter!$B$10:$AB$10,MATCH(C416,Parameter!$B$9:$AB$9,0))</f>
        <v>3</v>
      </c>
      <c r="E416" s="78">
        <f>COUNTIF(Data!$DY$90:$IB$90,Specials!C416)</f>
        <v>2</v>
      </c>
      <c r="F416" s="78">
        <f ca="1">OFFSET(Data!$CS$91,MATCH("M1",Data!$A$91:$A$190,0)-1,MATCH(C416,Data!$CS$90:$DS$90,0)-1)</f>
        <v>5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4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5 throws</v>
      </c>
      <c r="M416" s="78" t="s">
        <v>1</v>
      </c>
      <c r="N416" s="78" t="s">
        <v>249</v>
      </c>
      <c r="O416" s="78" t="e">
        <f t="shared" ca="1" si="30"/>
        <v>#VALUE!</v>
      </c>
      <c r="P416" s="78" t="str">
        <f t="shared" ca="1" si="32"/>
        <v/>
      </c>
    </row>
    <row r="417" spans="1:16" s="78" customFormat="1" hidden="1" x14ac:dyDescent="0.25">
      <c r="A417" s="78" t="s">
        <v>363</v>
      </c>
      <c r="B417" s="295"/>
      <c r="C417" s="78" t="str">
        <f>INDEX(Parameter!$9:$9,,MATCH(17,Parameter!$8:$8,0))</f>
        <v>17a</v>
      </c>
      <c r="D417" s="78" t="str">
        <f>INDEX(Parameter!$B$10:$AB$10,MATCH(C417,Parameter!$B$9:$AB$9,0))</f>
        <v>no</v>
      </c>
      <c r="E417" s="78">
        <f>COUNTIF(Data!$DY$90:$IB$90,Specials!C417)</f>
        <v>0</v>
      </c>
      <c r="F417" s="78">
        <f ca="1">OFFSET(Data!$CS$91,MATCH("M1",Data!$A$91:$A$190,0)-1,MATCH(C417,Data!$CS$90:$DS$90,0)-1)</f>
        <v>0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0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0 throws</v>
      </c>
      <c r="M417" s="78" t="s">
        <v>1</v>
      </c>
      <c r="N417" s="78" t="s">
        <v>249</v>
      </c>
      <c r="O417" s="78" t="e">
        <f t="shared" ca="1" si="30"/>
        <v>#VALUE!</v>
      </c>
      <c r="P417" s="78" t="str">
        <f t="shared" ca="1" si="32"/>
        <v/>
      </c>
    </row>
    <row r="418" spans="1:16" s="78" customFormat="1" hidden="1" x14ac:dyDescent="0.25">
      <c r="A418" s="78" t="s">
        <v>363</v>
      </c>
      <c r="B418" s="295"/>
      <c r="C418" s="78" t="str">
        <f>INDEX(Parameter!$9:$9,,MATCH(18,Parameter!$8:$8,0))</f>
        <v>18a</v>
      </c>
      <c r="D418" s="78" t="str">
        <f>INDEX(Parameter!$B$10:$AB$10,MATCH(C418,Parameter!$B$9:$AB$9,0))</f>
        <v>no</v>
      </c>
      <c r="E418" s="78">
        <f>COUNTIF(Data!$DY$90:$IB$90,Specials!C418)</f>
        <v>0</v>
      </c>
      <c r="F418" s="78">
        <f ca="1">OFFSET(Data!$CS$91,MATCH("M1",Data!$A$91:$A$190,0)-1,MATCH(C418,Data!$CS$90:$DS$90,0)-1)</f>
        <v>0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0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0 throws</v>
      </c>
      <c r="M418" s="78" t="s">
        <v>1</v>
      </c>
      <c r="N418" s="78" t="s">
        <v>249</v>
      </c>
      <c r="O418" s="78" t="e">
        <f t="shared" ca="1" si="30"/>
        <v>#VALUE!</v>
      </c>
      <c r="P418" s="78" t="str">
        <f t="shared" ca="1" si="32"/>
        <v/>
      </c>
    </row>
    <row r="419" spans="1:16" s="78" customFormat="1" hidden="1" x14ac:dyDescent="0.25">
      <c r="A419" s="78" t="s">
        <v>363</v>
      </c>
      <c r="B419" s="295"/>
      <c r="C419" s="78">
        <f>INDEX(Parameter!$9:$9,,MATCH(19,Parameter!$8:$8,0))</f>
        <v>19</v>
      </c>
      <c r="D419" s="78" t="str">
        <f>INDEX(Parameter!$B$10:$AB$10,MATCH(C419,Parameter!$B$9:$AB$9,0))</f>
        <v>no</v>
      </c>
      <c r="E419" s="78">
        <f>COUNTIF(Data!$DY$90:$IB$90,Specials!C419)</f>
        <v>0</v>
      </c>
      <c r="F419" s="78">
        <f ca="1">OFFSET(Data!$CS$91,MATCH("M1",Data!$A$91:$A$190,0)-1,MATCH(C419,Data!$CS$90:$DS$90,0)-1)</f>
        <v>0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0 throws</v>
      </c>
      <c r="M419" s="78" t="s">
        <v>1</v>
      </c>
      <c r="N419" s="78" t="s">
        <v>249</v>
      </c>
      <c r="O419" s="78" t="e">
        <f t="shared" ca="1" si="30"/>
        <v>#VALUE!</v>
      </c>
      <c r="P419" s="78" t="str">
        <f t="shared" ca="1" si="32"/>
        <v/>
      </c>
    </row>
    <row r="420" spans="1:16" s="78" customFormat="1" hidden="1" x14ac:dyDescent="0.25">
      <c r="A420" s="78" t="s">
        <v>363</v>
      </c>
      <c r="B420" s="295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249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363</v>
      </c>
      <c r="B421" s="295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249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363</v>
      </c>
      <c r="B422" s="295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249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363</v>
      </c>
      <c r="B423" s="295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249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363</v>
      </c>
      <c r="B424" s="295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249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363</v>
      </c>
      <c r="B425" s="295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249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363</v>
      </c>
      <c r="B426" s="295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249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363</v>
      </c>
      <c r="B427" s="295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249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7" t="str">
        <f>"# Triple-Bogeys Men Rating &gt; "&amp;Parameter!$B$32</f>
        <v># Triple-Bogeys Men Rating &gt; 850</v>
      </c>
      <c r="B428" s="292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4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249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7" t="str">
        <f>"# Triple-Bogeys Men Rating &gt; "&amp;Parameter!$B$32</f>
        <v># Triple-Bogeys Men Rating &gt; 850</v>
      </c>
      <c r="B429" s="292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4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249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7" t="str">
        <f>"# Triple-Bogeys Men Rating &gt; "&amp;Parameter!$B$32</f>
        <v># Triple-Bogeys Men Rating &gt; 850</v>
      </c>
      <c r="B430" s="292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4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249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7" t="str">
        <f>"# Triple-Bogeys Men Rating &gt; "&amp;Parameter!$B$32</f>
        <v># Triple-Bogeys Men Rating &gt; 850</v>
      </c>
      <c r="B431" s="292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249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7" t="str">
        <f>"# Triple-Bogeys Men Rating &gt; "&amp;Parameter!$B$32</f>
        <v># Triple-Bogeys Men Rating &gt; 850</v>
      </c>
      <c r="B432" s="292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1</v>
      </c>
      <c r="I432" s="65">
        <f t="shared" ca="1" si="34"/>
        <v>6</v>
      </c>
      <c r="J432" s="65">
        <f t="array" aca="1" ref="J432" ca="1">IF(H432=1,MATCH(1,(OFFSET(Data!$DY$1:$IB$1,B432-1,0))*(Data!$DY$90:$IB$90=C432),0),"")</f>
        <v>5</v>
      </c>
      <c r="K432" s="65">
        <f t="array" aca="1" ref="K432" ca="1">IF(H432=1,MATCH(I432,OFFSET(Data!$DX$91:$DX$190,0,Specials!J432)*(Data!$AM$91:$AM$190&gt;Parameter!$B$32)*(Data!$DW$91:$DW$190="M"),0),"")</f>
        <v>34</v>
      </c>
      <c r="L432" s="65" t="str">
        <f ca="1">IF(H432=1,INDEX(Data!$DT$91:$DT$190,$K432)&amp;" / "&amp;OFFSET(Data!$DX$89,0,Specials!J432),"")</f>
        <v>Daniel Wilging / Round 1</v>
      </c>
      <c r="M432" s="65" t="s">
        <v>1</v>
      </c>
      <c r="N432" s="65" t="s">
        <v>249</v>
      </c>
      <c r="O432" s="65" t="e">
        <f t="shared" ca="1" si="30"/>
        <v>#VALUE!</v>
      </c>
      <c r="P432" s="65" t="str">
        <f t="shared" ca="1" si="35"/>
        <v>Only 1 Triple-Bogey on hole 5 (par 3)</v>
      </c>
    </row>
    <row r="433" spans="1:16" s="65" customFormat="1" hidden="1" x14ac:dyDescent="0.25">
      <c r="A433" s="287" t="str">
        <f>"# Triple-Bogeys Men Rating &gt; "&amp;Parameter!$B$32</f>
        <v># Triple-Bogeys Men Rating &gt; 850</v>
      </c>
      <c r="B433" s="292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5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249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7" t="str">
        <f>"# Triple-Bogeys Men Rating &gt; "&amp;Parameter!$B$32</f>
        <v># Triple-Bogeys Men Rating &gt; 850</v>
      </c>
      <c r="B434" s="292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249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7" t="str">
        <f>"# Triple-Bogeys Men Rating &gt; "&amp;Parameter!$B$32</f>
        <v># Triple-Bogeys Men Rating &gt; 850</v>
      </c>
      <c r="B435" s="292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249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7" t="str">
        <f>"# Triple-Bogeys Men Rating &gt; "&amp;Parameter!$B$32</f>
        <v># Triple-Bogeys Men Rating &gt; 850</v>
      </c>
      <c r="B436" s="292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249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7" t="str">
        <f>"# Triple-Bogeys Men Rating &gt; "&amp;Parameter!$B$32</f>
        <v># Triple-Bogeys Men Rating &gt; 850</v>
      </c>
      <c r="B437" s="292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249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7" t="str">
        <f>"# Triple-Bogeys Men Rating &gt; "&amp;Parameter!$B$32</f>
        <v># Triple-Bogeys Men Rating &gt; 850</v>
      </c>
      <c r="B438" s="292">
        <f>MATCH(A438,Data!$DT:$DT,0)</f>
        <v>14</v>
      </c>
      <c r="C438" s="65">
        <f>INDEX(Parameter!$9:$9,,MATCH(11,Parameter!$8:$8,0))</f>
        <v>12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249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7" t="str">
        <f>"# Triple-Bogeys Men Rating &gt; "&amp;Parameter!$B$32</f>
        <v># Triple-Bogeys Men Rating &gt; 850</v>
      </c>
      <c r="B439" s="292">
        <f>MATCH(A439,Data!$DT:$DT,0)</f>
        <v>14</v>
      </c>
      <c r="C439" s="65">
        <f>INDEX(Parameter!$9:$9,,MATCH(12,Parameter!$8:$8,0))</f>
        <v>14</v>
      </c>
      <c r="D439" s="65">
        <f>INDEX(Parameter!$B$10:$AB$10,MATCH(C439,Parameter!$B$9:$AB$9,0))</f>
        <v>4</v>
      </c>
      <c r="H439" s="65">
        <f ca="1">INDEX(OFFSET(Data!$CS$1:$DS$1,B439-1,0),MATCH("Total/"&amp;C439,Data!$CS$1:$DS$1,0))</f>
        <v>2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249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7" t="str">
        <f>"# Triple-Bogeys Men Rating &gt; "&amp;Parameter!$B$32</f>
        <v># Triple-Bogeys Men Rating &gt; 850</v>
      </c>
      <c r="B440" s="292">
        <f>MATCH(A440,Data!$DT:$DT,0)</f>
        <v>14</v>
      </c>
      <c r="C440" s="65">
        <f>INDEX(Parameter!$9:$9,,MATCH(13,Parameter!$8:$8,0))</f>
        <v>15</v>
      </c>
      <c r="D440" s="65">
        <f>INDEX(Parameter!$B$10:$AB$10,MATCH(C440,Parameter!$B$9:$AB$9,0))</f>
        <v>4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249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7" t="str">
        <f>"# Triple-Bogeys Men Rating &gt; "&amp;Parameter!$B$32</f>
        <v># Triple-Bogeys Men Rating &gt; 850</v>
      </c>
      <c r="B441" s="292">
        <f>MATCH(A441,Data!$DT:$DT,0)</f>
        <v>14</v>
      </c>
      <c r="C441" s="65">
        <f>INDEX(Parameter!$9:$9,,MATCH(14,Parameter!$8:$8,0))</f>
        <v>16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249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7" t="str">
        <f>"# Triple-Bogeys Men Rating &gt; "&amp;Parameter!$B$32</f>
        <v># Triple-Bogeys Men Rating &gt; 850</v>
      </c>
      <c r="B442" s="292">
        <f>MATCH(A442,Data!$DT:$DT,0)</f>
        <v>14</v>
      </c>
      <c r="C442" s="65">
        <f>INDEX(Parameter!$9:$9,,MATCH(15,Parameter!$8:$8,0))</f>
        <v>17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249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7" t="str">
        <f>"# Triple-Bogeys Men Rating &gt; "&amp;Parameter!$B$32</f>
        <v># Triple-Bogeys Men Rating &gt; 850</v>
      </c>
      <c r="B443" s="292">
        <f>MATCH(A443,Data!$DT:$DT,0)</f>
        <v>14</v>
      </c>
      <c r="C443" s="65">
        <f>INDEX(Parameter!$9:$9,,MATCH(16,Parameter!$8:$8,0))</f>
        <v>18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249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7" t="str">
        <f>"# Triple-Bogeys Men Rating &gt; "&amp;Parameter!$B$32</f>
        <v># Triple-Bogeys Men Rating &gt; 850</v>
      </c>
      <c r="B444" s="292">
        <f>MATCH(A444,Data!$DT:$DT,0)</f>
        <v>14</v>
      </c>
      <c r="C444" s="65" t="str">
        <f>INDEX(Parameter!$9:$9,,MATCH(17,Parameter!$8:$8,0))</f>
        <v>17a</v>
      </c>
      <c r="D444" s="65" t="str">
        <f>INDEX(Parameter!$B$10:$AB$10,MATCH(C444,Parameter!$B$9:$AB$9,0))</f>
        <v>no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249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7" t="str">
        <f>"# Triple-Bogeys Men Rating &gt; "&amp;Parameter!$B$32</f>
        <v># Triple-Bogeys Men Rating &gt; 850</v>
      </c>
      <c r="B445" s="292">
        <f>MATCH(A445,Data!$DT:$DT,0)</f>
        <v>14</v>
      </c>
      <c r="C445" s="65" t="str">
        <f>INDEX(Parameter!$9:$9,,MATCH(18,Parameter!$8:$8,0))</f>
        <v>18a</v>
      </c>
      <c r="D445" s="65" t="str">
        <f>INDEX(Parameter!$B$10:$AB$10,MATCH(C445,Parameter!$B$9:$AB$9,0))</f>
        <v>no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249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7" t="str">
        <f>"# Triple-Bogeys Men Rating &gt; "&amp;Parameter!$B$32</f>
        <v># Triple-Bogeys Men Rating &gt; 850</v>
      </c>
      <c r="B446" s="292">
        <f>MATCH(A446,Data!$DT:$DT,0)</f>
        <v>14</v>
      </c>
      <c r="C446" s="65">
        <f>INDEX(Parameter!$9:$9,,MATCH(19,Parameter!$8:$8,0))</f>
        <v>19</v>
      </c>
      <c r="D446" s="65" t="str">
        <f>INDEX(Parameter!$B$10:$AB$10,MATCH(C446,Parameter!$B$9:$AB$9,0))</f>
        <v>no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249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7" t="str">
        <f>"# Triple-Bogeys Men Rating &gt; "&amp;Parameter!$B$32</f>
        <v># Triple-Bogeys Men Rating &gt; 850</v>
      </c>
      <c r="B447" s="292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249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7" t="str">
        <f>"# Triple-Bogeys Men Rating &gt; "&amp;Parameter!$B$32</f>
        <v># Triple-Bogeys Men Rating &gt; 850</v>
      </c>
      <c r="B448" s="292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249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7" t="str">
        <f>"# Triple-Bogeys Men Rating &gt; "&amp;Parameter!$B$32</f>
        <v># Triple-Bogeys Men Rating &gt; 850</v>
      </c>
      <c r="B449" s="292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249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7" t="str">
        <f>"# Triple-Bogeys Men Rating &gt; "&amp;Parameter!$B$32</f>
        <v># Triple-Bogeys Men Rating &gt; 850</v>
      </c>
      <c r="B450" s="292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249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7" t="str">
        <f>"# Triple-Bogeys Men Rating &gt; "&amp;Parameter!$B$32</f>
        <v># Triple-Bogeys Men Rating &gt; 850</v>
      </c>
      <c r="B451" s="292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249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7" t="str">
        <f>"# Triple-Bogeys Men Rating &gt; "&amp;Parameter!$B$32</f>
        <v># Triple-Bogeys Men Rating &gt; 850</v>
      </c>
      <c r="B452" s="292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249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7" t="str">
        <f>"# Triple-Bogeys Men Rating &gt; "&amp;Parameter!$B$32</f>
        <v># Triple-Bogeys Men Rating &gt; 850</v>
      </c>
      <c r="B453" s="292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249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7" t="str">
        <f>"# Triple-Bogeys Men Rating &gt; "&amp;Parameter!$B$32</f>
        <v># Triple-Bogeys Men Rating &gt; 850</v>
      </c>
      <c r="B454" s="292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249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5" t="str">
        <f>"# Oh dear Men Rating &gt; "&amp;Parameter!$B$32</f>
        <v># Oh dear Men Rating &gt; 850</v>
      </c>
      <c r="B455" s="295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4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249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5" t="str">
        <f>"# Oh dear Men Rating &gt; "&amp;Parameter!$B$32</f>
        <v># Oh dear Men Rating &gt; 850</v>
      </c>
      <c r="B456" s="295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4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249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5" t="str">
        <f>"# Oh dear Men Rating &gt; "&amp;Parameter!$B$32</f>
        <v># Oh dear Men Rating &gt; 850</v>
      </c>
      <c r="B457" s="295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4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249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5" t="str">
        <f>"# Oh dear Men Rating &gt; "&amp;Parameter!$B$32</f>
        <v># Oh dear Men Rating &gt; 850</v>
      </c>
      <c r="B458" s="295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249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5" t="str">
        <f>"# Oh dear Men Rating &gt; "&amp;Parameter!$B$32</f>
        <v># Oh dear Men Rating &gt; 850</v>
      </c>
      <c r="B459" s="295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249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5" t="str">
        <f>"# Oh dear Men Rating &gt; "&amp;Parameter!$B$32</f>
        <v># Oh dear Men Rating &gt; 850</v>
      </c>
      <c r="B460" s="295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5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249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5" t="str">
        <f>"# Oh dear Men Rating &gt; "&amp;Parameter!$B$32</f>
        <v># Oh dear Men Rating &gt; 850</v>
      </c>
      <c r="B461" s="295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249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5" t="str">
        <f>"# Oh dear Men Rating &gt; "&amp;Parameter!$B$32</f>
        <v># Oh dear Men Rating &gt; 850</v>
      </c>
      <c r="B462" s="295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249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5" t="str">
        <f>"# Oh dear Men Rating &gt; "&amp;Parameter!$B$32</f>
        <v># Oh dear Men Rating &gt; 850</v>
      </c>
      <c r="B463" s="295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249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5" t="str">
        <f>"# Oh dear Men Rating &gt; "&amp;Parameter!$B$32</f>
        <v># Oh dear Men Rating &gt; 850</v>
      </c>
      <c r="B464" s="295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249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5" t="str">
        <f>"# Oh dear Men Rating &gt; "&amp;Parameter!$B$32</f>
        <v># Oh dear Men Rating &gt; 850</v>
      </c>
      <c r="B465" s="295">
        <f>MATCH(A465,Data!$DT:$DT,0)</f>
        <v>17</v>
      </c>
      <c r="C465" s="78">
        <f>INDEX(Parameter!$9:$9,,MATCH(11,Parameter!$8:$8,0))</f>
        <v>12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249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5" t="str">
        <f>"# Oh dear Men Rating &gt; "&amp;Parameter!$B$32</f>
        <v># Oh dear Men Rating &gt; 850</v>
      </c>
      <c r="B466" s="295">
        <f>MATCH(A466,Data!$DT:$DT,0)</f>
        <v>17</v>
      </c>
      <c r="C466" s="78">
        <f>INDEX(Parameter!$9:$9,,MATCH(12,Parameter!$8:$8,0))</f>
        <v>14</v>
      </c>
      <c r="D466" s="78">
        <f>INDEX(Parameter!$B$10:$AB$10,MATCH(C466,Parameter!$B$9:$AB$9,0))</f>
        <v>4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249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5" t="str">
        <f>"# Oh dear Men Rating &gt; "&amp;Parameter!$B$32</f>
        <v># Oh dear Men Rating &gt; 850</v>
      </c>
      <c r="B467" s="295">
        <f>MATCH(A467,Data!$DT:$DT,0)</f>
        <v>17</v>
      </c>
      <c r="C467" s="78">
        <f>INDEX(Parameter!$9:$9,,MATCH(13,Parameter!$8:$8,0))</f>
        <v>15</v>
      </c>
      <c r="D467" s="78">
        <f>INDEX(Parameter!$B$10:$AB$10,MATCH(C467,Parameter!$B$9:$AB$9,0))</f>
        <v>4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249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5" t="str">
        <f>"# Oh dear Men Rating &gt; "&amp;Parameter!$B$32</f>
        <v># Oh dear Men Rating &gt; 850</v>
      </c>
      <c r="B468" s="295">
        <f>MATCH(A468,Data!$DT:$DT,0)</f>
        <v>17</v>
      </c>
      <c r="C468" s="78">
        <f>INDEX(Parameter!$9:$9,,MATCH(14,Parameter!$8:$8,0))</f>
        <v>16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249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5" t="str">
        <f>"# Oh dear Men Rating &gt; "&amp;Parameter!$B$32</f>
        <v># Oh dear Men Rating &gt; 850</v>
      </c>
      <c r="B469" s="295">
        <f>MATCH(A469,Data!$DT:$DT,0)</f>
        <v>17</v>
      </c>
      <c r="C469" s="78">
        <f>INDEX(Parameter!$9:$9,,MATCH(15,Parameter!$8:$8,0))</f>
        <v>17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249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5" t="str">
        <f>"# Oh dear Men Rating &gt; "&amp;Parameter!$B$32</f>
        <v># Oh dear Men Rating &gt; 850</v>
      </c>
      <c r="B470" s="295">
        <f>MATCH(A470,Data!$DT:$DT,0)</f>
        <v>17</v>
      </c>
      <c r="C470" s="78">
        <f>INDEX(Parameter!$9:$9,,MATCH(16,Parameter!$8:$8,0))</f>
        <v>18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249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5" t="str">
        <f>"# Oh dear Men Rating &gt; "&amp;Parameter!$B$32</f>
        <v># Oh dear Men Rating &gt; 850</v>
      </c>
      <c r="B471" s="295">
        <f>MATCH(A471,Data!$DT:$DT,0)</f>
        <v>17</v>
      </c>
      <c r="C471" s="78" t="str">
        <f>INDEX(Parameter!$9:$9,,MATCH(17,Parameter!$8:$8,0))</f>
        <v>17a</v>
      </c>
      <c r="D471" s="78" t="str">
        <f>INDEX(Parameter!$B$10:$AB$10,MATCH(C471,Parameter!$B$9:$AB$9,0))</f>
        <v>no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249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5" t="str">
        <f>"# Oh dear Men Rating &gt; "&amp;Parameter!$B$32</f>
        <v># Oh dear Men Rating &gt; 850</v>
      </c>
      <c r="B472" s="295">
        <f>MATCH(A472,Data!$DT:$DT,0)</f>
        <v>17</v>
      </c>
      <c r="C472" s="78" t="str">
        <f>INDEX(Parameter!$9:$9,,MATCH(18,Parameter!$8:$8,0))</f>
        <v>18a</v>
      </c>
      <c r="D472" s="78" t="str">
        <f>INDEX(Parameter!$B$10:$AB$10,MATCH(C472,Parameter!$B$9:$AB$9,0))</f>
        <v>no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249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5" t="str">
        <f>"# Oh dear Men Rating &gt; "&amp;Parameter!$B$32</f>
        <v># Oh dear Men Rating &gt; 850</v>
      </c>
      <c r="B473" s="295">
        <f>MATCH(A473,Data!$DT:$DT,0)</f>
        <v>17</v>
      </c>
      <c r="C473" s="78">
        <f>INDEX(Parameter!$9:$9,,MATCH(19,Parameter!$8:$8,0))</f>
        <v>19</v>
      </c>
      <c r="D473" s="78" t="str">
        <f>INDEX(Parameter!$B$10:$AB$10,MATCH(C473,Parameter!$B$9:$AB$9,0))</f>
        <v>no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249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5" t="str">
        <f>"# Oh dear Men Rating &gt; "&amp;Parameter!$B$32</f>
        <v># Oh dear Men Rating &gt; 850</v>
      </c>
      <c r="B474" s="295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249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5" t="str">
        <f>"# Oh dear Men Rating &gt; "&amp;Parameter!$B$32</f>
        <v># Oh dear Men Rating &gt; 850</v>
      </c>
      <c r="B475" s="295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249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5" t="str">
        <f>"# Oh dear Men Rating &gt; "&amp;Parameter!$B$32</f>
        <v># Oh dear Men Rating &gt; 850</v>
      </c>
      <c r="B476" s="295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249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5" t="str">
        <f>"# Oh dear Men Rating &gt; "&amp;Parameter!$B$32</f>
        <v># Oh dear Men Rating &gt; 850</v>
      </c>
      <c r="B477" s="295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249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5" t="str">
        <f>"# Oh dear Men Rating &gt; "&amp;Parameter!$B$32</f>
        <v># Oh dear Men Rating &gt; 850</v>
      </c>
      <c r="B478" s="295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249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5" t="str">
        <f>"# Oh dear Men Rating &gt; "&amp;Parameter!$B$32</f>
        <v># Oh dear Men Rating &gt; 850</v>
      </c>
      <c r="B479" s="295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249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5" t="str">
        <f>"# Oh dear Men Rating &gt; "&amp;Parameter!$B$32</f>
        <v># Oh dear Men Rating &gt; 850</v>
      </c>
      <c r="B480" s="295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249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5" t="str">
        <f>"# Oh dear Men Rating &gt; "&amp;Parameter!$B$32</f>
        <v># Oh dear Men Rating &gt; 850</v>
      </c>
      <c r="B481" s="295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249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5" t="str">
        <f>"# Oh dear Men Rating &gt; "&amp;Parameter!$B$32</f>
        <v># Oh dear Men Rating &gt; 850</v>
      </c>
      <c r="B482" s="295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4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249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5" t="str">
        <f>"# Oh dear Men Rating &gt; "&amp;Parameter!$B$32</f>
        <v># Oh dear Men Rating &gt; 850</v>
      </c>
      <c r="B483" s="295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4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249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5" t="str">
        <f>"# Oh dear Men Rating &gt; "&amp;Parameter!$B$32</f>
        <v># Oh dear Men Rating &gt; 850</v>
      </c>
      <c r="B484" s="295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4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249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5" t="str">
        <f>"# Oh dear Men Rating &gt; "&amp;Parameter!$B$32</f>
        <v># Oh dear Men Rating &gt; 850</v>
      </c>
      <c r="B485" s="295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249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5" t="str">
        <f>"# Oh dear Men Rating &gt; "&amp;Parameter!$B$32</f>
        <v># Oh dear Men Rating &gt; 850</v>
      </c>
      <c r="B486" s="295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249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5" t="str">
        <f>"# Oh dear Men Rating &gt; "&amp;Parameter!$B$32</f>
        <v># Oh dear Men Rating &gt; 850</v>
      </c>
      <c r="B487" s="295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5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249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5" t="str">
        <f>"# Oh dear Men Rating &gt; "&amp;Parameter!$B$32</f>
        <v># Oh dear Men Rating &gt; 850</v>
      </c>
      <c r="B488" s="295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249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5" t="str">
        <f>"# Oh dear Men Rating &gt; "&amp;Parameter!$B$32</f>
        <v># Oh dear Men Rating &gt; 850</v>
      </c>
      <c r="B489" s="295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249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5" t="str">
        <f>"# Oh dear Men Rating &gt; "&amp;Parameter!$B$32</f>
        <v># Oh dear Men Rating &gt; 850</v>
      </c>
      <c r="B490" s="295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249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5" t="str">
        <f>"# Oh dear Men Rating &gt; "&amp;Parameter!$B$32</f>
        <v># Oh dear Men Rating &gt; 850</v>
      </c>
      <c r="B491" s="295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249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5" t="str">
        <f>"# Oh dear Men Rating &gt; "&amp;Parameter!$B$32</f>
        <v># Oh dear Men Rating &gt; 850</v>
      </c>
      <c r="B492" s="295">
        <f>MATCH(A492,Data!$DT:$DT,0)</f>
        <v>17</v>
      </c>
      <c r="C492" s="78">
        <f>INDEX(Parameter!$9:$9,,MATCH(11,Parameter!$8:$8,0))</f>
        <v>12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249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5" t="str">
        <f>"# Oh dear Men Rating &gt; "&amp;Parameter!$B$32</f>
        <v># Oh dear Men Rating &gt; 850</v>
      </c>
      <c r="B493" s="295">
        <f>MATCH(A493,Data!$DT:$DT,0)</f>
        <v>17</v>
      </c>
      <c r="C493" s="78">
        <f>INDEX(Parameter!$9:$9,,MATCH(12,Parameter!$8:$8,0))</f>
        <v>14</v>
      </c>
      <c r="D493" s="78">
        <f>INDEX(Parameter!$B$10:$AB$10,MATCH(C493,Parameter!$B$9:$AB$9,0))</f>
        <v>4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249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5" t="str">
        <f>"# Oh dear Men Rating &gt; "&amp;Parameter!$B$32</f>
        <v># Oh dear Men Rating &gt; 850</v>
      </c>
      <c r="B494" s="295">
        <f>MATCH(A494,Data!$DT:$DT,0)</f>
        <v>17</v>
      </c>
      <c r="C494" s="78">
        <f>INDEX(Parameter!$9:$9,,MATCH(13,Parameter!$8:$8,0))</f>
        <v>15</v>
      </c>
      <c r="D494" s="78">
        <f>INDEX(Parameter!$B$10:$AB$10,MATCH(C494,Parameter!$B$9:$AB$9,0))</f>
        <v>4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249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5" t="str">
        <f>"# Oh dear Men Rating &gt; "&amp;Parameter!$B$32</f>
        <v># Oh dear Men Rating &gt; 850</v>
      </c>
      <c r="B495" s="295">
        <f>MATCH(A495,Data!$DT:$DT,0)</f>
        <v>17</v>
      </c>
      <c r="C495" s="78">
        <f>INDEX(Parameter!$9:$9,,MATCH(14,Parameter!$8:$8,0))</f>
        <v>16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249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5" t="str">
        <f>"# Oh dear Men Rating &gt; "&amp;Parameter!$B$32</f>
        <v># Oh dear Men Rating &gt; 850</v>
      </c>
      <c r="B496" s="295">
        <f>MATCH(A496,Data!$DT:$DT,0)</f>
        <v>17</v>
      </c>
      <c r="C496" s="78">
        <f>INDEX(Parameter!$9:$9,,MATCH(15,Parameter!$8:$8,0))</f>
        <v>17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249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5" t="str">
        <f>"# Oh dear Men Rating &gt; "&amp;Parameter!$B$32</f>
        <v># Oh dear Men Rating &gt; 850</v>
      </c>
      <c r="B497" s="295">
        <f>MATCH(A497,Data!$DT:$DT,0)</f>
        <v>17</v>
      </c>
      <c r="C497" s="78">
        <f>INDEX(Parameter!$9:$9,,MATCH(16,Parameter!$8:$8,0))</f>
        <v>18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249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5" t="str">
        <f>"# Oh dear Men Rating &gt; "&amp;Parameter!$B$32</f>
        <v># Oh dear Men Rating &gt; 850</v>
      </c>
      <c r="B498" s="295">
        <f>MATCH(A498,Data!$DT:$DT,0)</f>
        <v>17</v>
      </c>
      <c r="C498" s="78" t="str">
        <f>INDEX(Parameter!$9:$9,,MATCH(17,Parameter!$8:$8,0))</f>
        <v>17a</v>
      </c>
      <c r="D498" s="78" t="str">
        <f>INDEX(Parameter!$B$10:$AB$10,MATCH(C498,Parameter!$B$9:$AB$9,0))</f>
        <v>no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249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5" t="str">
        <f>"# Oh dear Men Rating &gt; "&amp;Parameter!$B$32</f>
        <v># Oh dear Men Rating &gt; 850</v>
      </c>
      <c r="B499" s="295">
        <f>MATCH(A499,Data!$DT:$DT,0)</f>
        <v>17</v>
      </c>
      <c r="C499" s="78" t="str">
        <f>INDEX(Parameter!$9:$9,,MATCH(18,Parameter!$8:$8,0))</f>
        <v>18a</v>
      </c>
      <c r="D499" s="78" t="str">
        <f>INDEX(Parameter!$B$10:$AB$10,MATCH(C499,Parameter!$B$9:$AB$9,0))</f>
        <v>no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249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5" t="str">
        <f>"# Oh dear Men Rating &gt; "&amp;Parameter!$B$32</f>
        <v># Oh dear Men Rating &gt; 850</v>
      </c>
      <c r="B500" s="295">
        <f>MATCH(A500,Data!$DT:$DT,0)</f>
        <v>17</v>
      </c>
      <c r="C500" s="78">
        <f>INDEX(Parameter!$9:$9,,MATCH(19,Parameter!$8:$8,0))</f>
        <v>19</v>
      </c>
      <c r="D500" s="78" t="str">
        <f>INDEX(Parameter!$B$10:$AB$10,MATCH(C500,Parameter!$B$9:$AB$9,0))</f>
        <v>no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249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5" t="str">
        <f>"# Oh dear Men Rating &gt; "&amp;Parameter!$B$32</f>
        <v># Oh dear Men Rating &gt; 850</v>
      </c>
      <c r="B501" s="295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249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5" t="str">
        <f>"# Oh dear Men Rating &gt; "&amp;Parameter!$B$32</f>
        <v># Oh dear Men Rating &gt; 850</v>
      </c>
      <c r="B502" s="295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249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5" t="str">
        <f>"# Oh dear Men Rating &gt; "&amp;Parameter!$B$32</f>
        <v># Oh dear Men Rating &gt; 850</v>
      </c>
      <c r="B503" s="295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249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5" t="str">
        <f>"# Oh dear Men Rating &gt; "&amp;Parameter!$B$32</f>
        <v># Oh dear Men Rating &gt; 850</v>
      </c>
      <c r="B504" s="295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249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5" t="str">
        <f>"# Oh dear Men Rating &gt; "&amp;Parameter!$B$32</f>
        <v># Oh dear Men Rating &gt; 850</v>
      </c>
      <c r="B505" s="295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249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5" t="str">
        <f>"# Oh dear Men Rating &gt; "&amp;Parameter!$B$32</f>
        <v># Oh dear Men Rating &gt; 850</v>
      </c>
      <c r="B506" s="295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249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5" t="str">
        <f>"# Oh dear Men Rating &gt; "&amp;Parameter!$B$32</f>
        <v># Oh dear Men Rating &gt; 850</v>
      </c>
      <c r="B507" s="295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249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5" t="str">
        <f>"# Oh dear Men Rating &gt; "&amp;Parameter!$B$32</f>
        <v># Oh dear Men Rating &gt; 850</v>
      </c>
      <c r="B508" s="295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249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5" t="str">
        <f>"# Oh dear Men Rating &gt; "&amp;Parameter!$B$32</f>
        <v># Oh dear Men Rating &gt; 850</v>
      </c>
      <c r="B509" s="295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4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249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5" t="str">
        <f>"# Oh dear Men Rating &gt; "&amp;Parameter!$B$32</f>
        <v># Oh dear Men Rating &gt; 850</v>
      </c>
      <c r="B510" s="295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4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249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5" t="str">
        <f>"# Oh dear Men Rating &gt; "&amp;Parameter!$B$32</f>
        <v># Oh dear Men Rating &gt; 850</v>
      </c>
      <c r="B511" s="295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4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249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5" t="str">
        <f>"# Oh dear Men Rating &gt; "&amp;Parameter!$B$32</f>
        <v># Oh dear Men Rating &gt; 850</v>
      </c>
      <c r="B512" s="295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249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5" t="str">
        <f>"# Oh dear Men Rating &gt; "&amp;Parameter!$B$32</f>
        <v># Oh dear Men Rating &gt; 850</v>
      </c>
      <c r="B513" s="295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249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5" t="str">
        <f>"# Oh dear Men Rating &gt; "&amp;Parameter!$B$32</f>
        <v># Oh dear Men Rating &gt; 850</v>
      </c>
      <c r="B514" s="295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5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249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5" t="str">
        <f>"# Oh dear Men Rating &gt; "&amp;Parameter!$B$32</f>
        <v># Oh dear Men Rating &gt; 850</v>
      </c>
      <c r="B515" s="295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249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5" t="str">
        <f>"# Oh dear Men Rating &gt; "&amp;Parameter!$B$32</f>
        <v># Oh dear Men Rating &gt; 850</v>
      </c>
      <c r="B516" s="295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249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5" t="str">
        <f>"# Oh dear Men Rating &gt; "&amp;Parameter!$B$32</f>
        <v># Oh dear Men Rating &gt; 850</v>
      </c>
      <c r="B517" s="295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249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5" t="str">
        <f>"# Oh dear Men Rating &gt; "&amp;Parameter!$B$32</f>
        <v># Oh dear Men Rating &gt; 850</v>
      </c>
      <c r="B518" s="295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249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5" t="str">
        <f>"# Oh dear Men Rating &gt; "&amp;Parameter!$B$32</f>
        <v># Oh dear Men Rating &gt; 850</v>
      </c>
      <c r="B519" s="295">
        <f>MATCH(A519,Data!$DT:$DT,0)</f>
        <v>17</v>
      </c>
      <c r="C519" s="78">
        <f>INDEX(Parameter!$9:$9,,MATCH(11,Parameter!$8:$8,0))</f>
        <v>12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249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5" t="str">
        <f>"# Oh dear Men Rating &gt; "&amp;Parameter!$B$32</f>
        <v># Oh dear Men Rating &gt; 850</v>
      </c>
      <c r="B520" s="295">
        <f>MATCH(A520,Data!$DT:$DT,0)</f>
        <v>17</v>
      </c>
      <c r="C520" s="78">
        <f>INDEX(Parameter!$9:$9,,MATCH(12,Parameter!$8:$8,0))</f>
        <v>14</v>
      </c>
      <c r="D520" s="78">
        <f>INDEX(Parameter!$B$10:$AB$10,MATCH(C520,Parameter!$B$9:$AB$9,0))</f>
        <v>4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249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5" t="str">
        <f>"# Oh dear Men Rating &gt; "&amp;Parameter!$B$32</f>
        <v># Oh dear Men Rating &gt; 850</v>
      </c>
      <c r="B521" s="295">
        <f>MATCH(A521,Data!$DT:$DT,0)</f>
        <v>17</v>
      </c>
      <c r="C521" s="78">
        <f>INDEX(Parameter!$9:$9,,MATCH(13,Parameter!$8:$8,0))</f>
        <v>15</v>
      </c>
      <c r="D521" s="78">
        <f>INDEX(Parameter!$B$10:$AB$10,MATCH(C521,Parameter!$B$9:$AB$9,0))</f>
        <v>4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249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5" t="str">
        <f>"# Oh dear Men Rating &gt; "&amp;Parameter!$B$32</f>
        <v># Oh dear Men Rating &gt; 850</v>
      </c>
      <c r="B522" s="295">
        <f>MATCH(A522,Data!$DT:$DT,0)</f>
        <v>17</v>
      </c>
      <c r="C522" s="78">
        <f>INDEX(Parameter!$9:$9,,MATCH(14,Parameter!$8:$8,0))</f>
        <v>16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249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5" t="str">
        <f>"# Oh dear Men Rating &gt; "&amp;Parameter!$B$32</f>
        <v># Oh dear Men Rating &gt; 850</v>
      </c>
      <c r="B523" s="295">
        <f>MATCH(A523,Data!$DT:$DT,0)</f>
        <v>17</v>
      </c>
      <c r="C523" s="78">
        <f>INDEX(Parameter!$9:$9,,MATCH(15,Parameter!$8:$8,0))</f>
        <v>17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249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5" t="str">
        <f>"# Oh dear Men Rating &gt; "&amp;Parameter!$B$32</f>
        <v># Oh dear Men Rating &gt; 850</v>
      </c>
      <c r="B524" s="295">
        <f>MATCH(A524,Data!$DT:$DT,0)</f>
        <v>17</v>
      </c>
      <c r="C524" s="78">
        <f>INDEX(Parameter!$9:$9,,MATCH(16,Parameter!$8:$8,0))</f>
        <v>18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249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5" t="str">
        <f>"# Oh dear Men Rating &gt; "&amp;Parameter!$B$32</f>
        <v># Oh dear Men Rating &gt; 850</v>
      </c>
      <c r="B525" s="295">
        <f>MATCH(A525,Data!$DT:$DT,0)</f>
        <v>17</v>
      </c>
      <c r="C525" s="78" t="str">
        <f>INDEX(Parameter!$9:$9,,MATCH(17,Parameter!$8:$8,0))</f>
        <v>17a</v>
      </c>
      <c r="D525" s="78" t="str">
        <f>INDEX(Parameter!$B$10:$AB$10,MATCH(C525,Parameter!$B$9:$AB$9,0))</f>
        <v>no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249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5" t="str">
        <f>"# Oh dear Men Rating &gt; "&amp;Parameter!$B$32</f>
        <v># Oh dear Men Rating &gt; 850</v>
      </c>
      <c r="B526" s="295">
        <f>MATCH(A526,Data!$DT:$DT,0)</f>
        <v>17</v>
      </c>
      <c r="C526" s="78" t="str">
        <f>INDEX(Parameter!$9:$9,,MATCH(18,Parameter!$8:$8,0))</f>
        <v>18a</v>
      </c>
      <c r="D526" s="78" t="str">
        <f>INDEX(Parameter!$B$10:$AB$10,MATCH(C526,Parameter!$B$9:$AB$9,0))</f>
        <v>no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249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5" t="str">
        <f>"# Oh dear Men Rating &gt; "&amp;Parameter!$B$32</f>
        <v># Oh dear Men Rating &gt; 850</v>
      </c>
      <c r="B527" s="295">
        <f>MATCH(A527,Data!$DT:$DT,0)</f>
        <v>17</v>
      </c>
      <c r="C527" s="78">
        <f>INDEX(Parameter!$9:$9,,MATCH(19,Parameter!$8:$8,0))</f>
        <v>19</v>
      </c>
      <c r="D527" s="78" t="str">
        <f>INDEX(Parameter!$B$10:$AB$10,MATCH(C527,Parameter!$B$9:$AB$9,0))</f>
        <v>no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249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5" t="str">
        <f>"# Oh dear Men Rating &gt; "&amp;Parameter!$B$32</f>
        <v># Oh dear Men Rating &gt; 850</v>
      </c>
      <c r="B528" s="295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249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5" t="str">
        <f>"# Oh dear Men Rating &gt; "&amp;Parameter!$B$32</f>
        <v># Oh dear Men Rating &gt; 850</v>
      </c>
      <c r="B529" s="295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249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5" t="str">
        <f>"# Oh dear Men Rating &gt; "&amp;Parameter!$B$32</f>
        <v># Oh dear Men Rating &gt; 850</v>
      </c>
      <c r="B530" s="295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249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5" t="str">
        <f>"# Oh dear Men Rating &gt; "&amp;Parameter!$B$32</f>
        <v># Oh dear Men Rating &gt; 850</v>
      </c>
      <c r="B531" s="295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249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5" t="str">
        <f>"# Oh dear Men Rating &gt; "&amp;Parameter!$B$32</f>
        <v># Oh dear Men Rating &gt; 850</v>
      </c>
      <c r="B532" s="295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249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5" t="str">
        <f>"# Oh dear Men Rating &gt; "&amp;Parameter!$B$32</f>
        <v># Oh dear Men Rating &gt; 850</v>
      </c>
      <c r="B533" s="295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249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5" t="str">
        <f>"# Oh dear Men Rating &gt; "&amp;Parameter!$B$32</f>
        <v># Oh dear Men Rating &gt; 850</v>
      </c>
      <c r="B534" s="295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249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5" t="str">
        <f>"# Oh dear Men Rating &gt; "&amp;Parameter!$B$32</f>
        <v># Oh dear Men Rating &gt; 850</v>
      </c>
      <c r="B535" s="295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249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5" t="str">
        <f>"# Oh dear Men Rating &gt; "&amp;Parameter!$B$32</f>
        <v># Oh dear Men Rating &gt; 850</v>
      </c>
      <c r="B536" s="295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4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249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5" t="str">
        <f>"# Oh dear Men Rating &gt; "&amp;Parameter!$B$32</f>
        <v># Oh dear Men Rating &gt; 850</v>
      </c>
      <c r="B537" s="295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4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249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5" t="str">
        <f>"# Oh dear Men Rating &gt; "&amp;Parameter!$B$32</f>
        <v># Oh dear Men Rating &gt; 850</v>
      </c>
      <c r="B538" s="295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4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249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5" t="str">
        <f>"# Oh dear Men Rating &gt; "&amp;Parameter!$B$32</f>
        <v># Oh dear Men Rating &gt; 850</v>
      </c>
      <c r="B539" s="295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249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5" t="str">
        <f>"# Oh dear Men Rating &gt; "&amp;Parameter!$B$32</f>
        <v># Oh dear Men Rating &gt; 850</v>
      </c>
      <c r="B540" s="295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249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5" t="str">
        <f>"# Oh dear Men Rating &gt; "&amp;Parameter!$B$32</f>
        <v># Oh dear Men Rating &gt; 850</v>
      </c>
      <c r="B541" s="295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5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249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5" t="str">
        <f>"# Oh dear Men Rating &gt; "&amp;Parameter!$B$32</f>
        <v># Oh dear Men Rating &gt; 850</v>
      </c>
      <c r="B542" s="295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249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5" t="str">
        <f>"# Oh dear Men Rating &gt; "&amp;Parameter!$B$32</f>
        <v># Oh dear Men Rating &gt; 850</v>
      </c>
      <c r="B543" s="295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249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5" t="str">
        <f>"# Oh dear Men Rating &gt; "&amp;Parameter!$B$32</f>
        <v># Oh dear Men Rating &gt; 850</v>
      </c>
      <c r="B544" s="295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249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5" t="str">
        <f>"# Oh dear Men Rating &gt; "&amp;Parameter!$B$32</f>
        <v># Oh dear Men Rating &gt; 850</v>
      </c>
      <c r="B545" s="295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249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5" t="str">
        <f>"# Oh dear Men Rating &gt; "&amp;Parameter!$B$32</f>
        <v># Oh dear Men Rating &gt; 850</v>
      </c>
      <c r="B546" s="295">
        <f>MATCH(A546,Data!$DT:$DT,0)</f>
        <v>17</v>
      </c>
      <c r="C546" s="78">
        <f>INDEX(Parameter!$9:$9,,MATCH(11,Parameter!$8:$8,0))</f>
        <v>12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249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5" t="str">
        <f>"# Oh dear Men Rating &gt; "&amp;Parameter!$B$32</f>
        <v># Oh dear Men Rating &gt; 850</v>
      </c>
      <c r="B547" s="295">
        <f>MATCH(A547,Data!$DT:$DT,0)</f>
        <v>17</v>
      </c>
      <c r="C547" s="78">
        <f>INDEX(Parameter!$9:$9,,MATCH(12,Parameter!$8:$8,0))</f>
        <v>14</v>
      </c>
      <c r="D547" s="78">
        <f>INDEX(Parameter!$B$10:$AB$10,MATCH(C547,Parameter!$B$9:$AB$9,0))</f>
        <v>4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249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5" t="str">
        <f>"# Oh dear Men Rating &gt; "&amp;Parameter!$B$32</f>
        <v># Oh dear Men Rating &gt; 850</v>
      </c>
      <c r="B548" s="295">
        <f>MATCH(A548,Data!$DT:$DT,0)</f>
        <v>17</v>
      </c>
      <c r="C548" s="78">
        <f>INDEX(Parameter!$9:$9,,MATCH(13,Parameter!$8:$8,0))</f>
        <v>15</v>
      </c>
      <c r="D548" s="78">
        <f>INDEX(Parameter!$B$10:$AB$10,MATCH(C548,Parameter!$B$9:$AB$9,0))</f>
        <v>4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249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5" t="str">
        <f>"# Oh dear Men Rating &gt; "&amp;Parameter!$B$32</f>
        <v># Oh dear Men Rating &gt; 850</v>
      </c>
      <c r="B549" s="295">
        <f>MATCH(A549,Data!$DT:$DT,0)</f>
        <v>17</v>
      </c>
      <c r="C549" s="78">
        <f>INDEX(Parameter!$9:$9,,MATCH(14,Parameter!$8:$8,0))</f>
        <v>16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249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5" t="str">
        <f>"# Oh dear Men Rating &gt; "&amp;Parameter!$B$32</f>
        <v># Oh dear Men Rating &gt; 850</v>
      </c>
      <c r="B550" s="295">
        <f>MATCH(A550,Data!$DT:$DT,0)</f>
        <v>17</v>
      </c>
      <c r="C550" s="78">
        <f>INDEX(Parameter!$9:$9,,MATCH(15,Parameter!$8:$8,0))</f>
        <v>17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249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5" t="str">
        <f>"# Oh dear Men Rating &gt; "&amp;Parameter!$B$32</f>
        <v># Oh dear Men Rating &gt; 850</v>
      </c>
      <c r="B551" s="295">
        <f>MATCH(A551,Data!$DT:$DT,0)</f>
        <v>17</v>
      </c>
      <c r="C551" s="78">
        <f>INDEX(Parameter!$9:$9,,MATCH(16,Parameter!$8:$8,0))</f>
        <v>18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249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5" t="str">
        <f>"# Oh dear Men Rating &gt; "&amp;Parameter!$B$32</f>
        <v># Oh dear Men Rating &gt; 850</v>
      </c>
      <c r="B552" s="295">
        <f>MATCH(A552,Data!$DT:$DT,0)</f>
        <v>17</v>
      </c>
      <c r="C552" s="78" t="str">
        <f>INDEX(Parameter!$9:$9,,MATCH(17,Parameter!$8:$8,0))</f>
        <v>17a</v>
      </c>
      <c r="D552" s="78" t="str">
        <f>INDEX(Parameter!$B$10:$AB$10,MATCH(C552,Parameter!$B$9:$AB$9,0))</f>
        <v>no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249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5" t="str">
        <f>"# Oh dear Men Rating &gt; "&amp;Parameter!$B$32</f>
        <v># Oh dear Men Rating &gt; 850</v>
      </c>
      <c r="B553" s="295">
        <f>MATCH(A553,Data!$DT:$DT,0)</f>
        <v>17</v>
      </c>
      <c r="C553" s="78" t="str">
        <f>INDEX(Parameter!$9:$9,,MATCH(18,Parameter!$8:$8,0))</f>
        <v>18a</v>
      </c>
      <c r="D553" s="78" t="str">
        <f>INDEX(Parameter!$B$10:$AB$10,MATCH(C553,Parameter!$B$9:$AB$9,0))</f>
        <v>no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249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5" t="str">
        <f>"# Oh dear Men Rating &gt; "&amp;Parameter!$B$32</f>
        <v># Oh dear Men Rating &gt; 850</v>
      </c>
      <c r="B554" s="295">
        <f>MATCH(A554,Data!$DT:$DT,0)</f>
        <v>17</v>
      </c>
      <c r="C554" s="78">
        <f>INDEX(Parameter!$9:$9,,MATCH(19,Parameter!$8:$8,0))</f>
        <v>19</v>
      </c>
      <c r="D554" s="78" t="str">
        <f>INDEX(Parameter!$B$10:$AB$10,MATCH(C554,Parameter!$B$9:$AB$9,0))</f>
        <v>no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249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5" t="str">
        <f>"# Oh dear Men Rating &gt; "&amp;Parameter!$B$32</f>
        <v># Oh dear Men Rating &gt; 850</v>
      </c>
      <c r="B555" s="295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249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5" t="str">
        <f>"# Oh dear Men Rating &gt; "&amp;Parameter!$B$32</f>
        <v># Oh dear Men Rating &gt; 850</v>
      </c>
      <c r="B556" s="295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249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5" t="str">
        <f>"# Oh dear Men Rating &gt; "&amp;Parameter!$B$32</f>
        <v># Oh dear Men Rating &gt; 850</v>
      </c>
      <c r="B557" s="295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249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5" t="str">
        <f>"# Oh dear Men Rating &gt; "&amp;Parameter!$B$32</f>
        <v># Oh dear Men Rating &gt; 850</v>
      </c>
      <c r="B558" s="295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249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5" t="str">
        <f>"# Oh dear Men Rating &gt; "&amp;Parameter!$B$32</f>
        <v># Oh dear Men Rating &gt; 850</v>
      </c>
      <c r="B559" s="295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249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5" t="str">
        <f>"# Oh dear Men Rating &gt; "&amp;Parameter!$B$32</f>
        <v># Oh dear Men Rating &gt; 850</v>
      </c>
      <c r="B560" s="295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249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5" t="str">
        <f>"# Oh dear Men Rating &gt; "&amp;Parameter!$B$32</f>
        <v># Oh dear Men Rating &gt; 850</v>
      </c>
      <c r="B561" s="295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249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5" t="str">
        <f>"# Oh dear Men Rating &gt; "&amp;Parameter!$B$32</f>
        <v># Oh dear Men Rating &gt; 850</v>
      </c>
      <c r="B562" s="295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249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5" t="str">
        <f>"# Oh dear Men Rating &gt; "&amp;Parameter!$B$32</f>
        <v># Oh dear Men Rating &gt; 850</v>
      </c>
      <c r="B563" s="295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4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249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5" t="str">
        <f>"# Oh dear Men Rating &gt; "&amp;Parameter!$B$32</f>
        <v># Oh dear Men Rating &gt; 850</v>
      </c>
      <c r="B564" s="295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4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249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5" t="str">
        <f>"# Oh dear Men Rating &gt; "&amp;Parameter!$B$32</f>
        <v># Oh dear Men Rating &gt; 850</v>
      </c>
      <c r="B565" s="295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4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249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5" t="str">
        <f>"# Oh dear Men Rating &gt; "&amp;Parameter!$B$32</f>
        <v># Oh dear Men Rating &gt; 850</v>
      </c>
      <c r="B566" s="295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249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5" t="str">
        <f>"# Oh dear Men Rating &gt; "&amp;Parameter!$B$32</f>
        <v># Oh dear Men Rating &gt; 850</v>
      </c>
      <c r="B567" s="295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249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5" t="str">
        <f>"# Oh dear Men Rating &gt; "&amp;Parameter!$B$32</f>
        <v># Oh dear Men Rating &gt; 850</v>
      </c>
      <c r="B568" s="295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5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249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5" t="str">
        <f>"# Oh dear Men Rating &gt; "&amp;Parameter!$B$32</f>
        <v># Oh dear Men Rating &gt; 850</v>
      </c>
      <c r="B569" s="295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249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5" t="str">
        <f>"# Oh dear Men Rating &gt; "&amp;Parameter!$B$32</f>
        <v># Oh dear Men Rating &gt; 850</v>
      </c>
      <c r="B570" s="295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249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5" t="str">
        <f>"# Oh dear Men Rating &gt; "&amp;Parameter!$B$32</f>
        <v># Oh dear Men Rating &gt; 850</v>
      </c>
      <c r="B571" s="295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249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5" t="str">
        <f>"# Oh dear Men Rating &gt; "&amp;Parameter!$B$32</f>
        <v># Oh dear Men Rating &gt; 850</v>
      </c>
      <c r="B572" s="295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249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5" t="str">
        <f>"# Oh dear Men Rating &gt; "&amp;Parameter!$B$32</f>
        <v># Oh dear Men Rating &gt; 850</v>
      </c>
      <c r="B573" s="295">
        <f>MATCH(A573,Data!$DT:$DT,0)</f>
        <v>17</v>
      </c>
      <c r="C573" s="78">
        <f>INDEX(Parameter!$9:$9,,MATCH(11,Parameter!$8:$8,0))</f>
        <v>12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249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5" t="str">
        <f>"# Oh dear Men Rating &gt; "&amp;Parameter!$B$32</f>
        <v># Oh dear Men Rating &gt; 850</v>
      </c>
      <c r="B574" s="295">
        <f>MATCH(A574,Data!$DT:$DT,0)</f>
        <v>17</v>
      </c>
      <c r="C574" s="78">
        <f>INDEX(Parameter!$9:$9,,MATCH(12,Parameter!$8:$8,0))</f>
        <v>14</v>
      </c>
      <c r="D574" s="78">
        <f>INDEX(Parameter!$B$10:$AB$10,MATCH(C574,Parameter!$B$9:$AB$9,0))</f>
        <v>4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249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5" t="str">
        <f>"# Oh dear Men Rating &gt; "&amp;Parameter!$B$32</f>
        <v># Oh dear Men Rating &gt; 850</v>
      </c>
      <c r="B575" s="295">
        <f>MATCH(A575,Data!$DT:$DT,0)</f>
        <v>17</v>
      </c>
      <c r="C575" s="78">
        <f>INDEX(Parameter!$9:$9,,MATCH(13,Parameter!$8:$8,0))</f>
        <v>15</v>
      </c>
      <c r="D575" s="78">
        <f>INDEX(Parameter!$B$10:$AB$10,MATCH(C575,Parameter!$B$9:$AB$9,0))</f>
        <v>4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249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5" t="str">
        <f>"# Oh dear Men Rating &gt; "&amp;Parameter!$B$32</f>
        <v># Oh dear Men Rating &gt; 850</v>
      </c>
      <c r="B576" s="295">
        <f>MATCH(A576,Data!$DT:$DT,0)</f>
        <v>17</v>
      </c>
      <c r="C576" s="78">
        <f>INDEX(Parameter!$9:$9,,MATCH(14,Parameter!$8:$8,0))</f>
        <v>16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249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5" t="str">
        <f>"# Oh dear Men Rating &gt; "&amp;Parameter!$B$32</f>
        <v># Oh dear Men Rating &gt; 850</v>
      </c>
      <c r="B577" s="295">
        <f>MATCH(A577,Data!$DT:$DT,0)</f>
        <v>17</v>
      </c>
      <c r="C577" s="78">
        <f>INDEX(Parameter!$9:$9,,MATCH(15,Parameter!$8:$8,0))</f>
        <v>17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249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5" t="str">
        <f>"# Oh dear Men Rating &gt; "&amp;Parameter!$B$32</f>
        <v># Oh dear Men Rating &gt; 850</v>
      </c>
      <c r="B578" s="295">
        <f>MATCH(A578,Data!$DT:$DT,0)</f>
        <v>17</v>
      </c>
      <c r="C578" s="78">
        <f>INDEX(Parameter!$9:$9,,MATCH(16,Parameter!$8:$8,0))</f>
        <v>18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249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5" t="str">
        <f>"# Oh dear Men Rating &gt; "&amp;Parameter!$B$32</f>
        <v># Oh dear Men Rating &gt; 850</v>
      </c>
      <c r="B579" s="295">
        <f>MATCH(A579,Data!$DT:$DT,0)</f>
        <v>17</v>
      </c>
      <c r="C579" s="78" t="str">
        <f>INDEX(Parameter!$9:$9,,MATCH(17,Parameter!$8:$8,0))</f>
        <v>17a</v>
      </c>
      <c r="D579" s="78" t="str">
        <f>INDEX(Parameter!$B$10:$AB$10,MATCH(C579,Parameter!$B$9:$AB$9,0))</f>
        <v>no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249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5" t="str">
        <f>"# Oh dear Men Rating &gt; "&amp;Parameter!$B$32</f>
        <v># Oh dear Men Rating &gt; 850</v>
      </c>
      <c r="B580" s="295">
        <f>MATCH(A580,Data!$DT:$DT,0)</f>
        <v>17</v>
      </c>
      <c r="C580" s="78" t="str">
        <f>INDEX(Parameter!$9:$9,,MATCH(18,Parameter!$8:$8,0))</f>
        <v>18a</v>
      </c>
      <c r="D580" s="78" t="str">
        <f>INDEX(Parameter!$B$10:$AB$10,MATCH(C580,Parameter!$B$9:$AB$9,0))</f>
        <v>no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249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5" t="str">
        <f>"# Oh dear Men Rating &gt; "&amp;Parameter!$B$32</f>
        <v># Oh dear Men Rating &gt; 850</v>
      </c>
      <c r="B581" s="295">
        <f>MATCH(A581,Data!$DT:$DT,0)</f>
        <v>17</v>
      </c>
      <c r="C581" s="78">
        <f>INDEX(Parameter!$9:$9,,MATCH(19,Parameter!$8:$8,0))</f>
        <v>19</v>
      </c>
      <c r="D581" s="78" t="str">
        <f>INDEX(Parameter!$B$10:$AB$10,MATCH(C581,Parameter!$B$9:$AB$9,0))</f>
        <v>no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249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5" t="str">
        <f>"# Oh dear Men Rating &gt; "&amp;Parameter!$B$32</f>
        <v># Oh dear Men Rating &gt; 850</v>
      </c>
      <c r="B582" s="295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249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5" t="str">
        <f>"# Oh dear Men Rating &gt; "&amp;Parameter!$B$32</f>
        <v># Oh dear Men Rating &gt; 850</v>
      </c>
      <c r="B583" s="295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249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5" t="str">
        <f>"# Oh dear Men Rating &gt; "&amp;Parameter!$B$32</f>
        <v># Oh dear Men Rating &gt; 850</v>
      </c>
      <c r="B584" s="295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249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5" t="str">
        <f>"# Oh dear Men Rating &gt; "&amp;Parameter!$B$32</f>
        <v># Oh dear Men Rating &gt; 850</v>
      </c>
      <c r="B585" s="295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249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5" t="str">
        <f>"# Oh dear Men Rating &gt; "&amp;Parameter!$B$32</f>
        <v># Oh dear Men Rating &gt; 850</v>
      </c>
      <c r="B586" s="295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249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5" t="str">
        <f>"# Oh dear Men Rating &gt; "&amp;Parameter!$B$32</f>
        <v># Oh dear Men Rating &gt; 850</v>
      </c>
      <c r="B587" s="295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249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5" t="str">
        <f>"# Oh dear Men Rating &gt; "&amp;Parameter!$B$32</f>
        <v># Oh dear Men Rating &gt; 850</v>
      </c>
      <c r="B588" s="295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249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5" t="str">
        <f>"# Oh dear Men Rating &gt; "&amp;Parameter!$B$32</f>
        <v># Oh dear Men Rating &gt; 850</v>
      </c>
      <c r="B589" s="295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249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5" t="str">
        <f>"# Oh dear Men Rating &gt; "&amp;Parameter!$B$32</f>
        <v># Oh dear Men Rating &gt; 850</v>
      </c>
      <c r="B590" s="295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4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249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5" t="str">
        <f>"# Oh dear Men Rating &gt; "&amp;Parameter!$B$32</f>
        <v># Oh dear Men Rating &gt; 850</v>
      </c>
      <c r="B591" s="295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4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249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5" t="str">
        <f>"# Oh dear Men Rating &gt; "&amp;Parameter!$B$32</f>
        <v># Oh dear Men Rating &gt; 850</v>
      </c>
      <c r="B592" s="295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4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249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5" t="str">
        <f>"# Oh dear Men Rating &gt; "&amp;Parameter!$B$32</f>
        <v># Oh dear Men Rating &gt; 850</v>
      </c>
      <c r="B593" s="295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249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5" t="str">
        <f>"# Oh dear Men Rating &gt; "&amp;Parameter!$B$32</f>
        <v># Oh dear Men Rating &gt; 850</v>
      </c>
      <c r="B594" s="295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249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5" t="str">
        <f>"# Oh dear Men Rating &gt; "&amp;Parameter!$B$32</f>
        <v># Oh dear Men Rating &gt; 850</v>
      </c>
      <c r="B595" s="295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5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249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5" t="str">
        <f>"# Oh dear Men Rating &gt; "&amp;Parameter!$B$32</f>
        <v># Oh dear Men Rating &gt; 850</v>
      </c>
      <c r="B596" s="295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249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5" t="str">
        <f>"# Oh dear Men Rating &gt; "&amp;Parameter!$B$32</f>
        <v># Oh dear Men Rating &gt; 850</v>
      </c>
      <c r="B597" s="295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249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5" t="str">
        <f>"# Oh dear Men Rating &gt; "&amp;Parameter!$B$32</f>
        <v># Oh dear Men Rating &gt; 850</v>
      </c>
      <c r="B598" s="295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249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5" t="str">
        <f>"# Oh dear Men Rating &gt; "&amp;Parameter!$B$32</f>
        <v># Oh dear Men Rating &gt; 850</v>
      </c>
      <c r="B599" s="295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249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5" t="str">
        <f>"# Oh dear Men Rating &gt; "&amp;Parameter!$B$32</f>
        <v># Oh dear Men Rating &gt; 850</v>
      </c>
      <c r="B600" s="295">
        <f>MATCH(A600,Data!$DT:$DT,0)</f>
        <v>17</v>
      </c>
      <c r="C600" s="78">
        <f>INDEX(Parameter!$9:$9,,MATCH(11,Parameter!$8:$8,0))</f>
        <v>12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249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5" t="str">
        <f>"# Oh dear Men Rating &gt; "&amp;Parameter!$B$32</f>
        <v># Oh dear Men Rating &gt; 850</v>
      </c>
      <c r="B601" s="295">
        <f>MATCH(A601,Data!$DT:$DT,0)</f>
        <v>17</v>
      </c>
      <c r="C601" s="78">
        <f>INDEX(Parameter!$9:$9,,MATCH(12,Parameter!$8:$8,0))</f>
        <v>14</v>
      </c>
      <c r="D601" s="78">
        <f>INDEX(Parameter!$B$10:$AB$10,MATCH(C601,Parameter!$B$9:$AB$9,0))</f>
        <v>4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249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5" t="str">
        <f>"# Oh dear Men Rating &gt; "&amp;Parameter!$B$32</f>
        <v># Oh dear Men Rating &gt; 850</v>
      </c>
      <c r="B602" s="295">
        <f>MATCH(A602,Data!$DT:$DT,0)</f>
        <v>17</v>
      </c>
      <c r="C602" s="78">
        <f>INDEX(Parameter!$9:$9,,MATCH(13,Parameter!$8:$8,0))</f>
        <v>15</v>
      </c>
      <c r="D602" s="78">
        <f>INDEX(Parameter!$B$10:$AB$10,MATCH(C602,Parameter!$B$9:$AB$9,0))</f>
        <v>4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249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5" t="str">
        <f>"# Oh dear Men Rating &gt; "&amp;Parameter!$B$32</f>
        <v># Oh dear Men Rating &gt; 850</v>
      </c>
      <c r="B603" s="295">
        <f>MATCH(A603,Data!$DT:$DT,0)</f>
        <v>17</v>
      </c>
      <c r="C603" s="78">
        <f>INDEX(Parameter!$9:$9,,MATCH(14,Parameter!$8:$8,0))</f>
        <v>16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249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5" t="str">
        <f>"# Oh dear Men Rating &gt; "&amp;Parameter!$B$32</f>
        <v># Oh dear Men Rating &gt; 850</v>
      </c>
      <c r="B604" s="295">
        <f>MATCH(A604,Data!$DT:$DT,0)</f>
        <v>17</v>
      </c>
      <c r="C604" s="78">
        <f>INDEX(Parameter!$9:$9,,MATCH(15,Parameter!$8:$8,0))</f>
        <v>17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249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5" t="str">
        <f>"# Oh dear Men Rating &gt; "&amp;Parameter!$B$32</f>
        <v># Oh dear Men Rating &gt; 850</v>
      </c>
      <c r="B605" s="295">
        <f>MATCH(A605,Data!$DT:$DT,0)</f>
        <v>17</v>
      </c>
      <c r="C605" s="78">
        <f>INDEX(Parameter!$9:$9,,MATCH(16,Parameter!$8:$8,0))</f>
        <v>18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249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5" t="str">
        <f>"# Oh dear Men Rating &gt; "&amp;Parameter!$B$32</f>
        <v># Oh dear Men Rating &gt; 850</v>
      </c>
      <c r="B606" s="295">
        <f>MATCH(A606,Data!$DT:$DT,0)</f>
        <v>17</v>
      </c>
      <c r="C606" s="78" t="str">
        <f>INDEX(Parameter!$9:$9,,MATCH(17,Parameter!$8:$8,0))</f>
        <v>17a</v>
      </c>
      <c r="D606" s="78" t="str">
        <f>INDEX(Parameter!$B$10:$AB$10,MATCH(C606,Parameter!$B$9:$AB$9,0))</f>
        <v>no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249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5" t="str">
        <f>"# Oh dear Men Rating &gt; "&amp;Parameter!$B$32</f>
        <v># Oh dear Men Rating &gt; 850</v>
      </c>
      <c r="B607" s="295">
        <f>MATCH(A607,Data!$DT:$DT,0)</f>
        <v>17</v>
      </c>
      <c r="C607" s="78" t="str">
        <f>INDEX(Parameter!$9:$9,,MATCH(18,Parameter!$8:$8,0))</f>
        <v>18a</v>
      </c>
      <c r="D607" s="78" t="str">
        <f>INDEX(Parameter!$B$10:$AB$10,MATCH(C607,Parameter!$B$9:$AB$9,0))</f>
        <v>no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249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5" t="str">
        <f>"# Oh dear Men Rating &gt; "&amp;Parameter!$B$32</f>
        <v># Oh dear Men Rating &gt; 850</v>
      </c>
      <c r="B608" s="295">
        <f>MATCH(A608,Data!$DT:$DT,0)</f>
        <v>17</v>
      </c>
      <c r="C608" s="78">
        <f>INDEX(Parameter!$9:$9,,MATCH(19,Parameter!$8:$8,0))</f>
        <v>19</v>
      </c>
      <c r="D608" s="78" t="str">
        <f>INDEX(Parameter!$B$10:$AB$10,MATCH(C608,Parameter!$B$9:$AB$9,0))</f>
        <v>no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249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5" t="str">
        <f>"# Oh dear Men Rating &gt; "&amp;Parameter!$B$32</f>
        <v># Oh dear Men Rating &gt; 850</v>
      </c>
      <c r="B609" s="295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249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5" t="str">
        <f>"# Oh dear Men Rating &gt; "&amp;Parameter!$B$32</f>
        <v># Oh dear Men Rating &gt; 850</v>
      </c>
      <c r="B610" s="295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249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5" t="str">
        <f>"# Oh dear Men Rating &gt; "&amp;Parameter!$B$32</f>
        <v># Oh dear Men Rating &gt; 850</v>
      </c>
      <c r="B611" s="295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249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5" t="str">
        <f>"# Oh dear Men Rating &gt; "&amp;Parameter!$B$32</f>
        <v># Oh dear Men Rating &gt; 850</v>
      </c>
      <c r="B612" s="295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249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5" t="str">
        <f>"# Oh dear Men Rating &gt; "&amp;Parameter!$B$32</f>
        <v># Oh dear Men Rating &gt; 850</v>
      </c>
      <c r="B613" s="295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249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5" t="str">
        <f>"# Oh dear Men Rating &gt; "&amp;Parameter!$B$32</f>
        <v># Oh dear Men Rating &gt; 850</v>
      </c>
      <c r="B614" s="295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249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5" t="str">
        <f>"# Oh dear Men Rating &gt; "&amp;Parameter!$B$32</f>
        <v># Oh dear Men Rating &gt; 850</v>
      </c>
      <c r="B615" s="295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249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5" t="str">
        <f>"# Oh dear Men Rating &gt; "&amp;Parameter!$B$32</f>
        <v># Oh dear Men Rating &gt; 850</v>
      </c>
      <c r="B616" s="295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249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5" t="str">
        <f>"# Oh dear Men Rating &gt; "&amp;Parameter!$B$32</f>
        <v># Oh dear Men Rating &gt; 850</v>
      </c>
      <c r="B617" s="295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4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249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5" t="str">
        <f>"# Oh dear Men Rating &gt; "&amp;Parameter!$B$32</f>
        <v># Oh dear Men Rating &gt; 850</v>
      </c>
      <c r="B618" s="295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4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249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5" t="str">
        <f>"# Oh dear Men Rating &gt; "&amp;Parameter!$B$32</f>
        <v># Oh dear Men Rating &gt; 850</v>
      </c>
      <c r="B619" s="295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4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249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5" t="str">
        <f>"# Oh dear Men Rating &gt; "&amp;Parameter!$B$32</f>
        <v># Oh dear Men Rating &gt; 850</v>
      </c>
      <c r="B620" s="295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249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5" t="str">
        <f>"# Oh dear Men Rating &gt; "&amp;Parameter!$B$32</f>
        <v># Oh dear Men Rating &gt; 850</v>
      </c>
      <c r="B621" s="295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249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5" t="str">
        <f>"# Oh dear Men Rating &gt; "&amp;Parameter!$B$32</f>
        <v># Oh dear Men Rating &gt; 850</v>
      </c>
      <c r="B622" s="295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5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249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5" t="str">
        <f>"# Oh dear Men Rating &gt; "&amp;Parameter!$B$32</f>
        <v># Oh dear Men Rating &gt; 850</v>
      </c>
      <c r="B623" s="295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249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5" t="str">
        <f>"# Oh dear Men Rating &gt; "&amp;Parameter!$B$32</f>
        <v># Oh dear Men Rating &gt; 850</v>
      </c>
      <c r="B624" s="295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249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5" t="str">
        <f>"# Oh dear Men Rating &gt; "&amp;Parameter!$B$32</f>
        <v># Oh dear Men Rating &gt; 850</v>
      </c>
      <c r="B625" s="295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249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5" t="str">
        <f>"# Oh dear Men Rating &gt; "&amp;Parameter!$B$32</f>
        <v># Oh dear Men Rating &gt; 850</v>
      </c>
      <c r="B626" s="295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249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5" t="str">
        <f>"# Oh dear Men Rating &gt; "&amp;Parameter!$B$32</f>
        <v># Oh dear Men Rating &gt; 850</v>
      </c>
      <c r="B627" s="295">
        <f>MATCH(A627,Data!$DT:$DT,0)</f>
        <v>17</v>
      </c>
      <c r="C627" s="78">
        <f>INDEX(Parameter!$9:$9,,MATCH(11,Parameter!$8:$8,0))</f>
        <v>12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249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5" t="str">
        <f>"# Oh dear Men Rating &gt; "&amp;Parameter!$B$32</f>
        <v># Oh dear Men Rating &gt; 850</v>
      </c>
      <c r="B628" s="295">
        <f>MATCH(A628,Data!$DT:$DT,0)</f>
        <v>17</v>
      </c>
      <c r="C628" s="78">
        <f>INDEX(Parameter!$9:$9,,MATCH(12,Parameter!$8:$8,0))</f>
        <v>14</v>
      </c>
      <c r="D628" s="78">
        <f>INDEX(Parameter!$B$10:$AB$10,MATCH(C628,Parameter!$B$9:$AB$9,0))</f>
        <v>4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249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5" t="str">
        <f>"# Oh dear Men Rating &gt; "&amp;Parameter!$B$32</f>
        <v># Oh dear Men Rating &gt; 850</v>
      </c>
      <c r="B629" s="295">
        <f>MATCH(A629,Data!$DT:$DT,0)</f>
        <v>17</v>
      </c>
      <c r="C629" s="78">
        <f>INDEX(Parameter!$9:$9,,MATCH(13,Parameter!$8:$8,0))</f>
        <v>15</v>
      </c>
      <c r="D629" s="78">
        <f>INDEX(Parameter!$B$10:$AB$10,MATCH(C629,Parameter!$B$9:$AB$9,0))</f>
        <v>4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249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5" t="str">
        <f>"# Oh dear Men Rating &gt; "&amp;Parameter!$B$32</f>
        <v># Oh dear Men Rating &gt; 850</v>
      </c>
      <c r="B630" s="295">
        <f>MATCH(A630,Data!$DT:$DT,0)</f>
        <v>17</v>
      </c>
      <c r="C630" s="78">
        <f>INDEX(Parameter!$9:$9,,MATCH(14,Parameter!$8:$8,0))</f>
        <v>16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249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5" t="str">
        <f>"# Oh dear Men Rating &gt; "&amp;Parameter!$B$32</f>
        <v># Oh dear Men Rating &gt; 850</v>
      </c>
      <c r="B631" s="295">
        <f>MATCH(A631,Data!$DT:$DT,0)</f>
        <v>17</v>
      </c>
      <c r="C631" s="78">
        <f>INDEX(Parameter!$9:$9,,MATCH(15,Parameter!$8:$8,0))</f>
        <v>17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249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5" t="str">
        <f>"# Oh dear Men Rating &gt; "&amp;Parameter!$B$32</f>
        <v># Oh dear Men Rating &gt; 850</v>
      </c>
      <c r="B632" s="295">
        <f>MATCH(A632,Data!$DT:$DT,0)</f>
        <v>17</v>
      </c>
      <c r="C632" s="78">
        <f>INDEX(Parameter!$9:$9,,MATCH(16,Parameter!$8:$8,0))</f>
        <v>18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249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5" t="str">
        <f>"# Oh dear Men Rating &gt; "&amp;Parameter!$B$32</f>
        <v># Oh dear Men Rating &gt; 850</v>
      </c>
      <c r="B633" s="295">
        <f>MATCH(A633,Data!$DT:$DT,0)</f>
        <v>17</v>
      </c>
      <c r="C633" s="78" t="str">
        <f>INDEX(Parameter!$9:$9,,MATCH(17,Parameter!$8:$8,0))</f>
        <v>17a</v>
      </c>
      <c r="D633" s="78" t="str">
        <f>INDEX(Parameter!$B$10:$AB$10,MATCH(C633,Parameter!$B$9:$AB$9,0))</f>
        <v>no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249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5" t="str">
        <f>"# Oh dear Men Rating &gt; "&amp;Parameter!$B$32</f>
        <v># Oh dear Men Rating &gt; 850</v>
      </c>
      <c r="B634" s="295">
        <f>MATCH(A634,Data!$DT:$DT,0)</f>
        <v>17</v>
      </c>
      <c r="C634" s="78" t="str">
        <f>INDEX(Parameter!$9:$9,,MATCH(18,Parameter!$8:$8,0))</f>
        <v>18a</v>
      </c>
      <c r="D634" s="78" t="str">
        <f>INDEX(Parameter!$B$10:$AB$10,MATCH(C634,Parameter!$B$9:$AB$9,0))</f>
        <v>no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249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5" t="str">
        <f>"# Oh dear Men Rating &gt; "&amp;Parameter!$B$32</f>
        <v># Oh dear Men Rating &gt; 850</v>
      </c>
      <c r="B635" s="295">
        <f>MATCH(A635,Data!$DT:$DT,0)</f>
        <v>17</v>
      </c>
      <c r="C635" s="78">
        <f>INDEX(Parameter!$9:$9,,MATCH(19,Parameter!$8:$8,0))</f>
        <v>19</v>
      </c>
      <c r="D635" s="78" t="str">
        <f>INDEX(Parameter!$B$10:$AB$10,MATCH(C635,Parameter!$B$9:$AB$9,0))</f>
        <v>no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249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5" t="str">
        <f>"# Oh dear Men Rating &gt; "&amp;Parameter!$B$32</f>
        <v># Oh dear Men Rating &gt; 850</v>
      </c>
      <c r="B636" s="295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249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5" t="str">
        <f>"# Oh dear Men Rating &gt; "&amp;Parameter!$B$32</f>
        <v># Oh dear Men Rating &gt; 850</v>
      </c>
      <c r="B637" s="295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249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5" t="str">
        <f>"# Oh dear Men Rating &gt; "&amp;Parameter!$B$32</f>
        <v># Oh dear Men Rating &gt; 850</v>
      </c>
      <c r="B638" s="295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249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5" t="str">
        <f>"# Oh dear Men Rating &gt; "&amp;Parameter!$B$32</f>
        <v># Oh dear Men Rating &gt; 850</v>
      </c>
      <c r="B639" s="295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249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5" t="str">
        <f>"# Oh dear Men Rating &gt; "&amp;Parameter!$B$32</f>
        <v># Oh dear Men Rating &gt; 850</v>
      </c>
      <c r="B640" s="295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249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5" t="str">
        <f>"# Oh dear Men Rating &gt; "&amp;Parameter!$B$32</f>
        <v># Oh dear Men Rating &gt; 850</v>
      </c>
      <c r="B641" s="295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249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5" t="str">
        <f>"# Oh dear Men Rating &gt; "&amp;Parameter!$B$32</f>
        <v># Oh dear Men Rating &gt; 850</v>
      </c>
      <c r="B642" s="295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249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5" t="str">
        <f>"# Oh dear Men Rating &gt; "&amp;Parameter!$B$32</f>
        <v># Oh dear Men Rating &gt; 850</v>
      </c>
      <c r="B643" s="295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249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2"/>
      <c r="C644" s="65">
        <f>INDEX(Parameter!$9:$9,,MATCH(1,Parameter!$8:$8,0))</f>
        <v>1</v>
      </c>
      <c r="D644" s="65">
        <f>INDEX(Parameter!$B$10:$AB$10,MATCH(C644,Parameter!$B$9:$AB$9,0))</f>
        <v>4</v>
      </c>
      <c r="E644" s="65">
        <f>COUNTIF(Data!$DY$90:$IB$90,Specials!C644)</f>
        <v>2</v>
      </c>
      <c r="F644" s="65">
        <f ca="1">OFFSET(Data!$CS$91,MATCH("M1",Data!$A$91:$A$190,0)-1,MATCH(C644,Data!$CS$90:$DS$90,0)-1)</f>
        <v>6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10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2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2 Players</v>
      </c>
      <c r="L644" s="65" t="str">
        <f ca="1">"Best men took only "&amp;F644&amp;" throws"</f>
        <v>Best men took only 6 throws</v>
      </c>
      <c r="M644" s="65" t="s">
        <v>1</v>
      </c>
      <c r="N644" s="65" t="s">
        <v>249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>On hole 1 (par 4) 2 Players took 10 throws in total (2 rounds)</v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2"/>
      <c r="C645" s="65">
        <f>INDEX(Parameter!$9:$9,,MATCH(2,Parameter!$8:$8,0))</f>
        <v>2</v>
      </c>
      <c r="D645" s="65">
        <f>INDEX(Parameter!$B$10:$AB$10,MATCH(C645,Parameter!$B$9:$AB$9,0))</f>
        <v>4</v>
      </c>
      <c r="E645" s="65">
        <f>COUNTIF(Data!$DY$90:$IB$90,Specials!C645)</f>
        <v>2</v>
      </c>
      <c r="F645" s="65">
        <f ca="1">OFFSET(Data!$CS$91,MATCH("M1",Data!$A$91:$A$190,0)-1,MATCH(C645,Data!$CS$90:$DS$90,0)-1)</f>
        <v>8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11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8 throws</v>
      </c>
      <c r="M645" s="65" t="s">
        <v>1</v>
      </c>
      <c r="N645" s="65" t="s">
        <v>249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2"/>
      <c r="C646" s="65">
        <f>INDEX(Parameter!$9:$9,,MATCH(3,Parameter!$8:$8,0))</f>
        <v>3</v>
      </c>
      <c r="D646" s="65">
        <f>INDEX(Parameter!$B$10:$AB$10,MATCH(C646,Parameter!$B$9:$AB$9,0))</f>
        <v>4</v>
      </c>
      <c r="E646" s="65">
        <f>COUNTIF(Data!$DY$90:$IB$90,Specials!C646)</f>
        <v>2</v>
      </c>
      <c r="F646" s="65">
        <f ca="1">OFFSET(Data!$CS$91,MATCH("M1",Data!$A$91:$A$190,0)-1,MATCH(C646,Data!$CS$90:$DS$90,0)-1)</f>
        <v>10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10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10 throws</v>
      </c>
      <c r="M646" s="65" t="s">
        <v>1</v>
      </c>
      <c r="N646" s="65" t="s">
        <v>249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60</v>
      </c>
      <c r="B647" s="292" t="s">
        <v>252</v>
      </c>
      <c r="C647" s="65" t="s">
        <v>252</v>
      </c>
      <c r="D647" s="65" t="s">
        <v>218</v>
      </c>
      <c r="E647" s="65" t="s">
        <v>219</v>
      </c>
      <c r="F647" s="65" t="s">
        <v>219</v>
      </c>
      <c r="G647" s="65" t="s">
        <v>220</v>
      </c>
      <c r="H647" s="65" t="s">
        <v>220</v>
      </c>
      <c r="I647" s="65" t="s">
        <v>55</v>
      </c>
      <c r="J647" s="65" t="s">
        <v>358</v>
      </c>
      <c r="K647" s="65" t="s">
        <v>57</v>
      </c>
      <c r="L647" s="65" t="s">
        <v>98</v>
      </c>
      <c r="M647" s="65" t="s">
        <v>98</v>
      </c>
      <c r="N647" s="65" t="s">
        <v>99</v>
      </c>
      <c r="O647" s="65" t="s">
        <v>99</v>
      </c>
      <c r="P647" s="65" t="s">
        <v>100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2"/>
      <c r="C648" s="65">
        <f>INDEX(Parameter!$9:$9,,MATCH(5,Parameter!$8:$8,0))</f>
        <v>5</v>
      </c>
      <c r="D648" s="65">
        <f>INDEX(Parameter!$B$10:$AB$10,MATCH(C648,Parameter!$B$9:$AB$9,0))</f>
        <v>3</v>
      </c>
      <c r="E648" s="65">
        <f>COUNTIF(Data!$DY$90:$IB$90,Specials!C648)</f>
        <v>2</v>
      </c>
      <c r="F648" s="65">
        <f ca="1">OFFSET(Data!$CS$91,MATCH("M1",Data!$A$91:$A$190,0)-1,MATCH(C648,Data!$CS$90:$DS$90,0)-1)</f>
        <v>4</v>
      </c>
      <c r="G648" s="65">
        <f t="array" aca="1" ref="G648" ca="1">LARGE(IF((Data!$AM$91:$AM$190&lt;&gt;0)*(Data!$DW$91:$DW$190="M")*(Data!$AM$91:$AM$190&gt;Parameter!$B$32),OFFSET(Data!$CS$91:$CS$190,,MATCH(C648,Data!$CS$90:$DS$90,0)-1)),1)</f>
        <v>9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1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Daniel Wilging</v>
      </c>
      <c r="L648" s="65" t="str">
        <f t="shared" ca="1" si="44"/>
        <v>Best men took only 4 throws</v>
      </c>
      <c r="M648" s="65" t="s">
        <v>1</v>
      </c>
      <c r="N648" s="65" t="s">
        <v>249</v>
      </c>
      <c r="O648" s="65" t="e">
        <f t="shared" ca="1" si="43"/>
        <v>#VALUE!</v>
      </c>
      <c r="P648" s="65" t="str">
        <f t="shared" ca="1" si="45"/>
        <v>On hole 5 (par 3) Daniel Wilging took 9 throws in total (2 rounds)</v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2"/>
      <c r="C649" s="65">
        <f>INDEX(Parameter!$9:$9,,MATCH(6,Parameter!$8:$8,0))</f>
        <v>6</v>
      </c>
      <c r="D649" s="65">
        <f>INDEX(Parameter!$B$10:$AB$10,MATCH(C649,Parameter!$B$9:$AB$9,0))</f>
        <v>5</v>
      </c>
      <c r="E649" s="65">
        <f>COUNTIF(Data!$DY$90:$IB$90,Specials!C649)</f>
        <v>2</v>
      </c>
      <c r="F649" s="65">
        <f ca="1">OFFSET(Data!$CS$91,MATCH("M1",Data!$A$91:$A$190,0)-1,MATCH(C649,Data!$CS$90:$DS$90,0)-1)</f>
        <v>10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12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10 throws</v>
      </c>
      <c r="M649" s="65" t="s">
        <v>1</v>
      </c>
      <c r="N649" s="65" t="s">
        <v>249</v>
      </c>
      <c r="O649" s="65" t="e">
        <f t="shared" ca="1" si="43"/>
        <v>#VALUE!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2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3</v>
      </c>
      <c r="F650" s="65">
        <f ca="1">OFFSET(Data!$CS$91,MATCH("M1",Data!$A$91:$A$190,0)-1,MATCH(C650,Data!$CS$90:$DS$90,0)-1)</f>
        <v>5</v>
      </c>
      <c r="G650" s="65">
        <f t="array" aca="1" ref="G650" ca="1">LARGE(IF((Data!$AM$91:$AM$190&lt;&gt;0)*(Data!$DW$91:$DW$190="M")*(Data!$AM$91:$AM$190&gt;Parameter!$B$32),OFFSET(Data!$CS$91:$CS$190,,MATCH(C650,Data!$CS$90:$DS$90,0)-1)),1)</f>
        <v>8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5 throws</v>
      </c>
      <c r="M650" s="65" t="s">
        <v>1</v>
      </c>
      <c r="N650" s="65" t="s">
        <v>249</v>
      </c>
      <c r="O650" s="65" t="e">
        <f t="shared" ca="1" si="43"/>
        <v>#VALUE!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2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2</v>
      </c>
      <c r="F651" s="65">
        <f ca="1">OFFSET(Data!$CS$91,MATCH("M1",Data!$A$91:$A$190,0)-1,MATCH(C651,Data!$CS$90:$DS$90,0)-1)</f>
        <v>6</v>
      </c>
      <c r="G651" s="65">
        <f t="array" aca="1" ref="G651" ca="1">LARGE(IF((Data!$AM$91:$AM$190&lt;&gt;0)*(Data!$DW$91:$DW$190="M")*(Data!$AM$91:$AM$190&gt;Parameter!$B$32),OFFSET(Data!$CS$91:$CS$190,,MATCH(C651,Data!$CS$90:$DS$90,0)-1)),1)</f>
        <v>8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6 throws</v>
      </c>
      <c r="M651" s="65" t="s">
        <v>1</v>
      </c>
      <c r="N651" s="65" t="s">
        <v>249</v>
      </c>
      <c r="O651" s="65" t="e">
        <f t="shared" ca="1" si="43"/>
        <v>#VALUE!</v>
      </c>
      <c r="P651" s="65" t="str">
        <f t="shared" ca="1" si="45"/>
        <v/>
      </c>
    </row>
    <row r="652" spans="1:16" s="65" customFormat="1" x14ac:dyDescent="0.25">
      <c r="A652" s="65" t="s">
        <v>60</v>
      </c>
      <c r="B652" s="292" t="s">
        <v>234</v>
      </c>
      <c r="C652" s="65" t="s">
        <v>33</v>
      </c>
      <c r="D652" s="65" t="s">
        <v>235</v>
      </c>
      <c r="E652" s="65" t="s">
        <v>236</v>
      </c>
      <c r="F652" s="65" t="s">
        <v>237</v>
      </c>
      <c r="G652" s="65" t="s">
        <v>238</v>
      </c>
      <c r="H652" s="65" t="s">
        <v>239</v>
      </c>
      <c r="I652" s="65" t="s">
        <v>240</v>
      </c>
      <c r="J652" s="65" t="s">
        <v>241</v>
      </c>
      <c r="L652" s="65" t="s">
        <v>242</v>
      </c>
      <c r="M652" s="65" t="s">
        <v>243</v>
      </c>
      <c r="N652" s="65" t="s">
        <v>244</v>
      </c>
      <c r="O652" s="65" t="s">
        <v>245</v>
      </c>
      <c r="P652" s="65" t="s">
        <v>246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2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2</v>
      </c>
      <c r="F653" s="65">
        <f ca="1">OFFSET(Data!$CS$91,MATCH("M1",Data!$A$91:$A$190,0)-1,MATCH(C653,Data!$CS$90:$DS$90,0)-1)</f>
        <v>7</v>
      </c>
      <c r="G653" s="65">
        <f t="array" aca="1" ref="G653" ca="1">LARGE(IF((Data!$AM$91:$AM$190&lt;&gt;0)*(Data!$DW$91:$DW$190="M")*(Data!$AM$91:$AM$190&gt;Parameter!$B$32),OFFSET(Data!$CS$91:$CS$190,,MATCH(C653,Data!$CS$90:$DS$90,0)-1)),1)</f>
        <v>7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7 throws</v>
      </c>
      <c r="M653" s="65" t="s">
        <v>1</v>
      </c>
      <c r="N653" s="65" t="s">
        <v>249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2"/>
      <c r="C654" s="65">
        <f>INDEX(Parameter!$9:$9,,MATCH(11,Parameter!$8:$8,0))</f>
        <v>12</v>
      </c>
      <c r="D654" s="65">
        <f>INDEX(Parameter!$B$10:$AB$10,MATCH(C654,Parameter!$B$9:$AB$9,0))</f>
        <v>3</v>
      </c>
      <c r="E654" s="65">
        <f>COUNTIF(Data!$DY$90:$IB$90,Specials!C654)</f>
        <v>2</v>
      </c>
      <c r="F654" s="65">
        <f ca="1">OFFSET(Data!$CS$91,MATCH("M1",Data!$A$91:$A$190,0)-1,MATCH(C654,Data!$CS$90:$DS$90,0)-1)</f>
        <v>6</v>
      </c>
      <c r="G654" s="65">
        <f t="array" aca="1" ref="G654" ca="1">LARGE(IF((Data!$AM$91:$AM$190&lt;&gt;0)*(Data!$DW$91:$DW$190="M")*(Data!$AM$91:$AM$190&gt;Parameter!$B$32),OFFSET(Data!$CS$91:$CS$190,,MATCH(C654,Data!$CS$90:$DS$90,0)-1)),1)</f>
        <v>7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6 throws</v>
      </c>
      <c r="M654" s="65" t="s">
        <v>1</v>
      </c>
      <c r="N654" s="65" t="s">
        <v>249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2"/>
      <c r="C655" s="65">
        <f>INDEX(Parameter!$9:$9,,MATCH(12,Parameter!$8:$8,0))</f>
        <v>14</v>
      </c>
      <c r="D655" s="65">
        <f>INDEX(Parameter!$B$10:$AB$10,MATCH(C655,Parameter!$B$9:$AB$9,0))</f>
        <v>4</v>
      </c>
      <c r="E655" s="65">
        <f>COUNTIF(Data!$DY$90:$IB$90,Specials!C655)</f>
        <v>2</v>
      </c>
      <c r="F655" s="65">
        <f ca="1">OFFSET(Data!$CS$91,MATCH("M1",Data!$A$91:$A$190,0)-1,MATCH(C655,Data!$CS$90:$DS$90,0)-1)</f>
        <v>7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11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2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2 Players</v>
      </c>
      <c r="L655" s="65" t="str">
        <f t="shared" ca="1" si="44"/>
        <v>Best men took only 7 throws</v>
      </c>
      <c r="M655" s="65" t="s">
        <v>1</v>
      </c>
      <c r="N655" s="65" t="s">
        <v>249</v>
      </c>
      <c r="O655" s="65" t="e">
        <f t="shared" ca="1" si="43"/>
        <v>#VALUE!</v>
      </c>
      <c r="P655" s="65" t="str">
        <f t="shared" ca="1" si="45"/>
        <v>On hole 14 (par 4) 2 Players took 11 throws in total (2 rounds)</v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2"/>
      <c r="C656" s="65">
        <f>INDEX(Parameter!$9:$9,,MATCH(13,Parameter!$8:$8,0))</f>
        <v>15</v>
      </c>
      <c r="D656" s="65">
        <f>INDEX(Parameter!$B$10:$AB$10,MATCH(C656,Parameter!$B$9:$AB$9,0))</f>
        <v>4</v>
      </c>
      <c r="E656" s="65">
        <f>COUNTIF(Data!$DY$90:$IB$90,Specials!C656)</f>
        <v>2</v>
      </c>
      <c r="F656" s="65">
        <f ca="1">OFFSET(Data!$CS$91,MATCH("M1",Data!$A$91:$A$190,0)-1,MATCH(C656,Data!$CS$90:$DS$90,0)-1)</f>
        <v>5</v>
      </c>
      <c r="G656" s="65">
        <f t="array" aca="1" ref="G656" ca="1">LARGE(IF((Data!$AM$91:$AM$190&lt;&gt;0)*(Data!$DW$91:$DW$190="M")*(Data!$AM$91:$AM$190&gt;Parameter!$B$32),OFFSET(Data!$CS$91:$CS$190,,MATCH(C656,Data!$CS$90:$DS$90,0)-1)),1)</f>
        <v>9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4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4 Players</v>
      </c>
      <c r="L656" s="65" t="str">
        <f t="shared" ca="1" si="44"/>
        <v>Best men took only 5 throws</v>
      </c>
      <c r="M656" s="65" t="s">
        <v>1</v>
      </c>
      <c r="N656" s="65" t="s">
        <v>249</v>
      </c>
      <c r="O656" s="65" t="e">
        <f t="shared" ca="1" si="43"/>
        <v>#VALUE!</v>
      </c>
      <c r="P656" s="65" t="str">
        <f t="shared" ca="1" si="45"/>
        <v>On hole 15 (par 4) 4 Players took 9 throws in total (2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2"/>
      <c r="C657" s="65">
        <f>INDEX(Parameter!$9:$9,,MATCH(14,Parameter!$8:$8,0))</f>
        <v>16</v>
      </c>
      <c r="D657" s="65">
        <f>INDEX(Parameter!$B$10:$AB$10,MATCH(C657,Parameter!$B$9:$AB$9,0))</f>
        <v>3</v>
      </c>
      <c r="E657" s="65">
        <f>COUNTIF(Data!$DY$90:$IB$90,Specials!C657)</f>
        <v>2</v>
      </c>
      <c r="F657" s="65">
        <f ca="1">OFFSET(Data!$CS$91,MATCH("M1",Data!$A$91:$A$190,0)-1,MATCH(C657,Data!$CS$90:$DS$90,0)-1)</f>
        <v>6</v>
      </c>
      <c r="G657" s="65">
        <f t="array" aca="1" ref="G657" ca="1">LARGE(IF((Data!$AM$91:$AM$190&lt;&gt;0)*(Data!$DW$91:$DW$190="M")*(Data!$AM$91:$AM$190&gt;Parameter!$B$32),OFFSET(Data!$CS$91:$CS$190,,MATCH(C657,Data!$CS$90:$DS$90,0)-1)),1)</f>
        <v>8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6 throws</v>
      </c>
      <c r="M657" s="65" t="s">
        <v>1</v>
      </c>
      <c r="N657" s="65" t="s">
        <v>249</v>
      </c>
      <c r="O657" s="65" t="e">
        <f t="shared" ca="1" si="43"/>
        <v>#VALUE!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2"/>
      <c r="C658" s="65">
        <f>INDEX(Parameter!$9:$9,,MATCH(15,Parameter!$8:$8,0))</f>
        <v>17</v>
      </c>
      <c r="D658" s="65">
        <f>INDEX(Parameter!$B$10:$AB$10,MATCH(C658,Parameter!$B$9:$AB$9,0))</f>
        <v>3</v>
      </c>
      <c r="E658" s="65">
        <f>COUNTIF(Data!$DY$90:$IB$90,Specials!C658)</f>
        <v>2</v>
      </c>
      <c r="F658" s="65">
        <f ca="1">OFFSET(Data!$CS$91,MATCH("M1",Data!$A$91:$A$190,0)-1,MATCH(C658,Data!$CS$90:$DS$90,0)-1)</f>
        <v>7</v>
      </c>
      <c r="G658" s="65">
        <f t="array" aca="1" ref="G658" ca="1">LARGE(IF((Data!$AM$91:$AM$190&lt;&gt;0)*(Data!$DW$91:$DW$190="M")*(Data!$AM$91:$AM$190&gt;Parameter!$B$32),OFFSET(Data!$CS$91:$CS$190,,MATCH(C658,Data!$CS$90:$DS$90,0)-1)),1)</f>
        <v>8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7 throws</v>
      </c>
      <c r="M658" s="65" t="s">
        <v>1</v>
      </c>
      <c r="N658" s="65" t="s">
        <v>249</v>
      </c>
      <c r="O658" s="65" t="e">
        <f t="shared" ca="1" si="43"/>
        <v>#VALUE!</v>
      </c>
      <c r="P658" s="65" t="str">
        <f t="shared" ca="1" si="45"/>
        <v/>
      </c>
    </row>
    <row r="659" spans="1:16" s="65" customFormat="1" x14ac:dyDescent="0.25">
      <c r="A659" s="65" t="s">
        <v>60</v>
      </c>
      <c r="B659" s="292" t="s">
        <v>252</v>
      </c>
      <c r="C659" s="65" t="s">
        <v>252</v>
      </c>
      <c r="D659" s="65" t="s">
        <v>218</v>
      </c>
      <c r="E659" s="65" t="s">
        <v>219</v>
      </c>
      <c r="F659" s="65" t="s">
        <v>219</v>
      </c>
      <c r="G659" s="65" t="s">
        <v>220</v>
      </c>
      <c r="H659" s="65" t="s">
        <v>220</v>
      </c>
      <c r="I659" s="65" t="s">
        <v>55</v>
      </c>
      <c r="J659" s="65" t="s">
        <v>358</v>
      </c>
      <c r="K659" s="65" t="s">
        <v>57</v>
      </c>
      <c r="L659" s="65" t="s">
        <v>98</v>
      </c>
      <c r="M659" s="65" t="s">
        <v>98</v>
      </c>
      <c r="N659" s="65" t="s">
        <v>99</v>
      </c>
      <c r="O659" s="65" t="s">
        <v>99</v>
      </c>
      <c r="P659" s="65" t="s">
        <v>100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2"/>
      <c r="C660" s="65" t="str">
        <f>INDEX(Parameter!$9:$9,,MATCH(17,Parameter!$8:$8,0))</f>
        <v>17a</v>
      </c>
      <c r="D660" s="65" t="str">
        <f>INDEX(Parameter!$B$10:$AB$10,MATCH(C660,Parameter!$B$9:$AB$9,0))</f>
        <v>no</v>
      </c>
      <c r="E660" s="65">
        <f>COUNTIF(Data!$DY$90:$IB$90,Specials!C660)</f>
        <v>0</v>
      </c>
      <c r="F660" s="65">
        <f ca="1">OFFSET(Data!$CS$91,MATCH("M1",Data!$A$91:$A$190,0)-1,MATCH(C660,Data!$CS$90:$DS$90,0)-1)</f>
        <v>0</v>
      </c>
      <c r="G660" s="65">
        <f t="array" aca="1" ref="G660" ca="1">LARGE(IF((Data!$AM$91:$AM$190&lt;&gt;0)*(Data!$DW$91:$DW$190="M")*(Data!$AM$91:$AM$190&gt;Parameter!$B$32),OFFSET(Data!$CS$91:$CS$190,,MATCH(C660,Data!$CS$90:$DS$90,0)-1)),1)</f>
        <v>0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0 throws</v>
      </c>
      <c r="M660" s="65" t="s">
        <v>1</v>
      </c>
      <c r="N660" s="65" t="s">
        <v>249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2"/>
      <c r="C661" s="65" t="str">
        <f>INDEX(Parameter!$9:$9,,MATCH(18,Parameter!$8:$8,0))</f>
        <v>18a</v>
      </c>
      <c r="D661" s="65" t="str">
        <f>INDEX(Parameter!$B$10:$AB$10,MATCH(C661,Parameter!$B$9:$AB$9,0))</f>
        <v>no</v>
      </c>
      <c r="E661" s="65">
        <f>COUNTIF(Data!$DY$90:$IB$90,Specials!C661)</f>
        <v>0</v>
      </c>
      <c r="F661" s="65">
        <f ca="1">OFFSET(Data!$CS$91,MATCH("M1",Data!$A$91:$A$190,0)-1,MATCH(C661,Data!$CS$90:$DS$90,0)-1)</f>
        <v>0</v>
      </c>
      <c r="G661" s="65">
        <f t="array" aca="1" ref="G661" ca="1">LARGE(IF((Data!$AM$91:$AM$190&lt;&gt;0)*(Data!$DW$91:$DW$190="M")*(Data!$AM$91:$AM$190&gt;Parameter!$B$32),OFFSET(Data!$CS$91:$CS$190,,MATCH(C661,Data!$CS$90:$DS$90,0)-1)),1)</f>
        <v>0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0 throws</v>
      </c>
      <c r="M661" s="65" t="s">
        <v>1</v>
      </c>
      <c r="N661" s="65" t="s">
        <v>249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2"/>
      <c r="C662" s="65">
        <f>INDEX(Parameter!$9:$9,,MATCH(19,Parameter!$8:$8,0))</f>
        <v>19</v>
      </c>
      <c r="D662" s="65" t="str">
        <f>INDEX(Parameter!$B$10:$AB$10,MATCH(C662,Parameter!$B$9:$AB$9,0))</f>
        <v>no</v>
      </c>
      <c r="E662" s="65">
        <f>COUNTIF(Data!$DY$90:$IB$90,Specials!C662)</f>
        <v>0</v>
      </c>
      <c r="F662" s="65">
        <f ca="1">OFFSET(Data!$CS$91,MATCH("M1",Data!$A$91:$A$190,0)-1,MATCH(C662,Data!$CS$90:$DS$90,0)-1)</f>
        <v>0</v>
      </c>
      <c r="G662" s="65">
        <f t="array" aca="1" ref="G662" ca="1">LARGE(IF((Data!$AM$91:$AM$190&lt;&gt;0)*(Data!$DW$91:$DW$190="M")*(Data!$AM$91:$AM$190&gt;Parameter!$B$32),OFFSET(Data!$CS$91:$CS$190,,MATCH(C662,Data!$CS$90:$DS$90,0)-1)),1)</f>
        <v>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0 throws</v>
      </c>
      <c r="M662" s="65" t="s">
        <v>1</v>
      </c>
      <c r="N662" s="65" t="s">
        <v>249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2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249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2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249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2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249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2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249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2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249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2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249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2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249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2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249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88" t="s">
        <v>280</v>
      </c>
      <c r="B671" s="289"/>
      <c r="D671" s="78">
        <f t="array" ref="D671">IF(Parameter!$B$1&gt;0,SMALL(IF((Data!$J$91:$J$190&lt;999)*(Data!$DW$91:$DW$190="W"),Data!$J$91:$J$190),1),"")</f>
        <v>66</v>
      </c>
      <c r="F671" s="78">
        <f>IF(Parameter!$B$1&gt;0,Specials!D671,999)</f>
        <v>66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Sona Švecová</v>
      </c>
      <c r="L671" s="78" t="str">
        <f>K671&amp;" ("&amp;D671&amp;")"</f>
        <v>Sona Švecová (66)</v>
      </c>
      <c r="M671" s="78" t="s">
        <v>254</v>
      </c>
      <c r="N671" s="78" t="s">
        <v>249</v>
      </c>
      <c r="O671" s="78" t="str">
        <f t="shared" ca="1" si="43"/>
        <v># Triple-Bogeys</v>
      </c>
    </row>
    <row r="672" spans="1:16" s="78" customFormat="1" hidden="1" x14ac:dyDescent="0.25">
      <c r="A672" s="288" t="s">
        <v>281</v>
      </c>
      <c r="B672" s="289"/>
      <c r="D672" s="78">
        <f t="array" ref="D672">IF(Parameter!$B$2&gt;0,SMALL(IF((Data!$K$91:$K$190&lt;999)*(Data!$DW$91:$DW$190="W"),Data!$K$91:$K$190),1),"")</f>
        <v>62</v>
      </c>
      <c r="F672" s="78">
        <f>IF(AND(Parameter!$B$2&gt;0,Parameter!$B$2=Parameter!$B$1),Specials!D672,999)</f>
        <v>62</v>
      </c>
      <c r="H672" s="78">
        <f t="array" ref="H672">SUM(IF((Data!$K$91:$K$190=D672)*(Data!$DW$91:$DW$190="W"),1))</f>
        <v>2</v>
      </c>
      <c r="K672" s="78" t="str">
        <f t="array" ref="K672">IF($H672=1,INDEX(Data!$DT$91:$DT$190,MATCH($D672,Data!$K$91:$K$190*(Data!$DW$91:$DW$190="W"),0)),$H672&amp;" Players")</f>
        <v>2 Players</v>
      </c>
      <c r="L672" s="78" t="str">
        <f>K672&amp;" ("&amp;D672&amp;")"</f>
        <v>2 Players (62)</v>
      </c>
      <c r="M672" s="78" t="s">
        <v>254</v>
      </c>
      <c r="N672" s="78" t="s">
        <v>249</v>
      </c>
      <c r="O672" s="78" t="str">
        <f t="shared" ca="1" si="43"/>
        <v># Triple-Bogeys</v>
      </c>
    </row>
    <row r="673" spans="1:16" s="78" customFormat="1" hidden="1" x14ac:dyDescent="0.25">
      <c r="A673" s="288" t="s">
        <v>282</v>
      </c>
      <c r="B673" s="289"/>
      <c r="D673" s="78" t="str">
        <f t="array" ref="D673">IF(Parameter!$B$3&gt;0,SMALL(IF((Data!$L$91:$L$190&lt;999)*(Data!$DW$91:$DW$190="W"),Data!$L$91:$L$190),1),"")</f>
        <v/>
      </c>
      <c r="F673" s="78">
        <f>IF(AND(Parameter!$B$3&gt;0,Parameter!$B$3=Parameter!$B$2),Specials!D673,999)</f>
        <v>999</v>
      </c>
      <c r="H673" s="78">
        <f t="array" ref="H673">SUM(IF((Data!$L$91:$L$190=D673)*(Data!$DW$91:$DW$190="W"),1))</f>
        <v>0</v>
      </c>
      <c r="K673" s="78" t="str">
        <f t="array" ref="K673">IF($H673=1,INDEX(Data!$DT$91:$DT$190,MATCH($D673,Data!$L$91:$L$190*(Data!$DW$91:$DW$190="W"),0)),$H673&amp;" Players")</f>
        <v>0 Players</v>
      </c>
      <c r="L673" s="78" t="str">
        <f>K673&amp;" ("&amp;D673&amp;")"</f>
        <v>0 Players ()</v>
      </c>
      <c r="M673" s="78" t="s">
        <v>254</v>
      </c>
      <c r="N673" s="78" t="s">
        <v>249</v>
      </c>
      <c r="O673" s="78" t="str">
        <f t="shared" ca="1" si="43"/>
        <v># Triple-Bogeys</v>
      </c>
    </row>
    <row r="674" spans="1:16" s="78" customFormat="1" hidden="1" x14ac:dyDescent="0.25">
      <c r="A674" s="288" t="s">
        <v>283</v>
      </c>
      <c r="B674" s="289"/>
      <c r="D674" s="78" t="str">
        <f t="array" ref="D674">IF(Parameter!$B$4&gt;0,SMALL(IF((Data!$M$91:$M$190&lt;999)*(Data!$DW$91:$DW$190="W"),Data!$M$91:$M$190),1),"")</f>
        <v/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0</v>
      </c>
      <c r="K674" s="78" t="str">
        <f t="array" ref="K674">IF($H674=1,INDEX(Data!$DT$91:$DT$190,MATCH($D674,Data!$M$91:$M$190*(Data!$DW$91:$DW$190="W"),0)),$H674&amp;" Players")</f>
        <v>0 Players</v>
      </c>
      <c r="L674" s="78" t="str">
        <f>K674&amp;" ("&amp;D674&amp;")"</f>
        <v>0 Players ()</v>
      </c>
      <c r="M674" s="78" t="s">
        <v>254</v>
      </c>
      <c r="N674" s="78" t="s">
        <v>249</v>
      </c>
      <c r="O674" s="78" t="str">
        <f t="shared" ca="1" si="43"/>
        <v># Triple-Bogeys</v>
      </c>
    </row>
    <row r="675" spans="1:16" s="78" customFormat="1" hidden="1" x14ac:dyDescent="0.25">
      <c r="A675" s="289" t="s">
        <v>306</v>
      </c>
      <c r="B675" s="289"/>
      <c r="D675" s="78">
        <f>MIN($F671:$F673)</f>
        <v>62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2 Players / Round 2</v>
      </c>
      <c r="M675" s="78" t="s">
        <v>14</v>
      </c>
      <c r="N675" s="78" t="s">
        <v>249</v>
      </c>
      <c r="O675" s="78" t="e">
        <f t="shared" ca="1" si="43"/>
        <v>#VALUE!</v>
      </c>
      <c r="P675" s="78" t="str">
        <f>"Best score in tournament: "&amp;D675</f>
        <v>Best score in tournament: 62</v>
      </c>
    </row>
    <row r="676" spans="1:16" s="65" customFormat="1" hidden="1" x14ac:dyDescent="0.25">
      <c r="A676" s="286" t="str">
        <f>"Biggest Skill-O-Meter-Improvement Women Rating &gt; "&amp;Parameter!$B$33</f>
        <v>Biggest Skill-O-Meter-Improvement Women Rating &gt; 600</v>
      </c>
      <c r="B676" s="286"/>
      <c r="F676" s="65">
        <f t="array" ref="F676">LARGE(IF((Data!$DW$91:$DW$190="W")*(Data!$AN$91:$AN$190&gt;Parameter!$B$33),Data!$AO$91:$AO$190,0),1)</f>
        <v>66.894999999999982</v>
      </c>
      <c r="G676" s="65">
        <f t="array" ref="G676">IF(F676&lt;&gt;0,INDEX(Data!AN$91:$AN$190,MATCH(F676,Data!AO$91:$AO$190,0)),0)</f>
        <v>714.28700000000003</v>
      </c>
      <c r="H676" s="65">
        <f>COUNTIF(Data!AO$91:$AO$190,F676)</f>
        <v>1</v>
      </c>
      <c r="K676" s="65" t="str">
        <f>IF(H676=1,INDEX(Data!DT$91:$DT$190,MATCH(F676,Data!AO$91:$AO$190,0)),"")</f>
        <v>Danica Pajtak</v>
      </c>
      <c r="L676" s="65" t="str">
        <f>IF(H676=1,"Rating in this tournament: "&amp;ROUND(INDEX(Data!AM$91:$AM$190,MATCH(F676,Data!AO$91:$AO$190,0)), 0),"")</f>
        <v>Rating in this tournament: 781</v>
      </c>
      <c r="M676" s="65" t="s">
        <v>14</v>
      </c>
      <c r="N676" s="65" t="s">
        <v>249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>Danica Pajtak played 9 % better than her last rating (714)</v>
      </c>
    </row>
    <row r="677" spans="1:16" s="65" customFormat="1" hidden="1" x14ac:dyDescent="0.25">
      <c r="A677" s="286" t="str">
        <f>"Biggest Skill-O-Meter-Worsening Women Rating &gt; "&amp;Parameter!$B$33</f>
        <v>Biggest Skill-O-Meter-Worsening Women Rating &gt; 600</v>
      </c>
      <c r="B677" s="286"/>
      <c r="F677" s="65">
        <f t="array" ref="F677">SMALL(IF((Data!$DW$91:$DW$190="W")*(Data!$AN$91:$AN$190&gt;Parameter!$B$33),Data!$AO$91:$AO$190,0),1)</f>
        <v>0</v>
      </c>
      <c r="G677" s="65">
        <f t="array" ref="G677">IF(F677&lt;&gt;0,INDEX(Data!AN$91:$AN$190,MATCH(F677,Data!AO$91:$AO$190,0)),0)</f>
        <v>0</v>
      </c>
      <c r="H677" s="65">
        <f>COUNTIF(Data!AO$91:$AO$190,F677)</f>
        <v>0</v>
      </c>
      <c r="K677" s="65" t="str">
        <f>IF(H677=1,INDEX(Data!DT$91:$DT$190,MATCH(F677,Data!AO$91:$AO$190,0)),"")</f>
        <v/>
      </c>
      <c r="L677" s="65" t="str">
        <f>IF(H677=1,"Rating in this tournament: "&amp;ROUND(INDEX(Data!AM$91:$AM$190,MATCH(F677,Data!AO$91:$AO$190,0)), 0),"")</f>
        <v/>
      </c>
      <c r="M677" s="65" t="s">
        <v>14</v>
      </c>
      <c r="N677" s="65" t="s">
        <v>249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/>
      </c>
    </row>
    <row r="678" spans="1:16" s="78" customFormat="1" ht="15" hidden="1" customHeight="1" x14ac:dyDescent="0.25">
      <c r="A678" s="78" t="s">
        <v>368</v>
      </c>
      <c r="B678" s="294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4</v>
      </c>
      <c r="E678" s="78">
        <f>COUNTIF(Data!$DY$90:$IB$90,Specials!C678)</f>
        <v>2</v>
      </c>
      <c r="F678" s="78">
        <f ca="1">OFFSET(Data!$CS$91,MATCH("W1",Data!$A$91:$A$190,0)-1,MATCH(C678,Data!$CS$90:$DS$90,0)-1)</f>
        <v>8</v>
      </c>
      <c r="G678" s="78">
        <f ca="1">OFFSET(Data!$CS$91,MATCH($B678,Data!$A$91:$A$190,0)-1,MATCH(C678,Data!$CS$90:$DS$90,0)-1)</f>
        <v>10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0</v>
      </c>
      <c r="K678" s="78" t="str">
        <f>INDEX(Data!$DT$91:$DT$190,MATCH($B678,Data!$A$91:$A$190,0))</f>
        <v>Irmgard Derschmidt</v>
      </c>
      <c r="L678" s="78" t="str">
        <f ca="1">"Best women took only "&amp;F678&amp;" throws"</f>
        <v>Best women took only 8 throws</v>
      </c>
      <c r="M678" s="78" t="s">
        <v>14</v>
      </c>
      <c r="N678" s="78" t="s">
        <v>249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368</v>
      </c>
      <c r="B679" s="294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4</v>
      </c>
      <c r="E679" s="78">
        <f>COUNTIF(Data!$DY$90:$IB$90,Specials!C679)</f>
        <v>2</v>
      </c>
      <c r="F679" s="78">
        <f ca="1">OFFSET(Data!$CS$91,MATCH("W1",Data!$A$91:$A$190,0)-1,MATCH(C679,Data!$CS$90:$DS$90,0)-1)</f>
        <v>8</v>
      </c>
      <c r="G679" s="78">
        <f ca="1">OFFSET(Data!$CS$91,MATCH($B679,Data!$A$91:$A$190,0)-1,MATCH(C679,Data!$CS$90:$DS$90,0)-1)</f>
        <v>9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0</v>
      </c>
      <c r="K679" s="78" t="str">
        <f>INDEX(Data!$DT$91:$DT$190,MATCH($B679,Data!$A$91:$A$190,0))</f>
        <v>Irmgard Derschmidt</v>
      </c>
      <c r="L679" s="78" t="str">
        <f t="shared" ref="L679:L742" ca="1" si="48">"Best women took only "&amp;F679&amp;" throws"</f>
        <v>Best women took only 8 throws</v>
      </c>
      <c r="M679" s="78" t="s">
        <v>14</v>
      </c>
      <c r="N679" s="78" t="s">
        <v>249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368</v>
      </c>
      <c r="B680" s="294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4</v>
      </c>
      <c r="E680" s="78">
        <f>COUNTIF(Data!$DY$90:$IB$90,Specials!C680)</f>
        <v>2</v>
      </c>
      <c r="F680" s="78">
        <f ca="1">OFFSET(Data!$CS$91,MATCH("W1",Data!$A$91:$A$190,0)-1,MATCH(C680,Data!$CS$90:$DS$90,0)-1)</f>
        <v>10</v>
      </c>
      <c r="G680" s="78">
        <f ca="1">OFFSET(Data!$CS$91,MATCH($B680,Data!$A$91:$A$190,0)-1,MATCH(C680,Data!$CS$90:$DS$90,0)-1)</f>
        <v>9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0</v>
      </c>
      <c r="K680" s="78" t="str">
        <f>INDEX(Data!$DT$91:$DT$190,MATCH($B680,Data!$A$91:$A$190,0))</f>
        <v>Irmgard Derschmidt</v>
      </c>
      <c r="L680" s="78" t="str">
        <f t="shared" ca="1" si="48"/>
        <v>Best women took only 10 throws</v>
      </c>
      <c r="M680" s="78" t="s">
        <v>14</v>
      </c>
      <c r="N680" s="78" t="s">
        <v>249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368</v>
      </c>
      <c r="B681" s="294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2</v>
      </c>
      <c r="F681" s="78">
        <f ca="1">OFFSET(Data!$CS$91,MATCH("W1",Data!$A$91:$A$190,0)-1,MATCH(C681,Data!$CS$90:$DS$90,0)-1)</f>
        <v>7</v>
      </c>
      <c r="G681" s="78">
        <f ca="1">OFFSET(Data!$CS$91,MATCH($B681,Data!$A$91:$A$190,0)-1,MATCH(C681,Data!$CS$90:$DS$90,0)-1)</f>
        <v>6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0</v>
      </c>
      <c r="K681" s="78" t="str">
        <f>INDEX(Data!$DT$91:$DT$190,MATCH($B681,Data!$A$91:$A$190,0))</f>
        <v>Irmgard Derschmidt</v>
      </c>
      <c r="L681" s="78" t="str">
        <f t="shared" ca="1" si="48"/>
        <v>Best women took only 7 throws</v>
      </c>
      <c r="M681" s="78" t="s">
        <v>14</v>
      </c>
      <c r="N681" s="78" t="s">
        <v>249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368</v>
      </c>
      <c r="B682" s="294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3</v>
      </c>
      <c r="E682" s="78">
        <f>COUNTIF(Data!$DY$90:$IB$90,Specials!C682)</f>
        <v>2</v>
      </c>
      <c r="F682" s="78">
        <f ca="1">OFFSET(Data!$CS$91,MATCH("W1",Data!$A$91:$A$190,0)-1,MATCH(C682,Data!$CS$90:$DS$90,0)-1)</f>
        <v>9</v>
      </c>
      <c r="G682" s="78">
        <f ca="1">OFFSET(Data!$CS$91,MATCH($B682,Data!$A$91:$A$190,0)-1,MATCH(C682,Data!$CS$90:$DS$90,0)-1)</f>
        <v>6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0</v>
      </c>
      <c r="K682" s="78" t="str">
        <f>INDEX(Data!$DT$91:$DT$190,MATCH($B682,Data!$A$91:$A$190,0))</f>
        <v>Irmgard Derschmidt</v>
      </c>
      <c r="L682" s="78" t="str">
        <f t="shared" ca="1" si="48"/>
        <v>Best women took only 9 throws</v>
      </c>
      <c r="M682" s="78" t="s">
        <v>14</v>
      </c>
      <c r="N682" s="78" t="s">
        <v>249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368</v>
      </c>
      <c r="B683" s="294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5</v>
      </c>
      <c r="E683" s="78">
        <f>COUNTIF(Data!$DY$90:$IB$90,Specials!C683)</f>
        <v>2</v>
      </c>
      <c r="F683" s="78">
        <f ca="1">OFFSET(Data!$CS$91,MATCH("W1",Data!$A$91:$A$190,0)-1,MATCH(C683,Data!$CS$90:$DS$90,0)-1)</f>
        <v>12</v>
      </c>
      <c r="G683" s="78">
        <f ca="1">OFFSET(Data!$CS$91,MATCH($B683,Data!$A$91:$A$190,0)-1,MATCH(C683,Data!$CS$90:$DS$90,0)-1)</f>
        <v>11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0</v>
      </c>
      <c r="K683" s="78" t="str">
        <f>INDEX(Data!$DT$91:$DT$190,MATCH($B683,Data!$A$91:$A$190,0))</f>
        <v>Irmgard Derschmidt</v>
      </c>
      <c r="L683" s="78" t="str">
        <f t="shared" ca="1" si="48"/>
        <v>Best women took only 12 throws</v>
      </c>
      <c r="M683" s="78" t="s">
        <v>14</v>
      </c>
      <c r="N683" s="78" t="s">
        <v>249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368</v>
      </c>
      <c r="B684" s="294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3</v>
      </c>
      <c r="F684" s="78">
        <f ca="1">OFFSET(Data!$CS$91,MATCH("W1",Data!$A$91:$A$190,0)-1,MATCH(C684,Data!$CS$90:$DS$90,0)-1)</f>
        <v>11</v>
      </c>
      <c r="G684" s="78">
        <f ca="1">OFFSET(Data!$CS$91,MATCH($B684,Data!$A$91:$A$190,0)-1,MATCH(C684,Data!$CS$90:$DS$90,0)-1)</f>
        <v>10.01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0</v>
      </c>
      <c r="K684" s="78" t="str">
        <f>INDEX(Data!$DT$91:$DT$190,MATCH($B684,Data!$A$91:$A$190,0))</f>
        <v>Irmgard Derschmidt</v>
      </c>
      <c r="L684" s="78" t="str">
        <f t="shared" ca="1" si="48"/>
        <v>Best women took only 11 throws</v>
      </c>
      <c r="M684" s="78" t="s">
        <v>14</v>
      </c>
      <c r="N684" s="78" t="s">
        <v>249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368</v>
      </c>
      <c r="B685" s="294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2</v>
      </c>
      <c r="F685" s="78">
        <f ca="1">OFFSET(Data!$CS$91,MATCH("W1",Data!$A$91:$A$190,0)-1,MATCH(C685,Data!$CS$90:$DS$90,0)-1)</f>
        <v>6</v>
      </c>
      <c r="G685" s="78">
        <f ca="1">OFFSET(Data!$CS$91,MATCH($B685,Data!$A$91:$A$190,0)-1,MATCH(C685,Data!$CS$90:$DS$90,0)-1)</f>
        <v>7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0</v>
      </c>
      <c r="K685" s="78" t="str">
        <f>INDEX(Data!$DT$91:$DT$190,MATCH($B685,Data!$A$91:$A$190,0))</f>
        <v>Irmgard Derschmidt</v>
      </c>
      <c r="L685" s="78" t="str">
        <f t="shared" ca="1" si="48"/>
        <v>Best women took only 6 throws</v>
      </c>
      <c r="M685" s="78" t="s">
        <v>14</v>
      </c>
      <c r="N685" s="78" t="s">
        <v>249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368</v>
      </c>
      <c r="B686" s="294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2</v>
      </c>
      <c r="F686" s="78">
        <f ca="1">OFFSET(Data!$CS$91,MATCH("W1",Data!$A$91:$A$190,0)-1,MATCH(C686,Data!$CS$90:$DS$90,0)-1)</f>
        <v>12</v>
      </c>
      <c r="G686" s="78">
        <f ca="1">OFFSET(Data!$CS$91,MATCH($B686,Data!$A$91:$A$190,0)-1,MATCH(C686,Data!$CS$90:$DS$90,0)-1)</f>
        <v>9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0</v>
      </c>
      <c r="K686" s="78" t="str">
        <f>INDEX(Data!$DT$91:$DT$190,MATCH($B686,Data!$A$91:$A$190,0))</f>
        <v>Irmgard Derschmidt</v>
      </c>
      <c r="L686" s="78" t="str">
        <f t="shared" ca="1" si="48"/>
        <v>Best women took only 12 throws</v>
      </c>
      <c r="M686" s="78" t="s">
        <v>14</v>
      </c>
      <c r="N686" s="78" t="s">
        <v>249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368</v>
      </c>
      <c r="B687" s="294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2</v>
      </c>
      <c r="F687" s="78">
        <f ca="1">OFFSET(Data!$CS$91,MATCH("W1",Data!$A$91:$A$190,0)-1,MATCH(C687,Data!$CS$90:$DS$90,0)-1)</f>
        <v>8</v>
      </c>
      <c r="G687" s="78">
        <f ca="1">OFFSET(Data!$CS$91,MATCH($B687,Data!$A$91:$A$190,0)-1,MATCH(C687,Data!$CS$90:$DS$90,0)-1)</f>
        <v>8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0</v>
      </c>
      <c r="K687" s="78" t="str">
        <f>INDEX(Data!$DT$91:$DT$190,MATCH($B687,Data!$A$91:$A$190,0))</f>
        <v>Irmgard Derschmidt</v>
      </c>
      <c r="L687" s="78" t="str">
        <f t="shared" ca="1" si="48"/>
        <v>Best women took only 8 throws</v>
      </c>
      <c r="M687" s="78" t="s">
        <v>14</v>
      </c>
      <c r="N687" s="78" t="s">
        <v>249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368</v>
      </c>
      <c r="B688" s="294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12</v>
      </c>
      <c r="D688" s="78">
        <f>INDEX(Parameter!$B$10:$AB$10,MATCH(C688,Parameter!$B$9:$AB$9,0))</f>
        <v>3</v>
      </c>
      <c r="E688" s="78">
        <f>COUNTIF(Data!$DY$90:$IB$90,Specials!C688)</f>
        <v>2</v>
      </c>
      <c r="F688" s="78">
        <f ca="1">OFFSET(Data!$CS$91,MATCH("W1",Data!$A$91:$A$190,0)-1,MATCH(C688,Data!$CS$90:$DS$90,0)-1)</f>
        <v>6</v>
      </c>
      <c r="G688" s="78">
        <f ca="1">OFFSET(Data!$CS$91,MATCH($B688,Data!$A$91:$A$190,0)-1,MATCH(C688,Data!$CS$90:$DS$90,0)-1)</f>
        <v>6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0</v>
      </c>
      <c r="K688" s="78" t="str">
        <f>INDEX(Data!$DT$91:$DT$190,MATCH($B688,Data!$A$91:$A$190,0))</f>
        <v>Irmgard Derschmidt</v>
      </c>
      <c r="L688" s="78" t="str">
        <f t="shared" ca="1" si="48"/>
        <v>Best women took only 6 throws</v>
      </c>
      <c r="M688" s="78" t="s">
        <v>14</v>
      </c>
      <c r="N688" s="78" t="s">
        <v>249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368</v>
      </c>
      <c r="B689" s="294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14</v>
      </c>
      <c r="D689" s="78">
        <f>INDEX(Parameter!$B$10:$AB$10,MATCH(C689,Parameter!$B$9:$AB$9,0))</f>
        <v>4</v>
      </c>
      <c r="E689" s="78">
        <f>COUNTIF(Data!$DY$90:$IB$90,Specials!C689)</f>
        <v>2</v>
      </c>
      <c r="F689" s="78">
        <f ca="1">OFFSET(Data!$CS$91,MATCH("W1",Data!$A$91:$A$190,0)-1,MATCH(C689,Data!$CS$90:$DS$90,0)-1)</f>
        <v>11</v>
      </c>
      <c r="G689" s="78">
        <f ca="1">OFFSET(Data!$CS$91,MATCH($B689,Data!$A$91:$A$190,0)-1,MATCH(C689,Data!$CS$90:$DS$90,0)-1)</f>
        <v>9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0</v>
      </c>
      <c r="K689" s="78" t="str">
        <f>INDEX(Data!$DT$91:$DT$190,MATCH($B689,Data!$A$91:$A$190,0))</f>
        <v>Irmgard Derschmidt</v>
      </c>
      <c r="L689" s="78" t="str">
        <f t="shared" ca="1" si="48"/>
        <v>Best women took only 11 throws</v>
      </c>
      <c r="M689" s="78" t="s">
        <v>14</v>
      </c>
      <c r="N689" s="78" t="s">
        <v>249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368</v>
      </c>
      <c r="B690" s="294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15</v>
      </c>
      <c r="D690" s="78">
        <f>INDEX(Parameter!$B$10:$AB$10,MATCH(C690,Parameter!$B$9:$AB$9,0))</f>
        <v>4</v>
      </c>
      <c r="E690" s="78">
        <f>COUNTIF(Data!$DY$90:$IB$90,Specials!C690)</f>
        <v>2</v>
      </c>
      <c r="F690" s="78">
        <f ca="1">OFFSET(Data!$CS$91,MATCH("W1",Data!$A$91:$A$190,0)-1,MATCH(C690,Data!$CS$90:$DS$90,0)-1)</f>
        <v>8</v>
      </c>
      <c r="G690" s="78">
        <f ca="1">OFFSET(Data!$CS$91,MATCH($B690,Data!$A$91:$A$190,0)-1,MATCH(C690,Data!$CS$90:$DS$90,0)-1)</f>
        <v>11</v>
      </c>
      <c r="H690" s="78">
        <f t="shared" ca="1" si="47"/>
        <v>1</v>
      </c>
      <c r="I690" s="78">
        <f t="array" ref="I690">SUM(IF(Data!$A$91:$A$190=$B690,Data!$J$91:$M$190))-SUM(IF(Data!$A$91:$A$190="W1",Data!$J$91:$M$190))</f>
        <v>0</v>
      </c>
      <c r="K690" s="78" t="str">
        <f>INDEX(Data!$DT$91:$DT$190,MATCH($B690,Data!$A$91:$A$190,0))</f>
        <v>Irmgard Derschmidt</v>
      </c>
      <c r="L690" s="78" t="str">
        <f t="shared" ca="1" si="48"/>
        <v>Best women took only 8 throws</v>
      </c>
      <c r="M690" s="78" t="s">
        <v>14</v>
      </c>
      <c r="N690" s="78" t="s">
        <v>249</v>
      </c>
      <c r="O690" s="78" t="e">
        <f t="shared" ca="1" si="43"/>
        <v>#VALUE!</v>
      </c>
      <c r="P690" s="78" t="str">
        <f t="shared" ca="1" si="46"/>
        <v>On hole 15 (par 4) Irmgard Derschmidt took 11 throws in total (2 rounds)</v>
      </c>
    </row>
    <row r="691" spans="1:16" s="78" customFormat="1" hidden="1" x14ac:dyDescent="0.25">
      <c r="A691" s="78" t="s">
        <v>368</v>
      </c>
      <c r="B691" s="294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16</v>
      </c>
      <c r="D691" s="78">
        <f>INDEX(Parameter!$B$10:$AB$10,MATCH(C691,Parameter!$B$9:$AB$9,0))</f>
        <v>3</v>
      </c>
      <c r="E691" s="78">
        <f>COUNTIF(Data!$DY$90:$IB$90,Specials!C691)</f>
        <v>2</v>
      </c>
      <c r="F691" s="78">
        <f ca="1">OFFSET(Data!$CS$91,MATCH("W1",Data!$A$91:$A$190,0)-1,MATCH(C691,Data!$CS$90:$DS$90,0)-1)</f>
        <v>5</v>
      </c>
      <c r="G691" s="78">
        <f ca="1">OFFSET(Data!$CS$91,MATCH($B691,Data!$A$91:$A$190,0)-1,MATCH(C691,Data!$CS$90:$DS$90,0)-1)</f>
        <v>7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0</v>
      </c>
      <c r="K691" s="78" t="str">
        <f>INDEX(Data!$DT$91:$DT$190,MATCH($B691,Data!$A$91:$A$190,0))</f>
        <v>Irmgard Derschmidt</v>
      </c>
      <c r="L691" s="78" t="str">
        <f t="shared" ca="1" si="48"/>
        <v>Best women took only 5 throws</v>
      </c>
      <c r="M691" s="78" t="s">
        <v>14</v>
      </c>
      <c r="N691" s="78" t="s">
        <v>249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368</v>
      </c>
      <c r="B692" s="294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17</v>
      </c>
      <c r="D692" s="78">
        <f>INDEX(Parameter!$B$10:$AB$10,MATCH(C692,Parameter!$B$9:$AB$9,0))</f>
        <v>3</v>
      </c>
      <c r="E692" s="78">
        <f>COUNTIF(Data!$DY$90:$IB$90,Specials!C692)</f>
        <v>2</v>
      </c>
      <c r="F692" s="78">
        <f ca="1">OFFSET(Data!$CS$91,MATCH("W1",Data!$A$91:$A$190,0)-1,MATCH(C692,Data!$CS$90:$DS$90,0)-1)</f>
        <v>6</v>
      </c>
      <c r="G692" s="78">
        <f ca="1">OFFSET(Data!$CS$91,MATCH($B692,Data!$A$91:$A$190,0)-1,MATCH(C692,Data!$CS$90:$DS$90,0)-1)</f>
        <v>10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0</v>
      </c>
      <c r="K692" s="78" t="str">
        <f>INDEX(Data!$DT$91:$DT$190,MATCH($B692,Data!$A$91:$A$190,0))</f>
        <v>Irmgard Derschmidt</v>
      </c>
      <c r="L692" s="78" t="str">
        <f t="shared" ca="1" si="48"/>
        <v>Best women took only 6 throws</v>
      </c>
      <c r="M692" s="78" t="s">
        <v>14</v>
      </c>
      <c r="N692" s="78" t="s">
        <v>249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368</v>
      </c>
      <c r="B693" s="294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18</v>
      </c>
      <c r="D693" s="78">
        <f>INDEX(Parameter!$B$10:$AB$10,MATCH(C693,Parameter!$B$9:$AB$9,0))</f>
        <v>3</v>
      </c>
      <c r="E693" s="78">
        <f>COUNTIF(Data!$DY$90:$IB$90,Specials!C693)</f>
        <v>2</v>
      </c>
      <c r="F693" s="78">
        <f ca="1">OFFSET(Data!$CS$91,MATCH("W1",Data!$A$91:$A$190,0)-1,MATCH(C693,Data!$CS$90:$DS$90,0)-1)</f>
        <v>6</v>
      </c>
      <c r="G693" s="78">
        <f ca="1">OFFSET(Data!$CS$91,MATCH($B693,Data!$A$91:$A$190,0)-1,MATCH(C693,Data!$CS$90:$DS$90,0)-1)</f>
        <v>5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0</v>
      </c>
      <c r="K693" s="78" t="str">
        <f>INDEX(Data!$DT$91:$DT$190,MATCH($B693,Data!$A$91:$A$190,0))</f>
        <v>Irmgard Derschmidt</v>
      </c>
      <c r="L693" s="78" t="str">
        <f t="shared" ca="1" si="48"/>
        <v>Best women took only 6 throws</v>
      </c>
      <c r="M693" s="78" t="s">
        <v>14</v>
      </c>
      <c r="N693" s="78" t="s">
        <v>249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368</v>
      </c>
      <c r="B694" s="294" t="str">
        <f>IF(OR(AND(Parameter!$B$4=0,Parameter!$D$5="n"),INDEX(Data!$M$91:$M$190,MATCH("W2",Data!$A$91:$A$190,0))&gt;0,INDEX(Data!$N$91:$N$190,MATCH("W2",Data!$A$91:$A$190,0))&gt;0),"W2","W1")</f>
        <v>W2</v>
      </c>
      <c r="C694" s="78" t="str">
        <f>INDEX(Parameter!$9:$9,,MATCH(17,Parameter!$8:$8,0))</f>
        <v>17a</v>
      </c>
      <c r="D694" s="78" t="str">
        <f>INDEX(Parameter!$B$10:$AB$10,MATCH(C694,Parameter!$B$9:$AB$9,0))</f>
        <v>no</v>
      </c>
      <c r="E694" s="78">
        <f>COUNTIF(Data!$DY$90:$IB$90,Specials!C694)</f>
        <v>0</v>
      </c>
      <c r="F694" s="78">
        <f ca="1">OFFSET(Data!$CS$91,MATCH("W1",Data!$A$91:$A$190,0)-1,MATCH(C694,Data!$CS$90:$DS$90,0)-1)</f>
        <v>0</v>
      </c>
      <c r="G694" s="78">
        <f ca="1">OFFSET(Data!$CS$91,MATCH($B694,Data!$A$91:$A$190,0)-1,MATCH(C694,Data!$CS$90:$DS$90,0)-1)</f>
        <v>0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0</v>
      </c>
      <c r="K694" s="78" t="str">
        <f>INDEX(Data!$DT$91:$DT$190,MATCH($B694,Data!$A$91:$A$190,0))</f>
        <v>Irmgard Derschmidt</v>
      </c>
      <c r="L694" s="78" t="str">
        <f t="shared" ca="1" si="48"/>
        <v>Best women took only 0 throws</v>
      </c>
      <c r="M694" s="78" t="s">
        <v>14</v>
      </c>
      <c r="N694" s="78" t="s">
        <v>249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368</v>
      </c>
      <c r="B695" s="294" t="str">
        <f>IF(OR(AND(Parameter!$B$4=0,Parameter!$D$5="n"),INDEX(Data!$M$91:$M$190,MATCH("W2",Data!$A$91:$A$190,0))&gt;0,INDEX(Data!$N$91:$N$190,MATCH("W2",Data!$A$91:$A$190,0))&gt;0),"W2","W1")</f>
        <v>W2</v>
      </c>
      <c r="C695" s="78" t="str">
        <f>INDEX(Parameter!$9:$9,,MATCH(18,Parameter!$8:$8,0))</f>
        <v>18a</v>
      </c>
      <c r="D695" s="78" t="str">
        <f>INDEX(Parameter!$B$10:$AB$10,MATCH(C695,Parameter!$B$9:$AB$9,0))</f>
        <v>no</v>
      </c>
      <c r="E695" s="78">
        <f>COUNTIF(Data!$DY$90:$IB$90,Specials!C695)</f>
        <v>0</v>
      </c>
      <c r="F695" s="78">
        <f ca="1">OFFSET(Data!$CS$91,MATCH("W1",Data!$A$91:$A$190,0)-1,MATCH(C695,Data!$CS$90:$DS$90,0)-1)</f>
        <v>0</v>
      </c>
      <c r="G695" s="78">
        <f ca="1">OFFSET(Data!$CS$91,MATCH($B695,Data!$A$91:$A$190,0)-1,MATCH(C695,Data!$CS$90:$DS$90,0)-1)</f>
        <v>0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0</v>
      </c>
      <c r="K695" s="78" t="str">
        <f>INDEX(Data!$DT$91:$DT$190,MATCH($B695,Data!$A$91:$A$190,0))</f>
        <v>Irmgard Derschmidt</v>
      </c>
      <c r="L695" s="78" t="str">
        <f t="shared" ca="1" si="48"/>
        <v>Best women took only 0 throws</v>
      </c>
      <c r="M695" s="78" t="s">
        <v>14</v>
      </c>
      <c r="N695" s="78" t="s">
        <v>249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368</v>
      </c>
      <c r="B696" s="294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 t="str">
        <f>INDEX(Parameter!$B$10:$AB$10,MATCH(C696,Parameter!$B$9:$AB$9,0))</f>
        <v>no</v>
      </c>
      <c r="E696" s="78">
        <f>COUNTIF(Data!$DY$90:$IB$90,Specials!C696)</f>
        <v>0</v>
      </c>
      <c r="F696" s="78">
        <f ca="1">OFFSET(Data!$CS$91,MATCH("W1",Data!$A$91:$A$190,0)-1,MATCH(C696,Data!$CS$90:$DS$90,0)-1)</f>
        <v>0</v>
      </c>
      <c r="G696" s="78">
        <f ca="1">OFFSET(Data!$CS$91,MATCH($B696,Data!$A$91:$A$190,0)-1,MATCH(C696,Data!$CS$90:$DS$90,0)-1)</f>
        <v>0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0</v>
      </c>
      <c r="K696" s="78" t="str">
        <f>INDEX(Data!$DT$91:$DT$190,MATCH($B696,Data!$A$91:$A$190,0))</f>
        <v>Irmgard Derschmidt</v>
      </c>
      <c r="L696" s="78" t="str">
        <f t="shared" ca="1" si="48"/>
        <v>Best women took only 0 throws</v>
      </c>
      <c r="M696" s="78" t="s">
        <v>14</v>
      </c>
      <c r="N696" s="78" t="s">
        <v>249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368</v>
      </c>
      <c r="B697" s="294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0</v>
      </c>
      <c r="K697" s="78" t="str">
        <f>INDEX(Data!$DT$91:$DT$190,MATCH($B697,Data!$A$91:$A$190,0))</f>
        <v>Irmgard Derschmidt</v>
      </c>
      <c r="L697" s="78" t="str">
        <f t="shared" ca="1" si="48"/>
        <v>Best women took only 0 throws</v>
      </c>
      <c r="M697" s="78" t="s">
        <v>14</v>
      </c>
      <c r="N697" s="78" t="s">
        <v>249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368</v>
      </c>
      <c r="B698" s="294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0</v>
      </c>
      <c r="K698" s="78" t="str">
        <f>INDEX(Data!$DT$91:$DT$190,MATCH($B698,Data!$A$91:$A$190,0))</f>
        <v>Irmgard Derschmidt</v>
      </c>
      <c r="L698" s="78" t="str">
        <f t="shared" ca="1" si="48"/>
        <v>Best women took only 0 throws</v>
      </c>
      <c r="M698" s="78" t="s">
        <v>14</v>
      </c>
      <c r="N698" s="78" t="s">
        <v>249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368</v>
      </c>
      <c r="B699" s="294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0</v>
      </c>
      <c r="K699" s="78" t="str">
        <f>INDEX(Data!$DT$91:$DT$190,MATCH($B699,Data!$A$91:$A$190,0))</f>
        <v>Irmgard Derschmidt</v>
      </c>
      <c r="L699" s="78" t="str">
        <f t="shared" ca="1" si="48"/>
        <v>Best women took only 0 throws</v>
      </c>
      <c r="M699" s="78" t="s">
        <v>14</v>
      </c>
      <c r="N699" s="78" t="s">
        <v>249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368</v>
      </c>
      <c r="B700" s="294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0</v>
      </c>
      <c r="K700" s="78" t="str">
        <f>INDEX(Data!$DT$91:$DT$190,MATCH($B700,Data!$A$91:$A$190,0))</f>
        <v>Irmgard Derschmidt</v>
      </c>
      <c r="L700" s="78" t="str">
        <f t="shared" ca="1" si="48"/>
        <v>Best women took only 0 throws</v>
      </c>
      <c r="M700" s="78" t="s">
        <v>14</v>
      </c>
      <c r="N700" s="78" t="s">
        <v>249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368</v>
      </c>
      <c r="B701" s="294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0</v>
      </c>
      <c r="K701" s="78" t="str">
        <f>INDEX(Data!$DT$91:$DT$190,MATCH($B701,Data!$A$91:$A$190,0))</f>
        <v>Irmgard Derschmidt</v>
      </c>
      <c r="L701" s="78" t="str">
        <f t="shared" ca="1" si="48"/>
        <v>Best women took only 0 throws</v>
      </c>
      <c r="M701" s="78" t="s">
        <v>14</v>
      </c>
      <c r="N701" s="78" t="s">
        <v>249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368</v>
      </c>
      <c r="B702" s="294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0</v>
      </c>
      <c r="K702" s="78" t="str">
        <f>INDEX(Data!$DT$91:$DT$190,MATCH($B702,Data!$A$91:$A$190,0))</f>
        <v>Irmgard Derschmidt</v>
      </c>
      <c r="L702" s="78" t="str">
        <f t="shared" ca="1" si="48"/>
        <v>Best women took only 0 throws</v>
      </c>
      <c r="M702" s="78" t="s">
        <v>14</v>
      </c>
      <c r="N702" s="78" t="s">
        <v>249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368</v>
      </c>
      <c r="B703" s="294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0</v>
      </c>
      <c r="K703" s="78" t="str">
        <f>INDEX(Data!$DT$91:$DT$190,MATCH($B703,Data!$A$91:$A$190,0))</f>
        <v>Irmgard Derschmidt</v>
      </c>
      <c r="L703" s="78" t="str">
        <f t="shared" ca="1" si="48"/>
        <v>Best women took only 0 throws</v>
      </c>
      <c r="M703" s="78" t="s">
        <v>14</v>
      </c>
      <c r="N703" s="78" t="s">
        <v>249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368</v>
      </c>
      <c r="B704" s="294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0</v>
      </c>
      <c r="K704" s="78" t="str">
        <f>INDEX(Data!$DT$91:$DT$190,MATCH($B704,Data!$A$91:$A$190,0))</f>
        <v>Irmgard Derschmidt</v>
      </c>
      <c r="L704" s="78" t="str">
        <f t="shared" ca="1" si="48"/>
        <v>Best women took only 0 throws</v>
      </c>
      <c r="M704" s="78" t="s">
        <v>14</v>
      </c>
      <c r="N704" s="78" t="s">
        <v>249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368</v>
      </c>
      <c r="B705" s="294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4</v>
      </c>
      <c r="E705" s="78">
        <f>COUNTIF(Data!$DY$90:$IB$90,Specials!C705)</f>
        <v>2</v>
      </c>
      <c r="F705" s="78">
        <f ca="1">OFFSET(Data!$CS$91,MATCH("W1",Data!$A$91:$A$190,0)-1,MATCH(C705,Data!$CS$90:$DS$90,0)-1)</f>
        <v>8</v>
      </c>
      <c r="G705" s="78">
        <f ca="1">OFFSET(Data!$CS$91,MATCH($B705,Data!$A$91:$A$190,0)-1,MATCH(C705,Data!$CS$90:$DS$90,0)-1)</f>
        <v>8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4</v>
      </c>
      <c r="K705" s="78" t="str">
        <f>INDEX(Data!$DT$91:$DT$190,MATCH($B705,Data!$A$91:$A$190,0))</f>
        <v>Sona Švecová</v>
      </c>
      <c r="L705" s="78" t="str">
        <f t="shared" ca="1" si="48"/>
        <v>Best women took only 8 throws</v>
      </c>
      <c r="M705" s="78" t="s">
        <v>14</v>
      </c>
      <c r="N705" s="78" t="s">
        <v>249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368</v>
      </c>
      <c r="B706" s="294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4</v>
      </c>
      <c r="E706" s="78">
        <f>COUNTIF(Data!$DY$90:$IB$90,Specials!C706)</f>
        <v>2</v>
      </c>
      <c r="F706" s="78">
        <f ca="1">OFFSET(Data!$CS$91,MATCH("W1",Data!$A$91:$A$190,0)-1,MATCH(C706,Data!$CS$90:$DS$90,0)-1)</f>
        <v>8</v>
      </c>
      <c r="G706" s="78">
        <f ca="1">OFFSET(Data!$CS$91,MATCH($B706,Data!$A$91:$A$190,0)-1,MATCH(C706,Data!$CS$90:$DS$90,0)-1)</f>
        <v>8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4</v>
      </c>
      <c r="K706" s="78" t="str">
        <f>INDEX(Data!$DT$91:$DT$190,MATCH($B706,Data!$A$91:$A$190,0))</f>
        <v>Sona Švecová</v>
      </c>
      <c r="L706" s="78" t="str">
        <f t="shared" ca="1" si="48"/>
        <v>Best women took only 8 throws</v>
      </c>
      <c r="M706" s="78" t="s">
        <v>14</v>
      </c>
      <c r="N706" s="78" t="s">
        <v>249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368</v>
      </c>
      <c r="B707" s="294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4</v>
      </c>
      <c r="E707" s="78">
        <f>COUNTIF(Data!$DY$90:$IB$90,Specials!C707)</f>
        <v>2</v>
      </c>
      <c r="F707" s="78">
        <f ca="1">OFFSET(Data!$CS$91,MATCH("W1",Data!$A$91:$A$190,0)-1,MATCH(C707,Data!$CS$90:$DS$90,0)-1)</f>
        <v>10</v>
      </c>
      <c r="G707" s="78">
        <f ca="1">OFFSET(Data!$CS$91,MATCH($B707,Data!$A$91:$A$190,0)-1,MATCH(C707,Data!$CS$90:$DS$90,0)-1)</f>
        <v>10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4</v>
      </c>
      <c r="K707" s="78" t="str">
        <f>INDEX(Data!$DT$91:$DT$190,MATCH($B707,Data!$A$91:$A$190,0))</f>
        <v>Sona Švecová</v>
      </c>
      <c r="L707" s="78" t="str">
        <f t="shared" ca="1" si="48"/>
        <v>Best women took only 10 throws</v>
      </c>
      <c r="M707" s="78" t="s">
        <v>14</v>
      </c>
      <c r="N707" s="78" t="s">
        <v>249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368</v>
      </c>
      <c r="B708" s="294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2</v>
      </c>
      <c r="F708" s="78">
        <f ca="1">OFFSET(Data!$CS$91,MATCH("W1",Data!$A$91:$A$190,0)-1,MATCH(C708,Data!$CS$90:$DS$90,0)-1)</f>
        <v>7</v>
      </c>
      <c r="G708" s="78">
        <f ca="1">OFFSET(Data!$CS$91,MATCH($B708,Data!$A$91:$A$190,0)-1,MATCH(C708,Data!$CS$90:$DS$90,0)-1)</f>
        <v>7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4</v>
      </c>
      <c r="K708" s="78" t="str">
        <f>INDEX(Data!$DT$91:$DT$190,MATCH($B708,Data!$A$91:$A$190,0))</f>
        <v>Sona Švecová</v>
      </c>
      <c r="L708" s="78" t="str">
        <f t="shared" ca="1" si="48"/>
        <v>Best women took only 7 throws</v>
      </c>
      <c r="M708" s="78" t="s">
        <v>14</v>
      </c>
      <c r="N708" s="78" t="s">
        <v>249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368</v>
      </c>
      <c r="B709" s="294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3</v>
      </c>
      <c r="E709" s="78">
        <f>COUNTIF(Data!$DY$90:$IB$90,Specials!C709)</f>
        <v>2</v>
      </c>
      <c r="F709" s="78">
        <f ca="1">OFFSET(Data!$CS$91,MATCH("W1",Data!$A$91:$A$190,0)-1,MATCH(C709,Data!$CS$90:$DS$90,0)-1)</f>
        <v>9</v>
      </c>
      <c r="G709" s="78">
        <f ca="1">OFFSET(Data!$CS$91,MATCH($B709,Data!$A$91:$A$190,0)-1,MATCH(C709,Data!$CS$90:$DS$90,0)-1)</f>
        <v>8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4</v>
      </c>
      <c r="K709" s="78" t="str">
        <f>INDEX(Data!$DT$91:$DT$190,MATCH($B709,Data!$A$91:$A$190,0))</f>
        <v>Sona Švecová</v>
      </c>
      <c r="L709" s="78" t="str">
        <f t="shared" ca="1" si="48"/>
        <v>Best women took only 9 throws</v>
      </c>
      <c r="M709" s="78" t="s">
        <v>14</v>
      </c>
      <c r="N709" s="78" t="s">
        <v>249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368</v>
      </c>
      <c r="B710" s="294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5</v>
      </c>
      <c r="E710" s="78">
        <f>COUNTIF(Data!$DY$90:$IB$90,Specials!C710)</f>
        <v>2</v>
      </c>
      <c r="F710" s="78">
        <f ca="1">OFFSET(Data!$CS$91,MATCH("W1",Data!$A$91:$A$190,0)-1,MATCH(C710,Data!$CS$90:$DS$90,0)-1)</f>
        <v>12</v>
      </c>
      <c r="G710" s="78">
        <f ca="1">OFFSET(Data!$CS$91,MATCH($B710,Data!$A$91:$A$190,0)-1,MATCH(C710,Data!$CS$90:$DS$90,0)-1)</f>
        <v>15</v>
      </c>
      <c r="H710" s="78">
        <f t="shared" ca="1" si="47"/>
        <v>1</v>
      </c>
      <c r="I710" s="78">
        <f t="array" ref="I710">SUM(IF(Data!$A$91:$A$190=$B710,Data!$J$91:$M$190))-SUM(IF(Data!$A$91:$A$190="W1",Data!$J$91:$M$190))</f>
        <v>4</v>
      </c>
      <c r="K710" s="78" t="str">
        <f>INDEX(Data!$DT$91:$DT$190,MATCH($B710,Data!$A$91:$A$190,0))</f>
        <v>Sona Švecová</v>
      </c>
      <c r="L710" s="78" t="str">
        <f t="shared" ca="1" si="48"/>
        <v>Best women took only 12 throws</v>
      </c>
      <c r="M710" s="78" t="s">
        <v>14</v>
      </c>
      <c r="N710" s="78" t="s">
        <v>249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>On hole 6 (par 5) Sona Švecová took 15 throws in total (2 rounds)</v>
      </c>
    </row>
    <row r="711" spans="1:16" s="78" customFormat="1" hidden="1" x14ac:dyDescent="0.25">
      <c r="A711" s="78" t="s">
        <v>368</v>
      </c>
      <c r="B711" s="294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3</v>
      </c>
      <c r="F711" s="78">
        <f ca="1">OFFSET(Data!$CS$91,MATCH("W1",Data!$A$91:$A$190,0)-1,MATCH(C711,Data!$CS$90:$DS$90,0)-1)</f>
        <v>11</v>
      </c>
      <c r="G711" s="78">
        <f ca="1">OFFSET(Data!$CS$91,MATCH($B711,Data!$A$91:$A$190,0)-1,MATCH(C711,Data!$CS$90:$DS$90,0)-1)</f>
        <v>8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4</v>
      </c>
      <c r="K711" s="78" t="str">
        <f>INDEX(Data!$DT$91:$DT$190,MATCH($B711,Data!$A$91:$A$190,0))</f>
        <v>Sona Švecová</v>
      </c>
      <c r="L711" s="78" t="str">
        <f t="shared" ca="1" si="48"/>
        <v>Best women took only 11 throws</v>
      </c>
      <c r="M711" s="78" t="s">
        <v>14</v>
      </c>
      <c r="N711" s="78" t="s">
        <v>249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368</v>
      </c>
      <c r="B712" s="294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2</v>
      </c>
      <c r="F712" s="78">
        <f ca="1">OFFSET(Data!$CS$91,MATCH("W1",Data!$A$91:$A$190,0)-1,MATCH(C712,Data!$CS$90:$DS$90,0)-1)</f>
        <v>6</v>
      </c>
      <c r="G712" s="78">
        <f ca="1">OFFSET(Data!$CS$91,MATCH($B712,Data!$A$91:$A$190,0)-1,MATCH(C712,Data!$CS$90:$DS$90,0)-1)</f>
        <v>5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4</v>
      </c>
      <c r="K712" s="78" t="str">
        <f>INDEX(Data!$DT$91:$DT$190,MATCH($B712,Data!$A$91:$A$190,0))</f>
        <v>Sona Švecová</v>
      </c>
      <c r="L712" s="78" t="str">
        <f t="shared" ca="1" si="48"/>
        <v>Best women took only 6 throws</v>
      </c>
      <c r="M712" s="78" t="s">
        <v>14</v>
      </c>
      <c r="N712" s="78" t="s">
        <v>249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368</v>
      </c>
      <c r="B713" s="294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2</v>
      </c>
      <c r="F713" s="78">
        <f ca="1">OFFSET(Data!$CS$91,MATCH("W1",Data!$A$91:$A$190,0)-1,MATCH(C713,Data!$CS$90:$DS$90,0)-1)</f>
        <v>12</v>
      </c>
      <c r="G713" s="78">
        <f ca="1">OFFSET(Data!$CS$91,MATCH($B713,Data!$A$91:$A$190,0)-1,MATCH(C713,Data!$CS$90:$DS$90,0)-1)</f>
        <v>8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4</v>
      </c>
      <c r="K713" s="78" t="str">
        <f>INDEX(Data!$DT$91:$DT$190,MATCH($B713,Data!$A$91:$A$190,0))</f>
        <v>Sona Švecová</v>
      </c>
      <c r="L713" s="78" t="str">
        <f t="shared" ca="1" si="48"/>
        <v>Best women took only 12 throws</v>
      </c>
      <c r="M713" s="78" t="s">
        <v>14</v>
      </c>
      <c r="N713" s="78" t="s">
        <v>249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368</v>
      </c>
      <c r="B714" s="294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2</v>
      </c>
      <c r="F714" s="78">
        <f ca="1">OFFSET(Data!$CS$91,MATCH("W1",Data!$A$91:$A$190,0)-1,MATCH(C714,Data!$CS$90:$DS$90,0)-1)</f>
        <v>8</v>
      </c>
      <c r="G714" s="78">
        <f ca="1">OFFSET(Data!$CS$91,MATCH($B714,Data!$A$91:$A$190,0)-1,MATCH(C714,Data!$CS$90:$DS$90,0)-1)</f>
        <v>8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4</v>
      </c>
      <c r="K714" s="78" t="str">
        <f>INDEX(Data!$DT$91:$DT$190,MATCH($B714,Data!$A$91:$A$190,0))</f>
        <v>Sona Švecová</v>
      </c>
      <c r="L714" s="78" t="str">
        <f t="shared" ca="1" si="48"/>
        <v>Best women took only 8 throws</v>
      </c>
      <c r="M714" s="78" t="s">
        <v>14</v>
      </c>
      <c r="N714" s="78" t="s">
        <v>249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368</v>
      </c>
      <c r="B715" s="294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12</v>
      </c>
      <c r="D715" s="78">
        <f>INDEX(Parameter!$B$10:$AB$10,MATCH(C715,Parameter!$B$9:$AB$9,0))</f>
        <v>3</v>
      </c>
      <c r="E715" s="78">
        <f>COUNTIF(Data!$DY$90:$IB$90,Specials!C715)</f>
        <v>2</v>
      </c>
      <c r="F715" s="78">
        <f ca="1">OFFSET(Data!$CS$91,MATCH("W1",Data!$A$91:$A$190,0)-1,MATCH(C715,Data!$CS$90:$DS$90,0)-1)</f>
        <v>6</v>
      </c>
      <c r="G715" s="78">
        <f ca="1">OFFSET(Data!$CS$91,MATCH($B715,Data!$A$91:$A$190,0)-1,MATCH(C715,Data!$CS$90:$DS$90,0)-1)</f>
        <v>6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4</v>
      </c>
      <c r="K715" s="78" t="str">
        <f>INDEX(Data!$DT$91:$DT$190,MATCH($B715,Data!$A$91:$A$190,0))</f>
        <v>Sona Švecová</v>
      </c>
      <c r="L715" s="78" t="str">
        <f t="shared" ca="1" si="48"/>
        <v>Best women took only 6 throws</v>
      </c>
      <c r="M715" s="78" t="s">
        <v>14</v>
      </c>
      <c r="N715" s="78" t="s">
        <v>249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368</v>
      </c>
      <c r="B716" s="294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14</v>
      </c>
      <c r="D716" s="78">
        <f>INDEX(Parameter!$B$10:$AB$10,MATCH(C716,Parameter!$B$9:$AB$9,0))</f>
        <v>4</v>
      </c>
      <c r="E716" s="78">
        <f>COUNTIF(Data!$DY$90:$IB$90,Specials!C716)</f>
        <v>2</v>
      </c>
      <c r="F716" s="78">
        <f ca="1">OFFSET(Data!$CS$91,MATCH("W1",Data!$A$91:$A$190,0)-1,MATCH(C716,Data!$CS$90:$DS$90,0)-1)</f>
        <v>11</v>
      </c>
      <c r="G716" s="78">
        <f ca="1">OFFSET(Data!$CS$91,MATCH($B716,Data!$A$91:$A$190,0)-1,MATCH(C716,Data!$CS$90:$DS$90,0)-1)</f>
        <v>11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4</v>
      </c>
      <c r="K716" s="78" t="str">
        <f>INDEX(Data!$DT$91:$DT$190,MATCH($B716,Data!$A$91:$A$190,0))</f>
        <v>Sona Švecová</v>
      </c>
      <c r="L716" s="78" t="str">
        <f t="shared" ca="1" si="48"/>
        <v>Best women took only 11 throws</v>
      </c>
      <c r="M716" s="78" t="s">
        <v>14</v>
      </c>
      <c r="N716" s="78" t="s">
        <v>249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368</v>
      </c>
      <c r="B717" s="294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15</v>
      </c>
      <c r="D717" s="78">
        <f>INDEX(Parameter!$B$10:$AB$10,MATCH(C717,Parameter!$B$9:$AB$9,0))</f>
        <v>4</v>
      </c>
      <c r="E717" s="78">
        <f>COUNTIF(Data!$DY$90:$IB$90,Specials!C717)</f>
        <v>2</v>
      </c>
      <c r="F717" s="78">
        <f ca="1">OFFSET(Data!$CS$91,MATCH("W1",Data!$A$91:$A$190,0)-1,MATCH(C717,Data!$CS$90:$DS$90,0)-1)</f>
        <v>8</v>
      </c>
      <c r="G717" s="78">
        <f ca="1">OFFSET(Data!$CS$91,MATCH($B717,Data!$A$91:$A$190,0)-1,MATCH(C717,Data!$CS$90:$DS$90,0)-1)</f>
        <v>7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4</v>
      </c>
      <c r="K717" s="78" t="str">
        <f>INDEX(Data!$DT$91:$DT$190,MATCH($B717,Data!$A$91:$A$190,0))</f>
        <v>Sona Švecová</v>
      </c>
      <c r="L717" s="78" t="str">
        <f t="shared" ca="1" si="48"/>
        <v>Best women took only 8 throws</v>
      </c>
      <c r="M717" s="78" t="s">
        <v>14</v>
      </c>
      <c r="N717" s="78" t="s">
        <v>249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368</v>
      </c>
      <c r="B718" s="294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16</v>
      </c>
      <c r="D718" s="78">
        <f>INDEX(Parameter!$B$10:$AB$10,MATCH(C718,Parameter!$B$9:$AB$9,0))</f>
        <v>3</v>
      </c>
      <c r="E718" s="78">
        <f>COUNTIF(Data!$DY$90:$IB$90,Specials!C718)</f>
        <v>2</v>
      </c>
      <c r="F718" s="78">
        <f ca="1">OFFSET(Data!$CS$91,MATCH("W1",Data!$A$91:$A$190,0)-1,MATCH(C718,Data!$CS$90:$DS$90,0)-1)</f>
        <v>5</v>
      </c>
      <c r="G718" s="78">
        <f ca="1">OFFSET(Data!$CS$91,MATCH($B718,Data!$A$91:$A$190,0)-1,MATCH(C718,Data!$CS$90:$DS$90,0)-1)</f>
        <v>7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4</v>
      </c>
      <c r="K718" s="78" t="str">
        <f>INDEX(Data!$DT$91:$DT$190,MATCH($B718,Data!$A$91:$A$190,0))</f>
        <v>Sona Švecová</v>
      </c>
      <c r="L718" s="78" t="str">
        <f t="shared" ca="1" si="48"/>
        <v>Best women took only 5 throws</v>
      </c>
      <c r="M718" s="78" t="s">
        <v>14</v>
      </c>
      <c r="N718" s="78" t="s">
        <v>249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368</v>
      </c>
      <c r="B719" s="294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17</v>
      </c>
      <c r="D719" s="78">
        <f>INDEX(Parameter!$B$10:$AB$10,MATCH(C719,Parameter!$B$9:$AB$9,0))</f>
        <v>3</v>
      </c>
      <c r="E719" s="78">
        <f>COUNTIF(Data!$DY$90:$IB$90,Specials!C719)</f>
        <v>2</v>
      </c>
      <c r="F719" s="78">
        <f ca="1">OFFSET(Data!$CS$91,MATCH("W1",Data!$A$91:$A$190,0)-1,MATCH(C719,Data!$CS$90:$DS$90,0)-1)</f>
        <v>6</v>
      </c>
      <c r="G719" s="78">
        <f ca="1">OFFSET(Data!$CS$91,MATCH($B719,Data!$A$91:$A$190,0)-1,MATCH(C719,Data!$CS$90:$DS$90,0)-1)</f>
        <v>9</v>
      </c>
      <c r="H719" s="78">
        <f t="shared" ca="1" si="47"/>
        <v>1</v>
      </c>
      <c r="I719" s="78">
        <f t="array" ref="I719">SUM(IF(Data!$A$91:$A$190=$B719,Data!$J$91:$M$190))-SUM(IF(Data!$A$91:$A$190="W1",Data!$J$91:$M$190))</f>
        <v>4</v>
      </c>
      <c r="K719" s="78" t="str">
        <f>INDEX(Data!$DT$91:$DT$190,MATCH($B719,Data!$A$91:$A$190,0))</f>
        <v>Sona Švecová</v>
      </c>
      <c r="L719" s="78" t="str">
        <f t="shared" ca="1" si="48"/>
        <v>Best women took only 6 throws</v>
      </c>
      <c r="M719" s="78" t="s">
        <v>14</v>
      </c>
      <c r="N719" s="78" t="s">
        <v>249</v>
      </c>
      <c r="O719" s="78" t="e">
        <f t="shared" ca="1" si="49"/>
        <v>#VALUE!</v>
      </c>
      <c r="P719" s="78" t="str">
        <f t="shared" ca="1" si="50"/>
        <v>On hole 17 (par 3) Sona Švecová took 9 throws in total (2 rounds)</v>
      </c>
    </row>
    <row r="720" spans="1:16" s="78" customFormat="1" hidden="1" x14ac:dyDescent="0.25">
      <c r="A720" s="78" t="s">
        <v>368</v>
      </c>
      <c r="B720" s="294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18</v>
      </c>
      <c r="D720" s="78">
        <f>INDEX(Parameter!$B$10:$AB$10,MATCH(C720,Parameter!$B$9:$AB$9,0))</f>
        <v>3</v>
      </c>
      <c r="E720" s="78">
        <f>COUNTIF(Data!$DY$90:$IB$90,Specials!C720)</f>
        <v>2</v>
      </c>
      <c r="F720" s="78">
        <f ca="1">OFFSET(Data!$CS$91,MATCH("W1",Data!$A$91:$A$190,0)-1,MATCH(C720,Data!$CS$90:$DS$90,0)-1)</f>
        <v>6</v>
      </c>
      <c r="G720" s="78">
        <f ca="1">OFFSET(Data!$CS$91,MATCH($B720,Data!$A$91:$A$190,0)-1,MATCH(C720,Data!$CS$90:$DS$90,0)-1)</f>
        <v>8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4</v>
      </c>
      <c r="K720" s="78" t="str">
        <f>INDEX(Data!$DT$91:$DT$190,MATCH($B720,Data!$A$91:$A$190,0))</f>
        <v>Sona Švecová</v>
      </c>
      <c r="L720" s="78" t="str">
        <f t="shared" ca="1" si="48"/>
        <v>Best women took only 6 throws</v>
      </c>
      <c r="M720" s="78" t="s">
        <v>14</v>
      </c>
      <c r="N720" s="78" t="s">
        <v>249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368</v>
      </c>
      <c r="B721" s="294" t="str">
        <f>IF(OR(AND(Parameter!$B$4=0,Parameter!$D$5="n"),INDEX(Data!$M$91:$M$190,MATCH("W3",Data!$A$91:$A$190,0))&gt;0,INDEX(Data!$N$91:$N$190,MATCH("W3",Data!$A$91:$A$190,0))&gt;0),"W3","W1")</f>
        <v>W3</v>
      </c>
      <c r="C721" s="78" t="str">
        <f>INDEX(Parameter!$9:$9,,MATCH(17,Parameter!$8:$8,0))</f>
        <v>17a</v>
      </c>
      <c r="D721" s="78" t="str">
        <f>INDEX(Parameter!$B$10:$AB$10,MATCH(C721,Parameter!$B$9:$AB$9,0))</f>
        <v>no</v>
      </c>
      <c r="E721" s="78">
        <f>COUNTIF(Data!$DY$90:$IB$90,Specials!C721)</f>
        <v>0</v>
      </c>
      <c r="F721" s="78">
        <f ca="1">OFFSET(Data!$CS$91,MATCH("W1",Data!$A$91:$A$190,0)-1,MATCH(C721,Data!$CS$90:$DS$90,0)-1)</f>
        <v>0</v>
      </c>
      <c r="G721" s="78">
        <f ca="1">OFFSET(Data!$CS$91,MATCH($B721,Data!$A$91:$A$190,0)-1,MATCH(C721,Data!$CS$90:$DS$90,0)-1)</f>
        <v>0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4</v>
      </c>
      <c r="K721" s="78" t="str">
        <f>INDEX(Data!$DT$91:$DT$190,MATCH($B721,Data!$A$91:$A$190,0))</f>
        <v>Sona Švecová</v>
      </c>
      <c r="L721" s="78" t="str">
        <f t="shared" ca="1" si="48"/>
        <v>Best women took only 0 throws</v>
      </c>
      <c r="M721" s="78" t="s">
        <v>14</v>
      </c>
      <c r="N721" s="78" t="s">
        <v>249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368</v>
      </c>
      <c r="B722" s="294" t="str">
        <f>IF(OR(AND(Parameter!$B$4=0,Parameter!$D$5="n"),INDEX(Data!$M$91:$M$190,MATCH("W3",Data!$A$91:$A$190,0))&gt;0,INDEX(Data!$N$91:$N$190,MATCH("W3",Data!$A$91:$A$190,0))&gt;0),"W3","W1")</f>
        <v>W3</v>
      </c>
      <c r="C722" s="78" t="str">
        <f>INDEX(Parameter!$9:$9,,MATCH(18,Parameter!$8:$8,0))</f>
        <v>18a</v>
      </c>
      <c r="D722" s="78" t="str">
        <f>INDEX(Parameter!$B$10:$AB$10,MATCH(C722,Parameter!$B$9:$AB$9,0))</f>
        <v>no</v>
      </c>
      <c r="E722" s="78">
        <f>COUNTIF(Data!$DY$90:$IB$90,Specials!C722)</f>
        <v>0</v>
      </c>
      <c r="F722" s="78">
        <f ca="1">OFFSET(Data!$CS$91,MATCH("W1",Data!$A$91:$A$190,0)-1,MATCH(C722,Data!$CS$90:$DS$90,0)-1)</f>
        <v>0</v>
      </c>
      <c r="G722" s="78">
        <f ca="1">OFFSET(Data!$CS$91,MATCH($B722,Data!$A$91:$A$190,0)-1,MATCH(C722,Data!$CS$90:$DS$90,0)-1)</f>
        <v>0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4</v>
      </c>
      <c r="K722" s="78" t="str">
        <f>INDEX(Data!$DT$91:$DT$190,MATCH($B722,Data!$A$91:$A$190,0))</f>
        <v>Sona Švecová</v>
      </c>
      <c r="L722" s="78" t="str">
        <f t="shared" ca="1" si="48"/>
        <v>Best women took only 0 throws</v>
      </c>
      <c r="M722" s="78" t="s">
        <v>14</v>
      </c>
      <c r="N722" s="78" t="s">
        <v>249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368</v>
      </c>
      <c r="B723" s="294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 t="str">
        <f>INDEX(Parameter!$B$10:$AB$10,MATCH(C723,Parameter!$B$9:$AB$9,0))</f>
        <v>no</v>
      </c>
      <c r="E723" s="78">
        <f>COUNTIF(Data!$DY$90:$IB$90,Specials!C723)</f>
        <v>0</v>
      </c>
      <c r="F723" s="78">
        <f ca="1">OFFSET(Data!$CS$91,MATCH("W1",Data!$A$91:$A$190,0)-1,MATCH(C723,Data!$CS$90:$DS$90,0)-1)</f>
        <v>0</v>
      </c>
      <c r="G723" s="78">
        <f ca="1">OFFSET(Data!$CS$91,MATCH($B723,Data!$A$91:$A$190,0)-1,MATCH(C723,Data!$CS$90:$DS$90,0)-1)</f>
        <v>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4</v>
      </c>
      <c r="K723" s="78" t="str">
        <f>INDEX(Data!$DT$91:$DT$190,MATCH($B723,Data!$A$91:$A$190,0))</f>
        <v>Sona Švecová</v>
      </c>
      <c r="L723" s="78" t="str">
        <f t="shared" ca="1" si="48"/>
        <v>Best women took only 0 throws</v>
      </c>
      <c r="M723" s="78" t="s">
        <v>14</v>
      </c>
      <c r="N723" s="78" t="s">
        <v>249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368</v>
      </c>
      <c r="B724" s="294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4</v>
      </c>
      <c r="K724" s="78" t="str">
        <f>INDEX(Data!$DT$91:$DT$190,MATCH($B724,Data!$A$91:$A$190,0))</f>
        <v>Sona Švecová</v>
      </c>
      <c r="L724" s="78" t="str">
        <f t="shared" ca="1" si="48"/>
        <v>Best women took only 0 throws</v>
      </c>
      <c r="M724" s="78" t="s">
        <v>14</v>
      </c>
      <c r="N724" s="78" t="s">
        <v>249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368</v>
      </c>
      <c r="B725" s="294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4</v>
      </c>
      <c r="K725" s="78" t="str">
        <f>INDEX(Data!$DT$91:$DT$190,MATCH($B725,Data!$A$91:$A$190,0))</f>
        <v>Sona Švecová</v>
      </c>
      <c r="L725" s="78" t="str">
        <f t="shared" ca="1" si="48"/>
        <v>Best women took only 0 throws</v>
      </c>
      <c r="M725" s="78" t="s">
        <v>14</v>
      </c>
      <c r="N725" s="78" t="s">
        <v>249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368</v>
      </c>
      <c r="B726" s="294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4</v>
      </c>
      <c r="K726" s="78" t="str">
        <f>INDEX(Data!$DT$91:$DT$190,MATCH($B726,Data!$A$91:$A$190,0))</f>
        <v>Sona Švecová</v>
      </c>
      <c r="L726" s="78" t="str">
        <f t="shared" ca="1" si="48"/>
        <v>Best women took only 0 throws</v>
      </c>
      <c r="M726" s="78" t="s">
        <v>14</v>
      </c>
      <c r="N726" s="78" t="s">
        <v>249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368</v>
      </c>
      <c r="B727" s="294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4</v>
      </c>
      <c r="K727" s="78" t="str">
        <f>INDEX(Data!$DT$91:$DT$190,MATCH($B727,Data!$A$91:$A$190,0))</f>
        <v>Sona Švecová</v>
      </c>
      <c r="L727" s="78" t="str">
        <f t="shared" ca="1" si="48"/>
        <v>Best women took only 0 throws</v>
      </c>
      <c r="M727" s="78" t="s">
        <v>14</v>
      </c>
      <c r="N727" s="78" t="s">
        <v>249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368</v>
      </c>
      <c r="B728" s="294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4</v>
      </c>
      <c r="K728" s="78" t="str">
        <f>INDEX(Data!$DT$91:$DT$190,MATCH($B728,Data!$A$91:$A$190,0))</f>
        <v>Sona Švecová</v>
      </c>
      <c r="L728" s="78" t="str">
        <f t="shared" ca="1" si="48"/>
        <v>Best women took only 0 throws</v>
      </c>
      <c r="M728" s="78" t="s">
        <v>14</v>
      </c>
      <c r="N728" s="78" t="s">
        <v>249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368</v>
      </c>
      <c r="B729" s="294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4</v>
      </c>
      <c r="K729" s="78" t="str">
        <f>INDEX(Data!$DT$91:$DT$190,MATCH($B729,Data!$A$91:$A$190,0))</f>
        <v>Sona Švecová</v>
      </c>
      <c r="L729" s="78" t="str">
        <f t="shared" ca="1" si="48"/>
        <v>Best women took only 0 throws</v>
      </c>
      <c r="M729" s="78" t="s">
        <v>14</v>
      </c>
      <c r="N729" s="78" t="s">
        <v>249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368</v>
      </c>
      <c r="B730" s="294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4</v>
      </c>
      <c r="K730" s="78" t="str">
        <f>INDEX(Data!$DT$91:$DT$190,MATCH($B730,Data!$A$91:$A$190,0))</f>
        <v>Sona Švecová</v>
      </c>
      <c r="L730" s="78" t="str">
        <f t="shared" ca="1" si="48"/>
        <v>Best women took only 0 throws</v>
      </c>
      <c r="M730" s="78" t="s">
        <v>14</v>
      </c>
      <c r="N730" s="78" t="s">
        <v>249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368</v>
      </c>
      <c r="B731" s="294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4</v>
      </c>
      <c r="K731" s="78" t="str">
        <f>INDEX(Data!$DT$91:$DT$190,MATCH($B731,Data!$A$91:$A$190,0))</f>
        <v>Sona Švecová</v>
      </c>
      <c r="L731" s="78" t="str">
        <f t="shared" ca="1" si="48"/>
        <v>Best women took only 0 throws</v>
      </c>
      <c r="M731" s="78" t="s">
        <v>14</v>
      </c>
      <c r="N731" s="78" t="s">
        <v>249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368</v>
      </c>
      <c r="B732" s="294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4</v>
      </c>
      <c r="E732" s="78">
        <f>COUNTIF(Data!$DY$90:$IB$90,Specials!C732)</f>
        <v>2</v>
      </c>
      <c r="F732" s="78">
        <f ca="1">OFFSET(Data!$CS$91,MATCH("W1",Data!$A$91:$A$190,0)-1,MATCH(C732,Data!$CS$90:$DS$90,0)-1)</f>
        <v>8</v>
      </c>
      <c r="G732" s="78">
        <f ca="1">OFFSET(Data!$CS$91,MATCH($B732,Data!$A$91:$A$190,0)-1,MATCH(C732,Data!$CS$90:$DS$90,0)-1)</f>
        <v>14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17</v>
      </c>
      <c r="K732" s="78" t="str">
        <f>INDEX(Data!$DT$91:$DT$190,MATCH($B732,Data!$A$91:$A$190,0))</f>
        <v>Veronika Tóth</v>
      </c>
      <c r="L732" s="78" t="str">
        <f t="shared" ca="1" si="48"/>
        <v>Best women took only 8 throws</v>
      </c>
      <c r="M732" s="78" t="s">
        <v>14</v>
      </c>
      <c r="N732" s="78" t="s">
        <v>249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368</v>
      </c>
      <c r="B733" s="294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4</v>
      </c>
      <c r="E733" s="78">
        <f>COUNTIF(Data!$DY$90:$IB$90,Specials!C733)</f>
        <v>2</v>
      </c>
      <c r="F733" s="78">
        <f ca="1">OFFSET(Data!$CS$91,MATCH("W1",Data!$A$91:$A$190,0)-1,MATCH(C733,Data!$CS$90:$DS$90,0)-1)</f>
        <v>8</v>
      </c>
      <c r="G733" s="78">
        <f ca="1">OFFSET(Data!$CS$91,MATCH($B733,Data!$A$91:$A$190,0)-1,MATCH(C733,Data!$CS$90:$DS$90,0)-1)</f>
        <v>10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17</v>
      </c>
      <c r="K733" s="78" t="str">
        <f>INDEX(Data!$DT$91:$DT$190,MATCH($B733,Data!$A$91:$A$190,0))</f>
        <v>Veronika Tóth</v>
      </c>
      <c r="L733" s="78" t="str">
        <f t="shared" ca="1" si="48"/>
        <v>Best women took only 8 throws</v>
      </c>
      <c r="M733" s="78" t="s">
        <v>14</v>
      </c>
      <c r="N733" s="78" t="s">
        <v>249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368</v>
      </c>
      <c r="B734" s="294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4</v>
      </c>
      <c r="E734" s="78">
        <f>COUNTIF(Data!$DY$90:$IB$90,Specials!C734)</f>
        <v>2</v>
      </c>
      <c r="F734" s="78">
        <f ca="1">OFFSET(Data!$CS$91,MATCH("W1",Data!$A$91:$A$190,0)-1,MATCH(C734,Data!$CS$90:$DS$90,0)-1)</f>
        <v>10</v>
      </c>
      <c r="G734" s="78">
        <f ca="1">OFFSET(Data!$CS$91,MATCH($B734,Data!$A$91:$A$190,0)-1,MATCH(C734,Data!$CS$90:$DS$90,0)-1)</f>
        <v>13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17</v>
      </c>
      <c r="K734" s="78" t="str">
        <f>INDEX(Data!$DT$91:$DT$190,MATCH($B734,Data!$A$91:$A$190,0))</f>
        <v>Veronika Tóth</v>
      </c>
      <c r="L734" s="78" t="str">
        <f t="shared" ca="1" si="48"/>
        <v>Best women took only 10 throws</v>
      </c>
      <c r="M734" s="78" t="s">
        <v>14</v>
      </c>
      <c r="N734" s="78" t="s">
        <v>249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368</v>
      </c>
      <c r="B735" s="294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2</v>
      </c>
      <c r="F735" s="78">
        <f ca="1">OFFSET(Data!$CS$91,MATCH("W1",Data!$A$91:$A$190,0)-1,MATCH(C735,Data!$CS$90:$DS$90,0)-1)</f>
        <v>7</v>
      </c>
      <c r="G735" s="78">
        <f ca="1">OFFSET(Data!$CS$91,MATCH($B735,Data!$A$91:$A$190,0)-1,MATCH(C735,Data!$CS$90:$DS$90,0)-1)</f>
        <v>7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17</v>
      </c>
      <c r="K735" s="78" t="str">
        <f>INDEX(Data!$DT$91:$DT$190,MATCH($B735,Data!$A$91:$A$190,0))</f>
        <v>Veronika Tóth</v>
      </c>
      <c r="L735" s="78" t="str">
        <f t="shared" ca="1" si="48"/>
        <v>Best women took only 7 throws</v>
      </c>
      <c r="M735" s="78" t="s">
        <v>14</v>
      </c>
      <c r="N735" s="78" t="s">
        <v>249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368</v>
      </c>
      <c r="B736" s="294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3</v>
      </c>
      <c r="E736" s="78">
        <f>COUNTIF(Data!$DY$90:$IB$90,Specials!C736)</f>
        <v>2</v>
      </c>
      <c r="F736" s="78">
        <f ca="1">OFFSET(Data!$CS$91,MATCH("W1",Data!$A$91:$A$190,0)-1,MATCH(C736,Data!$CS$90:$DS$90,0)-1)</f>
        <v>9</v>
      </c>
      <c r="G736" s="78">
        <f ca="1">OFFSET(Data!$CS$91,MATCH($B736,Data!$A$91:$A$190,0)-1,MATCH(C736,Data!$CS$90:$DS$90,0)-1)</f>
        <v>8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17</v>
      </c>
      <c r="K736" s="78" t="str">
        <f>INDEX(Data!$DT$91:$DT$190,MATCH($B736,Data!$A$91:$A$190,0))</f>
        <v>Veronika Tóth</v>
      </c>
      <c r="L736" s="78" t="str">
        <f t="shared" ca="1" si="48"/>
        <v>Best women took only 9 throws</v>
      </c>
      <c r="M736" s="78" t="s">
        <v>14</v>
      </c>
      <c r="N736" s="78" t="s">
        <v>249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368</v>
      </c>
      <c r="B737" s="294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5</v>
      </c>
      <c r="E737" s="78">
        <f>COUNTIF(Data!$DY$90:$IB$90,Specials!C737)</f>
        <v>2</v>
      </c>
      <c r="F737" s="78">
        <f ca="1">OFFSET(Data!$CS$91,MATCH("W1",Data!$A$91:$A$190,0)-1,MATCH(C737,Data!$CS$90:$DS$90,0)-1)</f>
        <v>12</v>
      </c>
      <c r="G737" s="78">
        <f ca="1">OFFSET(Data!$CS$91,MATCH($B737,Data!$A$91:$A$190,0)-1,MATCH(C737,Data!$CS$90:$DS$90,0)-1)</f>
        <v>13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17</v>
      </c>
      <c r="K737" s="78" t="str">
        <f>INDEX(Data!$DT$91:$DT$190,MATCH($B737,Data!$A$91:$A$190,0))</f>
        <v>Veronika Tóth</v>
      </c>
      <c r="L737" s="78" t="str">
        <f t="shared" ca="1" si="48"/>
        <v>Best women took only 12 throws</v>
      </c>
      <c r="M737" s="78" t="s">
        <v>14</v>
      </c>
      <c r="N737" s="78" t="s">
        <v>249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368</v>
      </c>
      <c r="B738" s="294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3</v>
      </c>
      <c r="F738" s="78">
        <f ca="1">OFFSET(Data!$CS$91,MATCH("W1",Data!$A$91:$A$190,0)-1,MATCH(C738,Data!$CS$90:$DS$90,0)-1)</f>
        <v>11</v>
      </c>
      <c r="G738" s="78">
        <f ca="1">OFFSET(Data!$CS$91,MATCH($B738,Data!$A$91:$A$190,0)-1,MATCH(C738,Data!$CS$90:$DS$90,0)-1)</f>
        <v>8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17</v>
      </c>
      <c r="K738" s="78" t="str">
        <f>INDEX(Data!$DT$91:$DT$190,MATCH($B738,Data!$A$91:$A$190,0))</f>
        <v>Veronika Tóth</v>
      </c>
      <c r="L738" s="78" t="str">
        <f t="shared" ca="1" si="48"/>
        <v>Best women took only 11 throws</v>
      </c>
      <c r="M738" s="78" t="s">
        <v>14</v>
      </c>
      <c r="N738" s="78" t="s">
        <v>249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368</v>
      </c>
      <c r="B739" s="294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2</v>
      </c>
      <c r="F739" s="78">
        <f ca="1">OFFSET(Data!$CS$91,MATCH("W1",Data!$A$91:$A$190,0)-1,MATCH(C739,Data!$CS$90:$DS$90,0)-1)</f>
        <v>6</v>
      </c>
      <c r="G739" s="78">
        <f ca="1">OFFSET(Data!$CS$91,MATCH($B739,Data!$A$91:$A$190,0)-1,MATCH(C739,Data!$CS$90:$DS$90,0)-1)</f>
        <v>6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17</v>
      </c>
      <c r="K739" s="78" t="str">
        <f>INDEX(Data!$DT$91:$DT$190,MATCH($B739,Data!$A$91:$A$190,0))</f>
        <v>Veronika Tóth</v>
      </c>
      <c r="L739" s="78" t="str">
        <f t="shared" ca="1" si="48"/>
        <v>Best women took only 6 throws</v>
      </c>
      <c r="M739" s="78" t="s">
        <v>14</v>
      </c>
      <c r="N739" s="78" t="s">
        <v>249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368</v>
      </c>
      <c r="B740" s="294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2</v>
      </c>
      <c r="F740" s="78">
        <f ca="1">OFFSET(Data!$CS$91,MATCH("W1",Data!$A$91:$A$190,0)-1,MATCH(C740,Data!$CS$90:$DS$90,0)-1)</f>
        <v>12</v>
      </c>
      <c r="G740" s="78">
        <f ca="1">OFFSET(Data!$CS$91,MATCH($B740,Data!$A$91:$A$190,0)-1,MATCH(C740,Data!$CS$90:$DS$90,0)-1)</f>
        <v>12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17</v>
      </c>
      <c r="K740" s="78" t="str">
        <f>INDEX(Data!$DT$91:$DT$190,MATCH($B740,Data!$A$91:$A$190,0))</f>
        <v>Veronika Tóth</v>
      </c>
      <c r="L740" s="78" t="str">
        <f t="shared" ca="1" si="48"/>
        <v>Best women took only 12 throws</v>
      </c>
      <c r="M740" s="78" t="s">
        <v>14</v>
      </c>
      <c r="N740" s="78" t="s">
        <v>249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368</v>
      </c>
      <c r="B741" s="294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2</v>
      </c>
      <c r="F741" s="78">
        <f ca="1">OFFSET(Data!$CS$91,MATCH("W1",Data!$A$91:$A$190,0)-1,MATCH(C741,Data!$CS$90:$DS$90,0)-1)</f>
        <v>8</v>
      </c>
      <c r="G741" s="78">
        <f ca="1">OFFSET(Data!$CS$91,MATCH($B741,Data!$A$91:$A$190,0)-1,MATCH(C741,Data!$CS$90:$DS$90,0)-1)</f>
        <v>7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17</v>
      </c>
      <c r="K741" s="78" t="str">
        <f>INDEX(Data!$DT$91:$DT$190,MATCH($B741,Data!$A$91:$A$190,0))</f>
        <v>Veronika Tóth</v>
      </c>
      <c r="L741" s="78" t="str">
        <f t="shared" ca="1" si="48"/>
        <v>Best women took only 8 throws</v>
      </c>
      <c r="M741" s="78" t="s">
        <v>14</v>
      </c>
      <c r="N741" s="78" t="s">
        <v>249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368</v>
      </c>
      <c r="B742" s="294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12</v>
      </c>
      <c r="D742" s="78">
        <f>INDEX(Parameter!$B$10:$AB$10,MATCH(C742,Parameter!$B$9:$AB$9,0))</f>
        <v>3</v>
      </c>
      <c r="E742" s="78">
        <f>COUNTIF(Data!$DY$90:$IB$90,Specials!C742)</f>
        <v>2</v>
      </c>
      <c r="F742" s="78">
        <f ca="1">OFFSET(Data!$CS$91,MATCH("W1",Data!$A$91:$A$190,0)-1,MATCH(C742,Data!$CS$90:$DS$90,0)-1)</f>
        <v>6</v>
      </c>
      <c r="G742" s="78">
        <f ca="1">OFFSET(Data!$CS$91,MATCH($B742,Data!$A$91:$A$190,0)-1,MATCH(C742,Data!$CS$90:$DS$90,0)-1)</f>
        <v>5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17</v>
      </c>
      <c r="K742" s="78" t="str">
        <f>INDEX(Data!$DT$91:$DT$190,MATCH($B742,Data!$A$91:$A$190,0))</f>
        <v>Veronika Tóth</v>
      </c>
      <c r="L742" s="78" t="str">
        <f t="shared" ca="1" si="48"/>
        <v>Best women took only 6 throws</v>
      </c>
      <c r="M742" s="78" t="s">
        <v>14</v>
      </c>
      <c r="N742" s="78" t="s">
        <v>249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368</v>
      </c>
      <c r="B743" s="294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14</v>
      </c>
      <c r="D743" s="78">
        <f>INDEX(Parameter!$B$10:$AB$10,MATCH(C743,Parameter!$B$9:$AB$9,0))</f>
        <v>4</v>
      </c>
      <c r="E743" s="78">
        <f>COUNTIF(Data!$DY$90:$IB$90,Specials!C743)</f>
        <v>2</v>
      </c>
      <c r="F743" s="78">
        <f ca="1">OFFSET(Data!$CS$91,MATCH("W1",Data!$A$91:$A$190,0)-1,MATCH(C743,Data!$CS$90:$DS$90,0)-1)</f>
        <v>11</v>
      </c>
      <c r="G743" s="78">
        <f ca="1">OFFSET(Data!$CS$91,MATCH($B743,Data!$A$91:$A$190,0)-1,MATCH(C743,Data!$CS$90:$DS$90,0)-1)</f>
        <v>10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17</v>
      </c>
      <c r="K743" s="78" t="str">
        <f>INDEX(Data!$DT$91:$DT$190,MATCH($B743,Data!$A$91:$A$190,0))</f>
        <v>Veronika Tóth</v>
      </c>
      <c r="L743" s="78" t="str">
        <f t="shared" ref="L743:L785" ca="1" si="53">"Best women took only "&amp;F743&amp;" throws"</f>
        <v>Best women took only 11 throws</v>
      </c>
      <c r="M743" s="78" t="s">
        <v>14</v>
      </c>
      <c r="N743" s="78" t="s">
        <v>249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368</v>
      </c>
      <c r="B744" s="294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15</v>
      </c>
      <c r="D744" s="78">
        <f>INDEX(Parameter!$B$10:$AB$10,MATCH(C744,Parameter!$B$9:$AB$9,0))</f>
        <v>4</v>
      </c>
      <c r="E744" s="78">
        <f>COUNTIF(Data!$DY$90:$IB$90,Specials!C744)</f>
        <v>2</v>
      </c>
      <c r="F744" s="78">
        <f ca="1">OFFSET(Data!$CS$91,MATCH("W1",Data!$A$91:$A$190,0)-1,MATCH(C744,Data!$CS$90:$DS$90,0)-1)</f>
        <v>8</v>
      </c>
      <c r="G744" s="78">
        <f ca="1">OFFSET(Data!$CS$91,MATCH($B744,Data!$A$91:$A$190,0)-1,MATCH(C744,Data!$CS$90:$DS$90,0)-1)</f>
        <v>9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17</v>
      </c>
      <c r="K744" s="78" t="str">
        <f>INDEX(Data!$DT$91:$DT$190,MATCH($B744,Data!$A$91:$A$190,0))</f>
        <v>Veronika Tóth</v>
      </c>
      <c r="L744" s="78" t="str">
        <f t="shared" ca="1" si="53"/>
        <v>Best women took only 8 throws</v>
      </c>
      <c r="M744" s="78" t="s">
        <v>14</v>
      </c>
      <c r="N744" s="78" t="s">
        <v>249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368</v>
      </c>
      <c r="B745" s="294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16</v>
      </c>
      <c r="D745" s="78">
        <f>INDEX(Parameter!$B$10:$AB$10,MATCH(C745,Parameter!$B$9:$AB$9,0))</f>
        <v>3</v>
      </c>
      <c r="E745" s="78">
        <f>COUNTIF(Data!$DY$90:$IB$90,Specials!C745)</f>
        <v>2</v>
      </c>
      <c r="F745" s="78">
        <f ca="1">OFFSET(Data!$CS$91,MATCH("W1",Data!$A$91:$A$190,0)-1,MATCH(C745,Data!$CS$90:$DS$90,0)-1)</f>
        <v>5</v>
      </c>
      <c r="G745" s="78">
        <f ca="1">OFFSET(Data!$CS$91,MATCH($B745,Data!$A$91:$A$190,0)-1,MATCH(C745,Data!$CS$90:$DS$90,0)-1)</f>
        <v>9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17</v>
      </c>
      <c r="K745" s="78" t="str">
        <f>INDEX(Data!$DT$91:$DT$190,MATCH($B745,Data!$A$91:$A$190,0))</f>
        <v>Veronika Tóth</v>
      </c>
      <c r="L745" s="78" t="str">
        <f t="shared" ca="1" si="53"/>
        <v>Best women took only 5 throws</v>
      </c>
      <c r="M745" s="78" t="s">
        <v>14</v>
      </c>
      <c r="N745" s="78" t="s">
        <v>249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368</v>
      </c>
      <c r="B746" s="294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17</v>
      </c>
      <c r="D746" s="78">
        <f>INDEX(Parameter!$B$10:$AB$10,MATCH(C746,Parameter!$B$9:$AB$9,0))</f>
        <v>3</v>
      </c>
      <c r="E746" s="78">
        <f>COUNTIF(Data!$DY$90:$IB$90,Specials!C746)</f>
        <v>2</v>
      </c>
      <c r="F746" s="78">
        <f ca="1">OFFSET(Data!$CS$91,MATCH("W1",Data!$A$91:$A$190,0)-1,MATCH(C746,Data!$CS$90:$DS$90,0)-1)</f>
        <v>6</v>
      </c>
      <c r="G746" s="78">
        <f ca="1">OFFSET(Data!$CS$91,MATCH($B746,Data!$A$91:$A$190,0)-1,MATCH(C746,Data!$CS$90:$DS$90,0)-1)</f>
        <v>8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17</v>
      </c>
      <c r="K746" s="78" t="str">
        <f>INDEX(Data!$DT$91:$DT$190,MATCH($B746,Data!$A$91:$A$190,0))</f>
        <v>Veronika Tóth</v>
      </c>
      <c r="L746" s="78" t="str">
        <f t="shared" ca="1" si="53"/>
        <v>Best women took only 6 throws</v>
      </c>
      <c r="M746" s="78" t="s">
        <v>14</v>
      </c>
      <c r="N746" s="78" t="s">
        <v>249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368</v>
      </c>
      <c r="B747" s="294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18</v>
      </c>
      <c r="D747" s="78">
        <f>INDEX(Parameter!$B$10:$AB$10,MATCH(C747,Parameter!$B$9:$AB$9,0))</f>
        <v>3</v>
      </c>
      <c r="E747" s="78">
        <f>COUNTIF(Data!$DY$90:$IB$90,Specials!C747)</f>
        <v>2</v>
      </c>
      <c r="F747" s="78">
        <f ca="1">OFFSET(Data!$CS$91,MATCH("W1",Data!$A$91:$A$190,0)-1,MATCH(C747,Data!$CS$90:$DS$90,0)-1)</f>
        <v>6</v>
      </c>
      <c r="G747" s="78">
        <f ca="1">OFFSET(Data!$CS$91,MATCH($B747,Data!$A$91:$A$190,0)-1,MATCH(C747,Data!$CS$90:$DS$90,0)-1)</f>
        <v>7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17</v>
      </c>
      <c r="K747" s="78" t="str">
        <f>INDEX(Data!$DT$91:$DT$190,MATCH($B747,Data!$A$91:$A$190,0))</f>
        <v>Veronika Tóth</v>
      </c>
      <c r="L747" s="78" t="str">
        <f t="shared" ca="1" si="53"/>
        <v>Best women took only 6 throws</v>
      </c>
      <c r="M747" s="78" t="s">
        <v>14</v>
      </c>
      <c r="N747" s="78" t="s">
        <v>249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368</v>
      </c>
      <c r="B748" s="294" t="str">
        <f>IF(OR(AND(Parameter!$B$4=0,Parameter!$D$5="n"),INDEX(Data!$M$91:$M$190,MATCH("W4",Data!$A$91:$A$190,0))&gt;0,INDEX(Data!$N$91:$N$190,MATCH("W4",Data!$A$91:$A$190,0))&gt;0),"W4","W1")</f>
        <v>W4</v>
      </c>
      <c r="C748" s="78" t="str">
        <f>INDEX(Parameter!$9:$9,,MATCH(17,Parameter!$8:$8,0))</f>
        <v>17a</v>
      </c>
      <c r="D748" s="78" t="str">
        <f>INDEX(Parameter!$B$10:$AB$10,MATCH(C748,Parameter!$B$9:$AB$9,0))</f>
        <v>no</v>
      </c>
      <c r="E748" s="78">
        <f>COUNTIF(Data!$DY$90:$IB$90,Specials!C748)</f>
        <v>0</v>
      </c>
      <c r="F748" s="78">
        <f ca="1">OFFSET(Data!$CS$91,MATCH("W1",Data!$A$91:$A$190,0)-1,MATCH(C748,Data!$CS$90:$DS$90,0)-1)</f>
        <v>0</v>
      </c>
      <c r="G748" s="78">
        <f ca="1">OFFSET(Data!$CS$91,MATCH($B748,Data!$A$91:$A$190,0)-1,MATCH(C748,Data!$CS$90:$DS$90,0)-1)</f>
        <v>0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17</v>
      </c>
      <c r="K748" s="78" t="str">
        <f>INDEX(Data!$DT$91:$DT$190,MATCH($B748,Data!$A$91:$A$190,0))</f>
        <v>Veronika Tóth</v>
      </c>
      <c r="L748" s="78" t="str">
        <f t="shared" ca="1" si="53"/>
        <v>Best women took only 0 throws</v>
      </c>
      <c r="M748" s="78" t="s">
        <v>14</v>
      </c>
      <c r="N748" s="78" t="s">
        <v>249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368</v>
      </c>
      <c r="B749" s="294" t="str">
        <f>IF(OR(AND(Parameter!$B$4=0,Parameter!$D$5="n"),INDEX(Data!$M$91:$M$190,MATCH("W4",Data!$A$91:$A$190,0))&gt;0,INDEX(Data!$N$91:$N$190,MATCH("W4",Data!$A$91:$A$190,0))&gt;0),"W4","W1")</f>
        <v>W4</v>
      </c>
      <c r="C749" s="78" t="str">
        <f>INDEX(Parameter!$9:$9,,MATCH(18,Parameter!$8:$8,0))</f>
        <v>18a</v>
      </c>
      <c r="D749" s="78" t="str">
        <f>INDEX(Parameter!$B$10:$AB$10,MATCH(C749,Parameter!$B$9:$AB$9,0))</f>
        <v>no</v>
      </c>
      <c r="E749" s="78">
        <f>COUNTIF(Data!$DY$90:$IB$90,Specials!C749)</f>
        <v>0</v>
      </c>
      <c r="F749" s="78">
        <f ca="1">OFFSET(Data!$CS$91,MATCH("W1",Data!$A$91:$A$190,0)-1,MATCH(C749,Data!$CS$90:$DS$90,0)-1)</f>
        <v>0</v>
      </c>
      <c r="G749" s="78">
        <f ca="1">OFFSET(Data!$CS$91,MATCH($B749,Data!$A$91:$A$190,0)-1,MATCH(C749,Data!$CS$90:$DS$90,0)-1)</f>
        <v>0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17</v>
      </c>
      <c r="K749" s="78" t="str">
        <f>INDEX(Data!$DT$91:$DT$190,MATCH($B749,Data!$A$91:$A$190,0))</f>
        <v>Veronika Tóth</v>
      </c>
      <c r="L749" s="78" t="str">
        <f t="shared" ca="1" si="53"/>
        <v>Best women took only 0 throws</v>
      </c>
      <c r="M749" s="78" t="s">
        <v>14</v>
      </c>
      <c r="N749" s="78" t="s">
        <v>249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368</v>
      </c>
      <c r="B750" s="294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 t="str">
        <f>INDEX(Parameter!$B$10:$AB$10,MATCH(C750,Parameter!$B$9:$AB$9,0))</f>
        <v>no</v>
      </c>
      <c r="E750" s="78">
        <f>COUNTIF(Data!$DY$90:$IB$90,Specials!C750)</f>
        <v>0</v>
      </c>
      <c r="F750" s="78">
        <f ca="1">OFFSET(Data!$CS$91,MATCH("W1",Data!$A$91:$A$190,0)-1,MATCH(C750,Data!$CS$90:$DS$90,0)-1)</f>
        <v>0</v>
      </c>
      <c r="G750" s="78">
        <f ca="1">OFFSET(Data!$CS$91,MATCH($B750,Data!$A$91:$A$190,0)-1,MATCH(C750,Data!$CS$90:$DS$90,0)-1)</f>
        <v>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17</v>
      </c>
      <c r="K750" s="78" t="str">
        <f>INDEX(Data!$DT$91:$DT$190,MATCH($B750,Data!$A$91:$A$190,0))</f>
        <v>Veronika Tóth</v>
      </c>
      <c r="L750" s="78" t="str">
        <f t="shared" ca="1" si="53"/>
        <v>Best women took only 0 throws</v>
      </c>
      <c r="M750" s="78" t="s">
        <v>14</v>
      </c>
      <c r="N750" s="78" t="s">
        <v>249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368</v>
      </c>
      <c r="B751" s="294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17</v>
      </c>
      <c r="K751" s="78" t="str">
        <f>INDEX(Data!$DT$91:$DT$190,MATCH($B751,Data!$A$91:$A$190,0))</f>
        <v>Veronika Tóth</v>
      </c>
      <c r="L751" s="78" t="str">
        <f t="shared" ca="1" si="53"/>
        <v>Best women took only 0 throws</v>
      </c>
      <c r="M751" s="78" t="s">
        <v>14</v>
      </c>
      <c r="N751" s="78" t="s">
        <v>249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368</v>
      </c>
      <c r="B752" s="294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17</v>
      </c>
      <c r="K752" s="78" t="str">
        <f>INDEX(Data!$DT$91:$DT$190,MATCH($B752,Data!$A$91:$A$190,0))</f>
        <v>Veronika Tóth</v>
      </c>
      <c r="L752" s="78" t="str">
        <f t="shared" ca="1" si="53"/>
        <v>Best women took only 0 throws</v>
      </c>
      <c r="M752" s="78" t="s">
        <v>14</v>
      </c>
      <c r="N752" s="78" t="s">
        <v>249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368</v>
      </c>
      <c r="B753" s="294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17</v>
      </c>
      <c r="K753" s="78" t="str">
        <f>INDEX(Data!$DT$91:$DT$190,MATCH($B753,Data!$A$91:$A$190,0))</f>
        <v>Veronika Tóth</v>
      </c>
      <c r="L753" s="78" t="str">
        <f t="shared" ca="1" si="53"/>
        <v>Best women took only 0 throws</v>
      </c>
      <c r="M753" s="78" t="s">
        <v>14</v>
      </c>
      <c r="N753" s="78" t="s">
        <v>249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368</v>
      </c>
      <c r="B754" s="294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17</v>
      </c>
      <c r="K754" s="78" t="str">
        <f>INDEX(Data!$DT$91:$DT$190,MATCH($B754,Data!$A$91:$A$190,0))</f>
        <v>Veronika Tóth</v>
      </c>
      <c r="L754" s="78" t="str">
        <f t="shared" ca="1" si="53"/>
        <v>Best women took only 0 throws</v>
      </c>
      <c r="M754" s="78" t="s">
        <v>14</v>
      </c>
      <c r="N754" s="78" t="s">
        <v>249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368</v>
      </c>
      <c r="B755" s="294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17</v>
      </c>
      <c r="K755" s="78" t="str">
        <f>INDEX(Data!$DT$91:$DT$190,MATCH($B755,Data!$A$91:$A$190,0))</f>
        <v>Veronika Tóth</v>
      </c>
      <c r="L755" s="78" t="str">
        <f t="shared" ca="1" si="53"/>
        <v>Best women took only 0 throws</v>
      </c>
      <c r="M755" s="78" t="s">
        <v>14</v>
      </c>
      <c r="N755" s="78" t="s">
        <v>249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368</v>
      </c>
      <c r="B756" s="294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17</v>
      </c>
      <c r="K756" s="78" t="str">
        <f>INDEX(Data!$DT$91:$DT$190,MATCH($B756,Data!$A$91:$A$190,0))</f>
        <v>Veronika Tóth</v>
      </c>
      <c r="L756" s="78" t="str">
        <f t="shared" ca="1" si="53"/>
        <v>Best women took only 0 throws</v>
      </c>
      <c r="M756" s="78" t="s">
        <v>14</v>
      </c>
      <c r="N756" s="78" t="s">
        <v>249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368</v>
      </c>
      <c r="B757" s="294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17</v>
      </c>
      <c r="K757" s="78" t="str">
        <f>INDEX(Data!$DT$91:$DT$190,MATCH($B757,Data!$A$91:$A$190,0))</f>
        <v>Veronika Tóth</v>
      </c>
      <c r="L757" s="78" t="str">
        <f t="shared" ca="1" si="53"/>
        <v>Best women took only 0 throws</v>
      </c>
      <c r="M757" s="78" t="s">
        <v>14</v>
      </c>
      <c r="N757" s="78" t="s">
        <v>249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368</v>
      </c>
      <c r="B758" s="294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17</v>
      </c>
      <c r="K758" s="78" t="str">
        <f>INDEX(Data!$DT$91:$DT$190,MATCH($B758,Data!$A$91:$A$190,0))</f>
        <v>Veronika Tóth</v>
      </c>
      <c r="L758" s="78" t="str">
        <f t="shared" ca="1" si="53"/>
        <v>Best women took only 0 throws</v>
      </c>
      <c r="M758" s="78" t="s">
        <v>14</v>
      </c>
      <c r="N758" s="78" t="s">
        <v>249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368</v>
      </c>
      <c r="B759" s="294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4</v>
      </c>
      <c r="E759" s="78">
        <f>COUNTIF(Data!$DY$90:$IB$90,Specials!C759)</f>
        <v>2</v>
      </c>
      <c r="F759" s="78">
        <f ca="1">OFFSET(Data!$CS$91,MATCH("W1",Data!$A$91:$A$190,0)-1,MATCH(C759,Data!$CS$90:$DS$90,0)-1)</f>
        <v>8</v>
      </c>
      <c r="G759" s="78">
        <f ca="1">OFFSET(Data!$CS$91,MATCH($B759,Data!$A$91:$A$190,0)-1,MATCH(C759,Data!$CS$90:$DS$90,0)-1)</f>
        <v>10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26</v>
      </c>
      <c r="K759" s="78" t="str">
        <f>INDEX(Data!$DT$91:$DT$190,MATCH($B759,Data!$A$91:$A$190,0))</f>
        <v>Magda Kiss</v>
      </c>
      <c r="L759" s="78" t="str">
        <f t="shared" ca="1" si="53"/>
        <v>Best women took only 8 throws</v>
      </c>
      <c r="M759" s="78" t="s">
        <v>14</v>
      </c>
      <c r="N759" s="78" t="s">
        <v>249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368</v>
      </c>
      <c r="B760" s="294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4</v>
      </c>
      <c r="E760" s="78">
        <f>COUNTIF(Data!$DY$90:$IB$90,Specials!C760)</f>
        <v>2</v>
      </c>
      <c r="F760" s="78">
        <f ca="1">OFFSET(Data!$CS$91,MATCH("W1",Data!$A$91:$A$190,0)-1,MATCH(C760,Data!$CS$90:$DS$90,0)-1)</f>
        <v>8</v>
      </c>
      <c r="G760" s="78">
        <f ca="1">OFFSET(Data!$CS$91,MATCH($B760,Data!$A$91:$A$190,0)-1,MATCH(C760,Data!$CS$90:$DS$90,0)-1)</f>
        <v>9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26</v>
      </c>
      <c r="K760" s="78" t="str">
        <f>INDEX(Data!$DT$91:$DT$190,MATCH($B760,Data!$A$91:$A$190,0))</f>
        <v>Magda Kiss</v>
      </c>
      <c r="L760" s="78" t="str">
        <f t="shared" ca="1" si="53"/>
        <v>Best women took only 8 throws</v>
      </c>
      <c r="M760" s="78" t="s">
        <v>14</v>
      </c>
      <c r="N760" s="78" t="s">
        <v>249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368</v>
      </c>
      <c r="B761" s="294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4</v>
      </c>
      <c r="E761" s="78">
        <f>COUNTIF(Data!$DY$90:$IB$90,Specials!C761)</f>
        <v>2</v>
      </c>
      <c r="F761" s="78">
        <f ca="1">OFFSET(Data!$CS$91,MATCH("W1",Data!$A$91:$A$190,0)-1,MATCH(C761,Data!$CS$90:$DS$90,0)-1)</f>
        <v>10</v>
      </c>
      <c r="G761" s="78">
        <f ca="1">OFFSET(Data!$CS$91,MATCH($B761,Data!$A$91:$A$190,0)-1,MATCH(C761,Data!$CS$90:$DS$90,0)-1)</f>
        <v>11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26</v>
      </c>
      <c r="K761" s="78" t="str">
        <f>INDEX(Data!$DT$91:$DT$190,MATCH($B761,Data!$A$91:$A$190,0))</f>
        <v>Magda Kiss</v>
      </c>
      <c r="L761" s="78" t="str">
        <f t="shared" ca="1" si="53"/>
        <v>Best women took only 10 throws</v>
      </c>
      <c r="M761" s="78" t="s">
        <v>14</v>
      </c>
      <c r="N761" s="78" t="s">
        <v>249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368</v>
      </c>
      <c r="B762" s="294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2</v>
      </c>
      <c r="F762" s="78">
        <f ca="1">OFFSET(Data!$CS$91,MATCH("W1",Data!$A$91:$A$190,0)-1,MATCH(C762,Data!$CS$90:$DS$90,0)-1)</f>
        <v>7</v>
      </c>
      <c r="G762" s="78">
        <f ca="1">OFFSET(Data!$CS$91,MATCH($B762,Data!$A$91:$A$190,0)-1,MATCH(C762,Data!$CS$90:$DS$90,0)-1)</f>
        <v>9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26</v>
      </c>
      <c r="K762" s="78" t="str">
        <f>INDEX(Data!$DT$91:$DT$190,MATCH($B762,Data!$A$91:$A$190,0))</f>
        <v>Magda Kiss</v>
      </c>
      <c r="L762" s="78" t="str">
        <f t="shared" ca="1" si="53"/>
        <v>Best women took only 7 throws</v>
      </c>
      <c r="M762" s="78" t="s">
        <v>14</v>
      </c>
      <c r="N762" s="78" t="s">
        <v>249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368</v>
      </c>
      <c r="B763" s="294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3</v>
      </c>
      <c r="E763" s="78">
        <f>COUNTIF(Data!$DY$90:$IB$90,Specials!C763)</f>
        <v>2</v>
      </c>
      <c r="F763" s="78">
        <f ca="1">OFFSET(Data!$CS$91,MATCH("W1",Data!$A$91:$A$190,0)-1,MATCH(C763,Data!$CS$90:$DS$90,0)-1)</f>
        <v>9</v>
      </c>
      <c r="G763" s="78">
        <f ca="1">OFFSET(Data!$CS$91,MATCH($B763,Data!$A$91:$A$190,0)-1,MATCH(C763,Data!$CS$90:$DS$90,0)-1)</f>
        <v>8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26</v>
      </c>
      <c r="K763" s="78" t="str">
        <f>INDEX(Data!$DT$91:$DT$190,MATCH($B763,Data!$A$91:$A$190,0))</f>
        <v>Magda Kiss</v>
      </c>
      <c r="L763" s="78" t="str">
        <f t="shared" ca="1" si="53"/>
        <v>Best women took only 9 throws</v>
      </c>
      <c r="M763" s="78" t="s">
        <v>14</v>
      </c>
      <c r="N763" s="78" t="s">
        <v>249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368</v>
      </c>
      <c r="B764" s="294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5</v>
      </c>
      <c r="E764" s="78">
        <f>COUNTIF(Data!$DY$90:$IB$90,Specials!C764)</f>
        <v>2</v>
      </c>
      <c r="F764" s="78">
        <f ca="1">OFFSET(Data!$CS$91,MATCH("W1",Data!$A$91:$A$190,0)-1,MATCH(C764,Data!$CS$90:$DS$90,0)-1)</f>
        <v>12</v>
      </c>
      <c r="G764" s="78">
        <f ca="1">OFFSET(Data!$CS$91,MATCH($B764,Data!$A$91:$A$190,0)-1,MATCH(C764,Data!$CS$90:$DS$90,0)-1)</f>
        <v>14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26</v>
      </c>
      <c r="K764" s="78" t="str">
        <f>INDEX(Data!$DT$91:$DT$190,MATCH($B764,Data!$A$91:$A$190,0))</f>
        <v>Magda Kiss</v>
      </c>
      <c r="L764" s="78" t="str">
        <f t="shared" ca="1" si="53"/>
        <v>Best women took only 12 throws</v>
      </c>
      <c r="M764" s="78" t="s">
        <v>14</v>
      </c>
      <c r="N764" s="78" t="s">
        <v>249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368</v>
      </c>
      <c r="B765" s="294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3</v>
      </c>
      <c r="F765" s="78">
        <f ca="1">OFFSET(Data!$CS$91,MATCH("W1",Data!$A$91:$A$190,0)-1,MATCH(C765,Data!$CS$90:$DS$90,0)-1)</f>
        <v>11</v>
      </c>
      <c r="G765" s="78">
        <f ca="1">OFFSET(Data!$CS$91,MATCH($B765,Data!$A$91:$A$190,0)-1,MATCH(C765,Data!$CS$90:$DS$90,0)-1)</f>
        <v>9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26</v>
      </c>
      <c r="K765" s="78" t="str">
        <f>INDEX(Data!$DT$91:$DT$190,MATCH($B765,Data!$A$91:$A$190,0))</f>
        <v>Magda Kiss</v>
      </c>
      <c r="L765" s="78" t="str">
        <f t="shared" ca="1" si="53"/>
        <v>Best women took only 11 throws</v>
      </c>
      <c r="M765" s="78" t="s">
        <v>14</v>
      </c>
      <c r="N765" s="78" t="s">
        <v>249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368</v>
      </c>
      <c r="B766" s="294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2</v>
      </c>
      <c r="F766" s="78">
        <f ca="1">OFFSET(Data!$CS$91,MATCH("W1",Data!$A$91:$A$190,0)-1,MATCH(C766,Data!$CS$90:$DS$90,0)-1)</f>
        <v>6</v>
      </c>
      <c r="G766" s="78">
        <f ca="1">OFFSET(Data!$CS$91,MATCH($B766,Data!$A$91:$A$190,0)-1,MATCH(C766,Data!$CS$90:$DS$90,0)-1)</f>
        <v>7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26</v>
      </c>
      <c r="K766" s="78" t="str">
        <f>INDEX(Data!$DT$91:$DT$190,MATCH($B766,Data!$A$91:$A$190,0))</f>
        <v>Magda Kiss</v>
      </c>
      <c r="L766" s="78" t="str">
        <f t="shared" ca="1" si="53"/>
        <v>Best women took only 6 throws</v>
      </c>
      <c r="M766" s="78" t="s">
        <v>14</v>
      </c>
      <c r="N766" s="78" t="s">
        <v>249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368</v>
      </c>
      <c r="B767" s="294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2</v>
      </c>
      <c r="F767" s="78">
        <f ca="1">OFFSET(Data!$CS$91,MATCH("W1",Data!$A$91:$A$190,0)-1,MATCH(C767,Data!$CS$90:$DS$90,0)-1)</f>
        <v>12</v>
      </c>
      <c r="G767" s="78">
        <f ca="1">OFFSET(Data!$CS$91,MATCH($B767,Data!$A$91:$A$190,0)-1,MATCH(C767,Data!$CS$90:$DS$90,0)-1)</f>
        <v>10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26</v>
      </c>
      <c r="K767" s="78" t="str">
        <f>INDEX(Data!$DT$91:$DT$190,MATCH($B767,Data!$A$91:$A$190,0))</f>
        <v>Magda Kiss</v>
      </c>
      <c r="L767" s="78" t="str">
        <f t="shared" ca="1" si="53"/>
        <v>Best women took only 12 throws</v>
      </c>
      <c r="M767" s="78" t="s">
        <v>14</v>
      </c>
      <c r="N767" s="78" t="s">
        <v>249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368</v>
      </c>
      <c r="B768" s="294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2</v>
      </c>
      <c r="F768" s="78">
        <f ca="1">OFFSET(Data!$CS$91,MATCH("W1",Data!$A$91:$A$190,0)-1,MATCH(C768,Data!$CS$90:$DS$90,0)-1)</f>
        <v>8</v>
      </c>
      <c r="G768" s="78">
        <f ca="1">OFFSET(Data!$CS$91,MATCH($B768,Data!$A$91:$A$190,0)-1,MATCH(C768,Data!$CS$90:$DS$90,0)-1)</f>
        <v>9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26</v>
      </c>
      <c r="K768" s="78" t="str">
        <f>INDEX(Data!$DT$91:$DT$190,MATCH($B768,Data!$A$91:$A$190,0))</f>
        <v>Magda Kiss</v>
      </c>
      <c r="L768" s="78" t="str">
        <f t="shared" ca="1" si="53"/>
        <v>Best women took only 8 throws</v>
      </c>
      <c r="M768" s="78" t="s">
        <v>14</v>
      </c>
      <c r="N768" s="78" t="s">
        <v>249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368</v>
      </c>
      <c r="B769" s="294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12</v>
      </c>
      <c r="D769" s="78">
        <f>INDEX(Parameter!$B$10:$AB$10,MATCH(C769,Parameter!$B$9:$AB$9,0))</f>
        <v>3</v>
      </c>
      <c r="E769" s="78">
        <f>COUNTIF(Data!$DY$90:$IB$90,Specials!C769)</f>
        <v>2</v>
      </c>
      <c r="F769" s="78">
        <f ca="1">OFFSET(Data!$CS$91,MATCH("W1",Data!$A$91:$A$190,0)-1,MATCH(C769,Data!$CS$90:$DS$90,0)-1)</f>
        <v>6</v>
      </c>
      <c r="G769" s="78">
        <f ca="1">OFFSET(Data!$CS$91,MATCH($B769,Data!$A$91:$A$190,0)-1,MATCH(C769,Data!$CS$90:$DS$90,0)-1)</f>
        <v>8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26</v>
      </c>
      <c r="K769" s="78" t="str">
        <f>INDEX(Data!$DT$91:$DT$190,MATCH($B769,Data!$A$91:$A$190,0))</f>
        <v>Magda Kiss</v>
      </c>
      <c r="L769" s="78" t="str">
        <f t="shared" ca="1" si="53"/>
        <v>Best women took only 6 throws</v>
      </c>
      <c r="M769" s="78" t="s">
        <v>14</v>
      </c>
      <c r="N769" s="78" t="s">
        <v>249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368</v>
      </c>
      <c r="B770" s="294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14</v>
      </c>
      <c r="D770" s="78">
        <f>INDEX(Parameter!$B$10:$AB$10,MATCH(C770,Parameter!$B$9:$AB$9,0))</f>
        <v>4</v>
      </c>
      <c r="E770" s="78">
        <f>COUNTIF(Data!$DY$90:$IB$90,Specials!C770)</f>
        <v>2</v>
      </c>
      <c r="F770" s="78">
        <f ca="1">OFFSET(Data!$CS$91,MATCH("W1",Data!$A$91:$A$190,0)-1,MATCH(C770,Data!$CS$90:$DS$90,0)-1)</f>
        <v>11</v>
      </c>
      <c r="G770" s="78">
        <f ca="1">OFFSET(Data!$CS$91,MATCH($B770,Data!$A$91:$A$190,0)-1,MATCH(C770,Data!$CS$90:$DS$90,0)-1)</f>
        <v>15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26</v>
      </c>
      <c r="K770" s="78" t="str">
        <f>INDEX(Data!$DT$91:$DT$190,MATCH($B770,Data!$A$91:$A$190,0))</f>
        <v>Magda Kiss</v>
      </c>
      <c r="L770" s="78" t="str">
        <f t="shared" ca="1" si="53"/>
        <v>Best women took only 11 throws</v>
      </c>
      <c r="M770" s="78" t="s">
        <v>14</v>
      </c>
      <c r="N770" s="78" t="s">
        <v>249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368</v>
      </c>
      <c r="B771" s="294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15</v>
      </c>
      <c r="D771" s="78">
        <f>INDEX(Parameter!$B$10:$AB$10,MATCH(C771,Parameter!$B$9:$AB$9,0))</f>
        <v>4</v>
      </c>
      <c r="E771" s="78">
        <f>COUNTIF(Data!$DY$90:$IB$90,Specials!C771)</f>
        <v>2</v>
      </c>
      <c r="F771" s="78">
        <f ca="1">OFFSET(Data!$CS$91,MATCH("W1",Data!$A$91:$A$190,0)-1,MATCH(C771,Data!$CS$90:$DS$90,0)-1)</f>
        <v>8</v>
      </c>
      <c r="G771" s="78">
        <f ca="1">OFFSET(Data!$CS$91,MATCH($B771,Data!$A$91:$A$190,0)-1,MATCH(C771,Data!$CS$90:$DS$90,0)-1)</f>
        <v>12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26</v>
      </c>
      <c r="K771" s="78" t="str">
        <f>INDEX(Data!$DT$91:$DT$190,MATCH($B771,Data!$A$91:$A$190,0))</f>
        <v>Magda Kiss</v>
      </c>
      <c r="L771" s="78" t="str">
        <f t="shared" ca="1" si="53"/>
        <v>Best women took only 8 throws</v>
      </c>
      <c r="M771" s="78" t="s">
        <v>14</v>
      </c>
      <c r="N771" s="78" t="s">
        <v>249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368</v>
      </c>
      <c r="B772" s="294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16</v>
      </c>
      <c r="D772" s="78">
        <f>INDEX(Parameter!$B$10:$AB$10,MATCH(C772,Parameter!$B$9:$AB$9,0))</f>
        <v>3</v>
      </c>
      <c r="E772" s="78">
        <f>COUNTIF(Data!$DY$90:$IB$90,Specials!C772)</f>
        <v>2</v>
      </c>
      <c r="F772" s="78">
        <f ca="1">OFFSET(Data!$CS$91,MATCH("W1",Data!$A$91:$A$190,0)-1,MATCH(C772,Data!$CS$90:$DS$90,0)-1)</f>
        <v>5</v>
      </c>
      <c r="G772" s="78">
        <f ca="1">OFFSET(Data!$CS$91,MATCH($B772,Data!$A$91:$A$190,0)-1,MATCH(C772,Data!$CS$90:$DS$90,0)-1)</f>
        <v>7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26</v>
      </c>
      <c r="K772" s="78" t="str">
        <f>INDEX(Data!$DT$91:$DT$190,MATCH($B772,Data!$A$91:$A$190,0))</f>
        <v>Magda Kiss</v>
      </c>
      <c r="L772" s="78" t="str">
        <f t="shared" ca="1" si="53"/>
        <v>Best women took only 5 throws</v>
      </c>
      <c r="M772" s="78" t="s">
        <v>14</v>
      </c>
      <c r="N772" s="78" t="s">
        <v>249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368</v>
      </c>
      <c r="B773" s="294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17</v>
      </c>
      <c r="D773" s="78">
        <f>INDEX(Parameter!$B$10:$AB$10,MATCH(C773,Parameter!$B$9:$AB$9,0))</f>
        <v>3</v>
      </c>
      <c r="E773" s="78">
        <f>COUNTIF(Data!$DY$90:$IB$90,Specials!C773)</f>
        <v>2</v>
      </c>
      <c r="F773" s="78">
        <f ca="1">OFFSET(Data!$CS$91,MATCH("W1",Data!$A$91:$A$190,0)-1,MATCH(C773,Data!$CS$90:$DS$90,0)-1)</f>
        <v>6</v>
      </c>
      <c r="G773" s="78">
        <f ca="1">OFFSET(Data!$CS$91,MATCH($B773,Data!$A$91:$A$190,0)-1,MATCH(C773,Data!$CS$90:$DS$90,0)-1)</f>
        <v>9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26</v>
      </c>
      <c r="K773" s="78" t="str">
        <f>INDEX(Data!$DT$91:$DT$190,MATCH($B773,Data!$A$91:$A$190,0))</f>
        <v>Magda Kiss</v>
      </c>
      <c r="L773" s="78" t="str">
        <f t="shared" ca="1" si="53"/>
        <v>Best women took only 6 throws</v>
      </c>
      <c r="M773" s="78" t="s">
        <v>14</v>
      </c>
      <c r="N773" s="78" t="s">
        <v>249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368</v>
      </c>
      <c r="B774" s="294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18</v>
      </c>
      <c r="D774" s="78">
        <f>INDEX(Parameter!$B$10:$AB$10,MATCH(C774,Parameter!$B$9:$AB$9,0))</f>
        <v>3</v>
      </c>
      <c r="E774" s="78">
        <f>COUNTIF(Data!$DY$90:$IB$90,Specials!C774)</f>
        <v>2</v>
      </c>
      <c r="F774" s="78">
        <f ca="1">OFFSET(Data!$CS$91,MATCH("W1",Data!$A$91:$A$190,0)-1,MATCH(C774,Data!$CS$90:$DS$90,0)-1)</f>
        <v>6</v>
      </c>
      <c r="G774" s="78">
        <f ca="1">OFFSET(Data!$CS$91,MATCH($B774,Data!$A$91:$A$190,0)-1,MATCH(C774,Data!$CS$90:$DS$90,0)-1)</f>
        <v>8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26</v>
      </c>
      <c r="K774" s="78" t="str">
        <f>INDEX(Data!$DT$91:$DT$190,MATCH($B774,Data!$A$91:$A$190,0))</f>
        <v>Magda Kiss</v>
      </c>
      <c r="L774" s="78" t="str">
        <f t="shared" ca="1" si="53"/>
        <v>Best women took only 6 throws</v>
      </c>
      <c r="M774" s="78" t="s">
        <v>14</v>
      </c>
      <c r="N774" s="78" t="s">
        <v>249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368</v>
      </c>
      <c r="B775" s="294" t="str">
        <f>IF(OR(AND(Parameter!$B$4=0,Parameter!$D$5="n"),INDEX(Data!$M$91:$M$190,MATCH("W5",Data!$A$91:$A$190,0))&gt;0,INDEX(Data!$N$91:$N$190,MATCH("W5",Data!$A$91:$A$190,0))&gt;0),"W5","W1")</f>
        <v>W5</v>
      </c>
      <c r="C775" s="78" t="str">
        <f>INDEX(Parameter!$9:$9,,MATCH(17,Parameter!$8:$8,0))</f>
        <v>17a</v>
      </c>
      <c r="D775" s="78" t="str">
        <f>INDEX(Parameter!$B$10:$AB$10,MATCH(C775,Parameter!$B$9:$AB$9,0))</f>
        <v>no</v>
      </c>
      <c r="E775" s="78">
        <f>COUNTIF(Data!$DY$90:$IB$90,Specials!C775)</f>
        <v>0</v>
      </c>
      <c r="F775" s="78">
        <f ca="1">OFFSET(Data!$CS$91,MATCH("W1",Data!$A$91:$A$190,0)-1,MATCH(C775,Data!$CS$90:$DS$90,0)-1)</f>
        <v>0</v>
      </c>
      <c r="G775" s="78">
        <f ca="1">OFFSET(Data!$CS$91,MATCH($B775,Data!$A$91:$A$190,0)-1,MATCH(C775,Data!$CS$90:$DS$90,0)-1)</f>
        <v>0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26</v>
      </c>
      <c r="K775" s="78" t="str">
        <f>INDEX(Data!$DT$91:$DT$190,MATCH($B775,Data!$A$91:$A$190,0))</f>
        <v>Magda Kiss</v>
      </c>
      <c r="L775" s="78" t="str">
        <f t="shared" ca="1" si="53"/>
        <v>Best women took only 0 throws</v>
      </c>
      <c r="M775" s="78" t="s">
        <v>14</v>
      </c>
      <c r="N775" s="78" t="s">
        <v>249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368</v>
      </c>
      <c r="B776" s="294" t="str">
        <f>IF(OR(AND(Parameter!$B$4=0,Parameter!$D$5="n"),INDEX(Data!$M$91:$M$190,MATCH("W5",Data!$A$91:$A$190,0))&gt;0,INDEX(Data!$N$91:$N$190,MATCH("W5",Data!$A$91:$A$190,0))&gt;0),"W5","W1")</f>
        <v>W5</v>
      </c>
      <c r="C776" s="78" t="str">
        <f>INDEX(Parameter!$9:$9,,MATCH(18,Parameter!$8:$8,0))</f>
        <v>18a</v>
      </c>
      <c r="D776" s="78" t="str">
        <f>INDEX(Parameter!$B$10:$AB$10,MATCH(C776,Parameter!$B$9:$AB$9,0))</f>
        <v>no</v>
      </c>
      <c r="E776" s="78">
        <f>COUNTIF(Data!$DY$90:$IB$90,Specials!C776)</f>
        <v>0</v>
      </c>
      <c r="F776" s="78">
        <f ca="1">OFFSET(Data!$CS$91,MATCH("W1",Data!$A$91:$A$190,0)-1,MATCH(C776,Data!$CS$90:$DS$90,0)-1)</f>
        <v>0</v>
      </c>
      <c r="G776" s="78">
        <f ca="1">OFFSET(Data!$CS$91,MATCH($B776,Data!$A$91:$A$190,0)-1,MATCH(C776,Data!$CS$90:$DS$90,0)-1)</f>
        <v>0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26</v>
      </c>
      <c r="K776" s="78" t="str">
        <f>INDEX(Data!$DT$91:$DT$190,MATCH($B776,Data!$A$91:$A$190,0))</f>
        <v>Magda Kiss</v>
      </c>
      <c r="L776" s="78" t="str">
        <f t="shared" ca="1" si="53"/>
        <v>Best women took only 0 throws</v>
      </c>
      <c r="M776" s="78" t="s">
        <v>14</v>
      </c>
      <c r="N776" s="78" t="s">
        <v>249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368</v>
      </c>
      <c r="B777" s="294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 t="str">
        <f>INDEX(Parameter!$B$10:$AB$10,MATCH(C777,Parameter!$B$9:$AB$9,0))</f>
        <v>no</v>
      </c>
      <c r="E777" s="78">
        <f>COUNTIF(Data!$DY$90:$IB$90,Specials!C777)</f>
        <v>0</v>
      </c>
      <c r="F777" s="78">
        <f ca="1">OFFSET(Data!$CS$91,MATCH("W1",Data!$A$91:$A$190,0)-1,MATCH(C777,Data!$CS$90:$DS$90,0)-1)</f>
        <v>0</v>
      </c>
      <c r="G777" s="78">
        <f ca="1">OFFSET(Data!$CS$91,MATCH($B777,Data!$A$91:$A$190,0)-1,MATCH(C777,Data!$CS$90:$DS$90,0)-1)</f>
        <v>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26</v>
      </c>
      <c r="K777" s="78" t="str">
        <f>INDEX(Data!$DT$91:$DT$190,MATCH($B777,Data!$A$91:$A$190,0))</f>
        <v>Magda Kiss</v>
      </c>
      <c r="L777" s="78" t="str">
        <f t="shared" ca="1" si="53"/>
        <v>Best women took only 0 throws</v>
      </c>
      <c r="M777" s="78" t="s">
        <v>14</v>
      </c>
      <c r="N777" s="78" t="s">
        <v>249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368</v>
      </c>
      <c r="B778" s="294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26</v>
      </c>
      <c r="K778" s="78" t="str">
        <f>INDEX(Data!$DT$91:$DT$190,MATCH($B778,Data!$A$91:$A$190,0))</f>
        <v>Magda Kiss</v>
      </c>
      <c r="L778" s="78" t="str">
        <f t="shared" ca="1" si="53"/>
        <v>Best women took only 0 throws</v>
      </c>
      <c r="M778" s="78" t="s">
        <v>14</v>
      </c>
      <c r="N778" s="78" t="s">
        <v>249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368</v>
      </c>
      <c r="B779" s="294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26</v>
      </c>
      <c r="K779" s="78" t="str">
        <f>INDEX(Data!$DT$91:$DT$190,MATCH($B779,Data!$A$91:$A$190,0))</f>
        <v>Magda Kiss</v>
      </c>
      <c r="L779" s="78" t="str">
        <f t="shared" ca="1" si="53"/>
        <v>Best women took only 0 throws</v>
      </c>
      <c r="M779" s="78" t="s">
        <v>14</v>
      </c>
      <c r="N779" s="78" t="s">
        <v>249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368</v>
      </c>
      <c r="B780" s="294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26</v>
      </c>
      <c r="K780" s="78" t="str">
        <f>INDEX(Data!$DT$91:$DT$190,MATCH($B780,Data!$A$91:$A$190,0))</f>
        <v>Magda Kiss</v>
      </c>
      <c r="L780" s="78" t="str">
        <f t="shared" ca="1" si="53"/>
        <v>Best women took only 0 throws</v>
      </c>
      <c r="M780" s="78" t="s">
        <v>14</v>
      </c>
      <c r="N780" s="78" t="s">
        <v>249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368</v>
      </c>
      <c r="B781" s="294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26</v>
      </c>
      <c r="K781" s="78" t="str">
        <f>INDEX(Data!$DT$91:$DT$190,MATCH($B781,Data!$A$91:$A$190,0))</f>
        <v>Magda Kiss</v>
      </c>
      <c r="L781" s="78" t="str">
        <f t="shared" ca="1" si="53"/>
        <v>Best women took only 0 throws</v>
      </c>
      <c r="M781" s="78" t="s">
        <v>14</v>
      </c>
      <c r="N781" s="78" t="s">
        <v>249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368</v>
      </c>
      <c r="B782" s="294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26</v>
      </c>
      <c r="K782" s="78" t="str">
        <f>INDEX(Data!$DT$91:$DT$190,MATCH($B782,Data!$A$91:$A$190,0))</f>
        <v>Magda Kiss</v>
      </c>
      <c r="L782" s="78" t="str">
        <f t="shared" ca="1" si="53"/>
        <v>Best women took only 0 throws</v>
      </c>
      <c r="M782" s="78" t="s">
        <v>14</v>
      </c>
      <c r="N782" s="78" t="s">
        <v>249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368</v>
      </c>
      <c r="B783" s="294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26</v>
      </c>
      <c r="K783" s="78" t="str">
        <f>INDEX(Data!$DT$91:$DT$190,MATCH($B783,Data!$A$91:$A$190,0))</f>
        <v>Magda Kiss</v>
      </c>
      <c r="L783" s="78" t="str">
        <f t="shared" ca="1" si="53"/>
        <v>Best women took only 0 throws</v>
      </c>
      <c r="M783" s="78" t="s">
        <v>14</v>
      </c>
      <c r="N783" s="78" t="s">
        <v>249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368</v>
      </c>
      <c r="B784" s="294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26</v>
      </c>
      <c r="K784" s="78" t="str">
        <f>INDEX(Data!$DT$91:$DT$190,MATCH($B784,Data!$A$91:$A$190,0))</f>
        <v>Magda Kiss</v>
      </c>
      <c r="L784" s="78" t="str">
        <f t="shared" ca="1" si="53"/>
        <v>Best women took only 0 throws</v>
      </c>
      <c r="M784" s="78" t="s">
        <v>14</v>
      </c>
      <c r="N784" s="78" t="s">
        <v>249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368</v>
      </c>
      <c r="B785" s="294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26</v>
      </c>
      <c r="K785" s="78" t="str">
        <f>INDEX(Data!$DT$91:$DT$190,MATCH($B785,Data!$A$91:$A$190,0))</f>
        <v>Magda Kiss</v>
      </c>
      <c r="L785" s="78" t="str">
        <f t="shared" ca="1" si="53"/>
        <v>Best women took only 0 throws</v>
      </c>
      <c r="M785" s="78" t="s">
        <v>14</v>
      </c>
      <c r="N785" s="78" t="s">
        <v>249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364</v>
      </c>
      <c r="B786" s="292"/>
      <c r="C786" s="65">
        <f>INDEX(Parameter!$9:$9,,MATCH(1,Parameter!$8:$8,0))</f>
        <v>1</v>
      </c>
      <c r="D786" s="65">
        <f>INDEX(Parameter!$B$10:$AB$10,MATCH(C786,Parameter!$B$9:$AB$9,0))</f>
        <v>4</v>
      </c>
      <c r="E786" s="65">
        <f>COUNTIF(Data!$DY$90:$IB$90,Specials!C786)</f>
        <v>2</v>
      </c>
      <c r="F786" s="65">
        <f ca="1">OFFSET(Data!$CS$91,MATCH("W1",Data!$A$91:$A$190,0)-1,MATCH(C786,Data!$CS$90:$DS$90,0)-1)</f>
        <v>8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8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8 throws</v>
      </c>
      <c r="M786" s="65" t="s">
        <v>14</v>
      </c>
      <c r="N786" s="65" t="s">
        <v>249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60</v>
      </c>
      <c r="B787" s="292" t="s">
        <v>234</v>
      </c>
      <c r="C787" s="65" t="s">
        <v>33</v>
      </c>
      <c r="D787" s="65" t="s">
        <v>235</v>
      </c>
      <c r="E787" s="65" t="s">
        <v>236</v>
      </c>
      <c r="F787" s="65" t="s">
        <v>237</v>
      </c>
      <c r="G787" s="65" t="s">
        <v>238</v>
      </c>
      <c r="H787" s="65" t="s">
        <v>239</v>
      </c>
      <c r="I787" s="65" t="s">
        <v>240</v>
      </c>
      <c r="J787" s="65" t="s">
        <v>241</v>
      </c>
      <c r="L787" s="65" t="s">
        <v>242</v>
      </c>
      <c r="M787" s="65" t="s">
        <v>243</v>
      </c>
      <c r="N787" s="65" t="s">
        <v>244</v>
      </c>
      <c r="O787" s="65" t="s">
        <v>245</v>
      </c>
      <c r="P787" s="65" t="s">
        <v>246</v>
      </c>
    </row>
    <row r="788" spans="1:16" s="65" customFormat="1" hidden="1" x14ac:dyDescent="0.25">
      <c r="A788" s="65" t="s">
        <v>364</v>
      </c>
      <c r="B788" s="292"/>
      <c r="C788" s="65">
        <f>INDEX(Parameter!$9:$9,,MATCH(3,Parameter!$8:$8,0))</f>
        <v>3</v>
      </c>
      <c r="D788" s="65">
        <f>INDEX(Parameter!$B$10:$AB$10,MATCH(C788,Parameter!$B$9:$AB$9,0))</f>
        <v>4</v>
      </c>
      <c r="E788" s="65">
        <f>COUNTIF(Data!$DY$90:$IB$90,Specials!C788)</f>
        <v>2</v>
      </c>
      <c r="F788" s="65">
        <f ca="1">OFFSET(Data!$CS$91,MATCH("W1",Data!$A$91:$A$190,0)-1,MATCH(C788,Data!$CS$90:$DS$90,0)-1)</f>
        <v>10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9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10 throws</v>
      </c>
      <c r="M788" s="65" t="s">
        <v>14</v>
      </c>
      <c r="N788" s="65" t="s">
        <v>249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364</v>
      </c>
      <c r="B789" s="292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2</v>
      </c>
      <c r="F789" s="65">
        <f ca="1">OFFSET(Data!$CS$91,MATCH("W1",Data!$A$91:$A$190,0)-1,MATCH(C789,Data!$CS$90:$DS$90,0)-1)</f>
        <v>7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6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7 throws</v>
      </c>
      <c r="M789" s="65" t="s">
        <v>14</v>
      </c>
      <c r="N789" s="65" t="s">
        <v>249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364</v>
      </c>
      <c r="B790" s="292"/>
      <c r="C790" s="65">
        <f>INDEX(Parameter!$9:$9,,MATCH(5,Parameter!$8:$8,0))</f>
        <v>5</v>
      </c>
      <c r="D790" s="65">
        <f>INDEX(Parameter!$B$10:$AB$10,MATCH(C790,Parameter!$B$9:$AB$9,0))</f>
        <v>3</v>
      </c>
      <c r="E790" s="65">
        <f>COUNTIF(Data!$DY$90:$IB$90,Specials!C790)</f>
        <v>2</v>
      </c>
      <c r="F790" s="65">
        <f ca="1">OFFSET(Data!$CS$91,MATCH("W1",Data!$A$91:$A$190,0)-1,MATCH(C790,Data!$CS$90:$DS$90,0)-1)</f>
        <v>9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6</v>
      </c>
      <c r="H790" s="65">
        <f t="array" aca="1" ref="H790" ca="1">IF(AND(G790&lt;=F790-E790*1,G790&lt;&gt;0),SUM(IF((OFFSET(Data!$CS$91:$CS$190,,MATCH(C790,Data!$CS$90:$DS$90,0)-1)=Specials!G790)*(Data!$DW$91:$DW$190="W"),1)),0)</f>
        <v>1</v>
      </c>
      <c r="K790" s="65" t="str">
        <f t="array" aca="1" ref="K790" ca="1">IF(H790=1,INDEX(Data!$DT$91:$DT$190,MATCH(G790,(OFFSET(Data!$CS$91:$CS$190,,MATCH(C790,Data!$CS$90:$DS$90,0)-1))*(Data!$DW$91:$DW$190="W"),0)),H790&amp;" Players")</f>
        <v>Irmgard Derschmidt</v>
      </c>
      <c r="L790" s="65" t="str">
        <f t="shared" ca="1" si="57"/>
        <v>Best women took 9 throws</v>
      </c>
      <c r="M790" s="65" t="s">
        <v>14</v>
      </c>
      <c r="N790" s="65" t="s">
        <v>249</v>
      </c>
      <c r="O790" s="65" t="e">
        <f t="shared" ca="1" si="54"/>
        <v>#VALUE!</v>
      </c>
      <c r="P790" s="65" t="str">
        <f t="shared" ca="1" si="56"/>
        <v>On hole 5 (par 3) Irmgard Derschmidt played 3 throws better than best women (2 rounds)</v>
      </c>
    </row>
    <row r="791" spans="1:16" s="65" customFormat="1" hidden="1" x14ac:dyDescent="0.25">
      <c r="A791" s="65" t="s">
        <v>364</v>
      </c>
      <c r="B791" s="292"/>
      <c r="C791" s="65">
        <f>INDEX(Parameter!$9:$9,,MATCH(6,Parameter!$8:$8,0))</f>
        <v>6</v>
      </c>
      <c r="D791" s="65">
        <f>INDEX(Parameter!$B$10:$AB$10,MATCH(C791,Parameter!$B$9:$AB$9,0))</f>
        <v>5</v>
      </c>
      <c r="E791" s="65">
        <f>COUNTIF(Data!$DY$90:$IB$90,Specials!C791)</f>
        <v>2</v>
      </c>
      <c r="F791" s="65">
        <f ca="1">OFFSET(Data!$CS$91,MATCH("W1",Data!$A$91:$A$190,0)-1,MATCH(C791,Data!$CS$90:$DS$90,0)-1)</f>
        <v>12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11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12 throws</v>
      </c>
      <c r="M791" s="65" t="s">
        <v>14</v>
      </c>
      <c r="N791" s="65" t="s">
        <v>249</v>
      </c>
      <c r="O791" s="65" t="e">
        <f t="shared" ca="1" si="54"/>
        <v>#VALUE!</v>
      </c>
      <c r="P791" s="65" t="str">
        <f t="shared" ca="1" si="56"/>
        <v/>
      </c>
    </row>
    <row r="792" spans="1:16" s="65" customFormat="1" hidden="1" x14ac:dyDescent="0.25">
      <c r="A792" s="65" t="s">
        <v>364</v>
      </c>
      <c r="B792" s="292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3</v>
      </c>
      <c r="F792" s="65">
        <f ca="1">OFFSET(Data!$CS$91,MATCH("W1",Data!$A$91:$A$190,0)-1,MATCH(C792,Data!$CS$90:$DS$90,0)-1)</f>
        <v>11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8</v>
      </c>
      <c r="H792" s="65">
        <f t="array" aca="1" ref="H792" ca="1">IF(AND(G792&lt;=F792-E792*1,G792&lt;&gt;0),SUM(IF((OFFSET(Data!$CS$91:$CS$190,,MATCH(C792,Data!$CS$90:$DS$90,0)-1)=Specials!G792)*(Data!$DW$91:$DW$190="W"),1)),0)</f>
        <v>2</v>
      </c>
      <c r="K792" s="65" t="str">
        <f t="array" aca="1" ref="K792" ca="1">IF(H792=1,INDEX(Data!$DT$91:$DT$190,MATCH(G792,(OFFSET(Data!$CS$91:$CS$190,,MATCH(C792,Data!$CS$90:$DS$90,0)-1))*(Data!$DW$91:$DW$190="W"),0)),H792&amp;" Players")</f>
        <v>2 Players</v>
      </c>
      <c r="L792" s="65" t="str">
        <f t="shared" ca="1" si="57"/>
        <v>Best women took 11 throws</v>
      </c>
      <c r="M792" s="65" t="s">
        <v>14</v>
      </c>
      <c r="N792" s="65" t="s">
        <v>249</v>
      </c>
      <c r="O792" s="65" t="e">
        <f t="shared" ca="1" si="54"/>
        <v>#VALUE!</v>
      </c>
      <c r="P792" s="65" t="str">
        <f t="shared" ca="1" si="56"/>
        <v/>
      </c>
    </row>
    <row r="793" spans="1:16" s="65" customFormat="1" hidden="1" x14ac:dyDescent="0.25">
      <c r="A793" s="65" t="s">
        <v>364</v>
      </c>
      <c r="B793" s="292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2</v>
      </c>
      <c r="F793" s="65">
        <f ca="1">OFFSET(Data!$CS$91,MATCH("W1",Data!$A$91:$A$190,0)-1,MATCH(C793,Data!$CS$90:$DS$90,0)-1)</f>
        <v>6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5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6 throws</v>
      </c>
      <c r="M793" s="65" t="s">
        <v>14</v>
      </c>
      <c r="N793" s="65" t="s">
        <v>249</v>
      </c>
      <c r="O793" s="65" t="e">
        <f t="shared" ca="1" si="54"/>
        <v>#VALUE!</v>
      </c>
      <c r="P793" s="65" t="str">
        <f t="shared" ca="1" si="56"/>
        <v/>
      </c>
    </row>
    <row r="794" spans="1:16" s="65" customFormat="1" x14ac:dyDescent="0.25">
      <c r="A794" s="65" t="s">
        <v>60</v>
      </c>
      <c r="B794" s="292" t="s">
        <v>252</v>
      </c>
      <c r="C794" s="65" t="s">
        <v>252</v>
      </c>
      <c r="D794" s="65" t="s">
        <v>218</v>
      </c>
      <c r="E794" s="65" t="s">
        <v>219</v>
      </c>
      <c r="F794" s="65" t="s">
        <v>219</v>
      </c>
      <c r="G794" s="65" t="s">
        <v>220</v>
      </c>
      <c r="H794" s="65" t="s">
        <v>220</v>
      </c>
      <c r="I794" s="65" t="s">
        <v>55</v>
      </c>
      <c r="J794" s="65" t="s">
        <v>358</v>
      </c>
      <c r="K794" s="65" t="s">
        <v>57</v>
      </c>
      <c r="L794" s="65" t="s">
        <v>98</v>
      </c>
      <c r="M794" s="65" t="s">
        <v>98</v>
      </c>
      <c r="N794" s="65" t="s">
        <v>99</v>
      </c>
      <c r="O794" s="65" t="s">
        <v>99</v>
      </c>
      <c r="P794" s="65" t="s">
        <v>100</v>
      </c>
    </row>
    <row r="795" spans="1:16" s="65" customFormat="1" hidden="1" x14ac:dyDescent="0.25">
      <c r="A795" s="65" t="s">
        <v>364</v>
      </c>
      <c r="B795" s="292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2</v>
      </c>
      <c r="F795" s="65">
        <f ca="1">OFFSET(Data!$CS$91,MATCH("W1",Data!$A$91:$A$190,0)-1,MATCH(C795,Data!$CS$90:$DS$90,0)-1)</f>
        <v>8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7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8 throws</v>
      </c>
      <c r="M795" s="65" t="s">
        <v>14</v>
      </c>
      <c r="N795" s="65" t="s">
        <v>249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364</v>
      </c>
      <c r="B796" s="292"/>
      <c r="C796" s="65">
        <f>INDEX(Parameter!$9:$9,,MATCH(11,Parameter!$8:$8,0))</f>
        <v>12</v>
      </c>
      <c r="D796" s="65">
        <f>INDEX(Parameter!$B$10:$AB$10,MATCH(C796,Parameter!$B$9:$AB$9,0))</f>
        <v>3</v>
      </c>
      <c r="E796" s="65">
        <f>COUNTIF(Data!$DY$90:$IB$90,Specials!C796)</f>
        <v>2</v>
      </c>
      <c r="F796" s="65">
        <f ca="1">OFFSET(Data!$CS$91,MATCH("W1",Data!$A$91:$A$190,0)-1,MATCH(C796,Data!$CS$90:$DS$90,0)-1)</f>
        <v>6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5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6 throws</v>
      </c>
      <c r="M796" s="65" t="s">
        <v>14</v>
      </c>
      <c r="N796" s="65" t="s">
        <v>249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364</v>
      </c>
      <c r="B797" s="292"/>
      <c r="C797" s="65">
        <f>INDEX(Parameter!$9:$9,,MATCH(12,Parameter!$8:$8,0))</f>
        <v>14</v>
      </c>
      <c r="D797" s="65">
        <f>INDEX(Parameter!$B$10:$AB$10,MATCH(C797,Parameter!$B$9:$AB$9,0))</f>
        <v>4</v>
      </c>
      <c r="E797" s="65">
        <f>COUNTIF(Data!$DY$90:$IB$90,Specials!C797)</f>
        <v>2</v>
      </c>
      <c r="F797" s="65">
        <f ca="1">OFFSET(Data!$CS$91,MATCH("W1",Data!$A$91:$A$190,0)-1,MATCH(C797,Data!$CS$90:$DS$90,0)-1)</f>
        <v>11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9</v>
      </c>
      <c r="H797" s="65">
        <f t="array" aca="1" ref="H797" ca="1">IF(AND(G797&lt;=F797-E797*1,G797&lt;&gt;0),SUM(IF((OFFSET(Data!$CS$91:$CS$190,,MATCH(C797,Data!$CS$90:$DS$90,0)-1)=Specials!G797)*(Data!$DW$91:$DW$190="W"),1)),0)</f>
        <v>1</v>
      </c>
      <c r="K797" s="65" t="str">
        <f t="array" aca="1" ref="K797" ca="1">IF(H797=1,INDEX(Data!$DT$91:$DT$190,MATCH(G797,(OFFSET(Data!$CS$91:$CS$190,,MATCH(C797,Data!$CS$90:$DS$90,0)-1))*(Data!$DW$91:$DW$190="W"),0)),H797&amp;" Players")</f>
        <v>Irmgard Derschmidt</v>
      </c>
      <c r="L797" s="65" t="str">
        <f t="shared" ca="1" si="57"/>
        <v>Best women took 11 throws</v>
      </c>
      <c r="M797" s="65" t="s">
        <v>14</v>
      </c>
      <c r="N797" s="65" t="s">
        <v>249</v>
      </c>
      <c r="O797" s="65" t="e">
        <f t="shared" ca="1" si="54"/>
        <v>#VALUE!</v>
      </c>
      <c r="P797" s="65" t="str">
        <f t="shared" ca="1" si="56"/>
        <v>On hole 14 (par 4) Irmgard Derschmidt played 2 throws better than best women (2 rounds)</v>
      </c>
    </row>
    <row r="798" spans="1:16" s="65" customFormat="1" hidden="1" x14ac:dyDescent="0.25">
      <c r="A798" s="65" t="s">
        <v>364</v>
      </c>
      <c r="B798" s="292"/>
      <c r="C798" s="65">
        <f>INDEX(Parameter!$9:$9,,MATCH(13,Parameter!$8:$8,0))</f>
        <v>15</v>
      </c>
      <c r="D798" s="65">
        <f>INDEX(Parameter!$B$10:$AB$10,MATCH(C798,Parameter!$B$9:$AB$9,0))</f>
        <v>4</v>
      </c>
      <c r="E798" s="65">
        <f>COUNTIF(Data!$DY$90:$IB$90,Specials!C798)</f>
        <v>2</v>
      </c>
      <c r="F798" s="65">
        <f ca="1">OFFSET(Data!$CS$91,MATCH("W1",Data!$A$91:$A$190,0)-1,MATCH(C798,Data!$CS$90:$DS$90,0)-1)</f>
        <v>8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7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8 throws</v>
      </c>
      <c r="M798" s="65" t="s">
        <v>14</v>
      </c>
      <c r="N798" s="65" t="s">
        <v>249</v>
      </c>
      <c r="O798" s="65" t="e">
        <f t="shared" ca="1" si="54"/>
        <v>#VALUE!</v>
      </c>
      <c r="P798" s="65" t="str">
        <f t="shared" ca="1" si="56"/>
        <v/>
      </c>
    </row>
    <row r="799" spans="1:16" s="65" customFormat="1" hidden="1" x14ac:dyDescent="0.25">
      <c r="A799" s="65" t="s">
        <v>364</v>
      </c>
      <c r="B799" s="292"/>
      <c r="C799" s="65">
        <f>INDEX(Parameter!$9:$9,,MATCH(14,Parameter!$8:$8,0))</f>
        <v>16</v>
      </c>
      <c r="D799" s="65">
        <f>INDEX(Parameter!$B$10:$AB$10,MATCH(C799,Parameter!$B$9:$AB$9,0))</f>
        <v>3</v>
      </c>
      <c r="E799" s="65">
        <f>COUNTIF(Data!$DY$90:$IB$90,Specials!C799)</f>
        <v>2</v>
      </c>
      <c r="F799" s="65">
        <f ca="1">OFFSET(Data!$CS$91,MATCH("W1",Data!$A$91:$A$190,0)-1,MATCH(C799,Data!$CS$90:$DS$90,0)-1)</f>
        <v>5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5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5 throws</v>
      </c>
      <c r="M799" s="65" t="s">
        <v>14</v>
      </c>
      <c r="N799" s="65" t="s">
        <v>249</v>
      </c>
      <c r="O799" s="65" t="e">
        <f t="shared" ca="1" si="54"/>
        <v>#VALUE!</v>
      </c>
      <c r="P799" s="65" t="str">
        <f t="shared" ca="1" si="56"/>
        <v/>
      </c>
    </row>
    <row r="800" spans="1:16" s="65" customFormat="1" hidden="1" x14ac:dyDescent="0.25">
      <c r="A800" s="65" t="s">
        <v>364</v>
      </c>
      <c r="B800" s="292"/>
      <c r="C800" s="65">
        <f>INDEX(Parameter!$9:$9,,MATCH(15,Parameter!$8:$8,0))</f>
        <v>17</v>
      </c>
      <c r="D800" s="65">
        <f>INDEX(Parameter!$B$10:$AB$10,MATCH(C800,Parameter!$B$9:$AB$9,0))</f>
        <v>3</v>
      </c>
      <c r="E800" s="65">
        <f>COUNTIF(Data!$DY$90:$IB$90,Specials!C800)</f>
        <v>2</v>
      </c>
      <c r="F800" s="65">
        <f ca="1">OFFSET(Data!$CS$91,MATCH("W1",Data!$A$91:$A$190,0)-1,MATCH(C800,Data!$CS$90:$DS$90,0)-1)</f>
        <v>6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6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6 throws</v>
      </c>
      <c r="M800" s="65" t="s">
        <v>14</v>
      </c>
      <c r="N800" s="65" t="s">
        <v>249</v>
      </c>
      <c r="O800" s="65" t="e">
        <f t="shared" ca="1" si="54"/>
        <v>#VALUE!</v>
      </c>
      <c r="P800" s="65" t="str">
        <f t="shared" ca="1" si="56"/>
        <v/>
      </c>
    </row>
    <row r="801" spans="1:16" s="65" customFormat="1" hidden="1" x14ac:dyDescent="0.25">
      <c r="A801" s="65" t="s">
        <v>364</v>
      </c>
      <c r="B801" s="292"/>
      <c r="C801" s="65">
        <f>INDEX(Parameter!$9:$9,,MATCH(16,Parameter!$8:$8,0))</f>
        <v>18</v>
      </c>
      <c r="D801" s="65">
        <f>INDEX(Parameter!$B$10:$AB$10,MATCH(C801,Parameter!$B$9:$AB$9,0))</f>
        <v>3</v>
      </c>
      <c r="E801" s="65">
        <f>COUNTIF(Data!$DY$90:$IB$90,Specials!C801)</f>
        <v>2</v>
      </c>
      <c r="F801" s="65">
        <f ca="1">OFFSET(Data!$CS$91,MATCH("W1",Data!$A$91:$A$190,0)-1,MATCH(C801,Data!$CS$90:$DS$90,0)-1)</f>
        <v>6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5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6 throws</v>
      </c>
      <c r="M801" s="65" t="s">
        <v>14</v>
      </c>
      <c r="N801" s="65" t="s">
        <v>249</v>
      </c>
      <c r="O801" s="65" t="e">
        <f t="shared" ca="1" si="54"/>
        <v>#VALUE!</v>
      </c>
      <c r="P801" s="65" t="str">
        <f t="shared" ca="1" si="56"/>
        <v/>
      </c>
    </row>
    <row r="802" spans="1:16" s="65" customFormat="1" hidden="1" x14ac:dyDescent="0.25">
      <c r="A802" s="65" t="s">
        <v>364</v>
      </c>
      <c r="B802" s="292"/>
      <c r="C802" s="65" t="str">
        <f>INDEX(Parameter!$9:$9,,MATCH(17,Parameter!$8:$8,0))</f>
        <v>17a</v>
      </c>
      <c r="D802" s="65" t="str">
        <f>INDEX(Parameter!$B$10:$AB$10,MATCH(C802,Parameter!$B$9:$AB$9,0))</f>
        <v>no</v>
      </c>
      <c r="E802" s="65">
        <f>COUNTIF(Data!$DY$90:$IB$90,Specials!C802)</f>
        <v>0</v>
      </c>
      <c r="F802" s="65">
        <f ca="1">OFFSET(Data!$CS$91,MATCH("W1",Data!$A$91:$A$190,0)-1,MATCH(C802,Data!$CS$90:$DS$90,0)-1)</f>
        <v>0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0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0 throws</v>
      </c>
      <c r="M802" s="65" t="s">
        <v>14</v>
      </c>
      <c r="N802" s="65" t="s">
        <v>249</v>
      </c>
      <c r="O802" s="65" t="e">
        <f t="shared" ca="1" si="54"/>
        <v>#VALUE!</v>
      </c>
      <c r="P802" s="65" t="str">
        <f t="shared" ca="1" si="56"/>
        <v/>
      </c>
    </row>
    <row r="803" spans="1:16" s="65" customFormat="1" hidden="1" x14ac:dyDescent="0.25">
      <c r="A803" s="65" t="s">
        <v>364</v>
      </c>
      <c r="B803" s="292"/>
      <c r="C803" s="65" t="str">
        <f>INDEX(Parameter!$9:$9,,MATCH(18,Parameter!$8:$8,0))</f>
        <v>18a</v>
      </c>
      <c r="D803" s="65" t="str">
        <f>INDEX(Parameter!$B$10:$AB$10,MATCH(C803,Parameter!$B$9:$AB$9,0))</f>
        <v>no</v>
      </c>
      <c r="E803" s="65">
        <f>COUNTIF(Data!$DY$90:$IB$90,Specials!C803)</f>
        <v>0</v>
      </c>
      <c r="F803" s="65">
        <f ca="1">OFFSET(Data!$CS$91,MATCH("W1",Data!$A$91:$A$190,0)-1,MATCH(C803,Data!$CS$90:$DS$90,0)-1)</f>
        <v>0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0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0 throws</v>
      </c>
      <c r="M803" s="65" t="s">
        <v>14</v>
      </c>
      <c r="N803" s="65" t="s">
        <v>249</v>
      </c>
      <c r="O803" s="65" t="e">
        <f t="shared" ca="1" si="54"/>
        <v>#VALUE!</v>
      </c>
      <c r="P803" s="65" t="str">
        <f t="shared" ca="1" si="56"/>
        <v/>
      </c>
    </row>
    <row r="804" spans="1:16" s="65" customFormat="1" hidden="1" x14ac:dyDescent="0.25">
      <c r="A804" s="65" t="s">
        <v>364</v>
      </c>
      <c r="B804" s="292"/>
      <c r="C804" s="65">
        <f>INDEX(Parameter!$9:$9,,MATCH(19,Parameter!$8:$8,0))</f>
        <v>19</v>
      </c>
      <c r="D804" s="65" t="str">
        <f>INDEX(Parameter!$B$10:$AB$10,MATCH(C804,Parameter!$B$9:$AB$9,0))</f>
        <v>no</v>
      </c>
      <c r="E804" s="65">
        <f>COUNTIF(Data!$DY$90:$IB$90,Specials!C804)</f>
        <v>0</v>
      </c>
      <c r="F804" s="65">
        <f ca="1">OFFSET(Data!$CS$91,MATCH("W1",Data!$A$91:$A$190,0)-1,MATCH(C804,Data!$CS$90:$DS$90,0)-1)</f>
        <v>0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0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0 throws</v>
      </c>
      <c r="M804" s="65" t="s">
        <v>14</v>
      </c>
      <c r="N804" s="65" t="s">
        <v>249</v>
      </c>
      <c r="O804" s="65" t="e">
        <f t="shared" ca="1" si="54"/>
        <v>#VALUE!</v>
      </c>
      <c r="P804" s="65" t="str">
        <f t="shared" ca="1" si="56"/>
        <v/>
      </c>
    </row>
    <row r="805" spans="1:16" s="65" customFormat="1" hidden="1" x14ac:dyDescent="0.25">
      <c r="A805" s="65" t="s">
        <v>364</v>
      </c>
      <c r="B805" s="292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249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364</v>
      </c>
      <c r="B806" s="292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249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364</v>
      </c>
      <c r="B807" s="292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249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364</v>
      </c>
      <c r="B808" s="292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249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364</v>
      </c>
      <c r="B809" s="292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249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364</v>
      </c>
      <c r="B810" s="292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249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364</v>
      </c>
      <c r="B811" s="292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249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364</v>
      </c>
      <c r="B812" s="292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249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5" t="str">
        <f>"# Triple-Bogeys Women Rating &gt; "&amp;Parameter!$B$33</f>
        <v># Triple-Bogeys Women Rating &gt; 600</v>
      </c>
      <c r="B813" s="295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4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249</v>
      </c>
      <c r="O813" s="78" t="e">
        <f t="shared" ca="1" si="54"/>
        <v>#VALUE!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5" t="str">
        <f>"# Triple-Bogeys Women Rating &gt; "&amp;Parameter!$B$33</f>
        <v># Triple-Bogeys Women Rating &gt; 600</v>
      </c>
      <c r="B814" s="295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4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14</v>
      </c>
      <c r="N814" s="78" t="s">
        <v>249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5" t="str">
        <f>"# Triple-Bogeys Women Rating &gt; "&amp;Parameter!$B$33</f>
        <v># Triple-Bogeys Women Rating &gt; 600</v>
      </c>
      <c r="B815" s="295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4</v>
      </c>
      <c r="H815" s="78">
        <f ca="1">INDEX(OFFSET(Data!$CS$1:$DS$1,B815-1,0),MATCH("Total/"&amp;C815,Data!$CS$1:$DS$1,0))</f>
        <v>1</v>
      </c>
      <c r="I815" s="78">
        <f t="shared" ca="1" si="58"/>
        <v>7</v>
      </c>
      <c r="J815" s="78">
        <f t="array" aca="1" ref="J815" ca="1">IF(H815=1,MATCH(1,(OFFSET(Data!$DY$1:$IB$1,B815-1,0))*(Data!$DY$90:$IB$90=C815),0),"")</f>
        <v>3</v>
      </c>
      <c r="K815" s="78">
        <f t="array" aca="1" ref="K815" ca="1">IF(H815=1,MATCH(I815,OFFSET(Data!$DX$91:$DX$190,0,Specials!J815)*(Data!$AM$91:$AM$190&gt;Parameter!$B$33)*(Data!$DW$91:$DW$190="W"),0),"")</f>
        <v>48</v>
      </c>
      <c r="L815" s="78" t="str">
        <f ca="1">IF(H815=1,INDEX(Data!$DT$91:$DT$190,$K815)&amp;" / "&amp;OFFSET(Data!$DX$89,0,Specials!J815),"")</f>
        <v>Veronika Tóth / Round 1</v>
      </c>
      <c r="M815" s="78" t="s">
        <v>14</v>
      </c>
      <c r="N815" s="78" t="s">
        <v>249</v>
      </c>
      <c r="O815" s="78" t="e">
        <f t="shared" ca="1" si="54"/>
        <v>#VALUE!</v>
      </c>
      <c r="P815" s="78" t="str">
        <f t="shared" ca="1" si="59"/>
        <v>Only 1 Triple-Bogey on hole 3 (par 4)</v>
      </c>
    </row>
    <row r="816" spans="1:16" s="78" customFormat="1" hidden="1" x14ac:dyDescent="0.25">
      <c r="A816" s="315" t="str">
        <f>"# Triple-Bogeys Women Rating &gt; "&amp;Parameter!$B$33</f>
        <v># Triple-Bogeys Women Rating &gt; 600</v>
      </c>
      <c r="B816" s="295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249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5" t="str">
        <f>"# Triple-Bogeys Women Rating &gt; "&amp;Parameter!$B$33</f>
        <v># Triple-Bogeys Women Rating &gt; 600</v>
      </c>
      <c r="B817" s="295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249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5" t="str">
        <f>"# Triple-Bogeys Women Rating &gt; "&amp;Parameter!$B$33</f>
        <v># Triple-Bogeys Women Rating &gt; 600</v>
      </c>
      <c r="B818" s="295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5</v>
      </c>
      <c r="H818" s="78">
        <f ca="1">INDEX(OFFSET(Data!$CS$1:$DS$1,B818-1,0),MATCH("Total/"&amp;C818,Data!$CS$1:$DS$1,0))</f>
        <v>1</v>
      </c>
      <c r="I818" s="78">
        <f t="shared" ca="1" si="58"/>
        <v>8</v>
      </c>
      <c r="J818" s="78">
        <f t="array" aca="1" ref="J818" ca="1">IF(H818=1,MATCH(1,(OFFSET(Data!$DY$1:$IB$1,B818-1,0))*(Data!$DY$90:$IB$90=C818),0),"")</f>
        <v>6</v>
      </c>
      <c r="K818" s="78">
        <f t="array" aca="1" ref="K818" ca="1">IF(H818=1,MATCH(I818,OFFSET(Data!$DX$91:$DX$190,0,Specials!J818)*(Data!$AM$91:$AM$190&gt;Parameter!$B$33)*(Data!$DW$91:$DW$190="W"),0),"")</f>
        <v>19</v>
      </c>
      <c r="L818" s="78" t="str">
        <f ca="1">IF(H818=1,INDEX(Data!$DT$91:$DT$190,$K818)&amp;" / "&amp;OFFSET(Data!$DX$89,0,Specials!J818),"")</f>
        <v>Sona Švecová / Round 1</v>
      </c>
      <c r="M818" s="78" t="s">
        <v>14</v>
      </c>
      <c r="N818" s="78" t="s">
        <v>249</v>
      </c>
      <c r="O818" s="78" t="e">
        <f t="shared" ca="1" si="54"/>
        <v>#VALUE!</v>
      </c>
      <c r="P818" s="78" t="str">
        <f t="shared" ca="1" si="59"/>
        <v>Only 1 Triple-Bogey on hole 6 (par 5)</v>
      </c>
    </row>
    <row r="819" spans="1:16" s="78" customFormat="1" hidden="1" x14ac:dyDescent="0.25">
      <c r="A819" s="315" t="str">
        <f>"# Triple-Bogeys Women Rating &gt; "&amp;Parameter!$B$33</f>
        <v># Triple-Bogeys Women Rating &gt; 600</v>
      </c>
      <c r="B819" s="295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14</v>
      </c>
      <c r="N819" s="78" t="s">
        <v>249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5" t="str">
        <f>"# Triple-Bogeys Women Rating &gt; "&amp;Parameter!$B$33</f>
        <v># Triple-Bogeys Women Rating &gt; 600</v>
      </c>
      <c r="B820" s="295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249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5" t="str">
        <f>"# Triple-Bogeys Women Rating &gt; "&amp;Parameter!$B$33</f>
        <v># Triple-Bogeys Women Rating &gt; 600</v>
      </c>
      <c r="B821" s="295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2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14</v>
      </c>
      <c r="N821" s="78" t="s">
        <v>249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5" t="str">
        <f>"# Triple-Bogeys Women Rating &gt; "&amp;Parameter!$B$33</f>
        <v># Triple-Bogeys Women Rating &gt; 600</v>
      </c>
      <c r="B822" s="295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14</v>
      </c>
      <c r="N822" s="78" t="s">
        <v>249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5" t="str">
        <f>"# Triple-Bogeys Women Rating &gt; "&amp;Parameter!$B$33</f>
        <v># Triple-Bogeys Women Rating &gt; 600</v>
      </c>
      <c r="B823" s="295">
        <f>MATCH(A823,Data!$DT:$DT,0)</f>
        <v>15</v>
      </c>
      <c r="C823" s="78">
        <f>INDEX(Parameter!$9:$9,,MATCH(11,Parameter!$8:$8,0))</f>
        <v>12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249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5" t="str">
        <f>"# Triple-Bogeys Women Rating &gt; "&amp;Parameter!$B$33</f>
        <v># Triple-Bogeys Women Rating &gt; 600</v>
      </c>
      <c r="B824" s="295">
        <f>MATCH(A824,Data!$DT:$DT,0)</f>
        <v>15</v>
      </c>
      <c r="C824" s="78">
        <f>INDEX(Parameter!$9:$9,,MATCH(12,Parameter!$8:$8,0))</f>
        <v>14</v>
      </c>
      <c r="D824" s="78">
        <f>INDEX(Parameter!$B$10:$AB$10,MATCH(C824,Parameter!$B$9:$AB$9,0))</f>
        <v>4</v>
      </c>
      <c r="H824" s="78">
        <f ca="1">INDEX(OFFSET(Data!$CS$1:$DS$1,B824-1,0),MATCH("Total/"&amp;C824,Data!$CS$1:$DS$1,0))</f>
        <v>1</v>
      </c>
      <c r="I824" s="78">
        <f t="shared" ca="1" si="58"/>
        <v>7</v>
      </c>
      <c r="J824" s="78">
        <f t="array" aca="1" ref="J824" ca="1">IF(H824=1,MATCH(1,(OFFSET(Data!$DY$1:$IB$1,B824-1,0))*(Data!$DY$90:$IB$90=C824),0),"")</f>
        <v>28</v>
      </c>
      <c r="K824" s="78">
        <f t="array" aca="1" ref="K824" ca="1">IF(H824=1,MATCH(I824,OFFSET(Data!$DX$91:$DX$190,0,Specials!J824)*(Data!$AM$91:$AM$190&gt;Parameter!$B$33)*(Data!$DW$91:$DW$190="W"),0),"")</f>
        <v>19</v>
      </c>
      <c r="L824" s="78" t="str">
        <f ca="1">IF(H824=1,INDEX(Data!$DT$91:$DT$190,$K824)&amp;" / "&amp;OFFSET(Data!$DX$89,0,Specials!J824),"")</f>
        <v>Sona Švecová / Round 2</v>
      </c>
      <c r="M824" s="78" t="s">
        <v>14</v>
      </c>
      <c r="N824" s="78" t="s">
        <v>249</v>
      </c>
      <c r="O824" s="78" t="e">
        <f t="shared" ca="1" si="54"/>
        <v>#VALUE!</v>
      </c>
      <c r="P824" s="78" t="str">
        <f t="shared" ca="1" si="59"/>
        <v>Only 1 Triple-Bogey on hole 14 (par 4)</v>
      </c>
    </row>
    <row r="825" spans="1:16" s="78" customFormat="1" hidden="1" x14ac:dyDescent="0.25">
      <c r="A825" s="315" t="str">
        <f>"# Triple-Bogeys Women Rating &gt; "&amp;Parameter!$B$33</f>
        <v># Triple-Bogeys Women Rating &gt; 600</v>
      </c>
      <c r="B825" s="295">
        <f>MATCH(A825,Data!$DT:$DT,0)</f>
        <v>15</v>
      </c>
      <c r="C825" s="78">
        <f>INDEX(Parameter!$9:$9,,MATCH(13,Parameter!$8:$8,0))</f>
        <v>15</v>
      </c>
      <c r="D825" s="78">
        <f>INDEX(Parameter!$B$10:$AB$10,MATCH(C825,Parameter!$B$9:$AB$9,0))</f>
        <v>4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249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5" t="str">
        <f>"# Triple-Bogeys Women Rating &gt; "&amp;Parameter!$B$33</f>
        <v># Triple-Bogeys Women Rating &gt; 600</v>
      </c>
      <c r="B826" s="295">
        <f>MATCH(A826,Data!$DT:$DT,0)</f>
        <v>15</v>
      </c>
      <c r="C826" s="78">
        <f>INDEX(Parameter!$9:$9,,MATCH(14,Parameter!$8:$8,0))</f>
        <v>16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249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5" t="str">
        <f>"# Triple-Bogeys Women Rating &gt; "&amp;Parameter!$B$33</f>
        <v># Triple-Bogeys Women Rating &gt; 600</v>
      </c>
      <c r="B827" s="295">
        <f>MATCH(A827,Data!$DT:$DT,0)</f>
        <v>15</v>
      </c>
      <c r="C827" s="78">
        <f>INDEX(Parameter!$9:$9,,MATCH(15,Parameter!$8:$8,0))</f>
        <v>17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1</v>
      </c>
      <c r="I827" s="78">
        <f t="shared" ca="1" si="58"/>
        <v>6</v>
      </c>
      <c r="J827" s="78">
        <f t="array" aca="1" ref="J827" ca="1">IF(H827=1,MATCH(1,(OFFSET(Data!$DY$1:$IB$1,B827-1,0))*(Data!$DY$90:$IB$90=C827),0),"")</f>
        <v>15</v>
      </c>
      <c r="K827" s="78">
        <f t="array" aca="1" ref="K827" ca="1">IF(H827=1,MATCH(I827,OFFSET(Data!$DX$91:$DX$190,0,Specials!J827)*(Data!$AM$91:$AM$190&gt;Parameter!$B$33)*(Data!$DW$91:$DW$190="W"),0),"")</f>
        <v>7</v>
      </c>
      <c r="L827" s="78" t="str">
        <f ca="1">IF(H827=1,INDEX(Data!$DT$91:$DT$190,$K827)&amp;" / "&amp;OFFSET(Data!$DX$89,0,Specials!J827),"")</f>
        <v>Irmgard Derschmidt / Round 1</v>
      </c>
      <c r="M827" s="78" t="s">
        <v>14</v>
      </c>
      <c r="N827" s="78" t="s">
        <v>249</v>
      </c>
      <c r="O827" s="78" t="e">
        <f t="shared" ca="1" si="54"/>
        <v>#VALUE!</v>
      </c>
      <c r="P827" s="78" t="str">
        <f t="shared" ca="1" si="59"/>
        <v>Only 1 Triple-Bogey on hole 17 (par 3)</v>
      </c>
    </row>
    <row r="828" spans="1:16" s="78" customFormat="1" hidden="1" x14ac:dyDescent="0.25">
      <c r="A828" s="315" t="str">
        <f>"# Triple-Bogeys Women Rating &gt; "&amp;Parameter!$B$33</f>
        <v># Triple-Bogeys Women Rating &gt; 600</v>
      </c>
      <c r="B828" s="295">
        <f>MATCH(A828,Data!$DT:$DT,0)</f>
        <v>15</v>
      </c>
      <c r="C828" s="78">
        <f>INDEX(Parameter!$9:$9,,MATCH(16,Parameter!$8:$8,0))</f>
        <v>18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249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5" t="str">
        <f>"# Triple-Bogeys Women Rating &gt; "&amp;Parameter!$B$33</f>
        <v># Triple-Bogeys Women Rating &gt; 600</v>
      </c>
      <c r="B829" s="295">
        <f>MATCH(A829,Data!$DT:$DT,0)</f>
        <v>15</v>
      </c>
      <c r="C829" s="78" t="str">
        <f>INDEX(Parameter!$9:$9,,MATCH(17,Parameter!$8:$8,0))</f>
        <v>17a</v>
      </c>
      <c r="D829" s="78" t="str">
        <f>INDEX(Parameter!$B$10:$AB$10,MATCH(C829,Parameter!$B$9:$AB$9,0))</f>
        <v>no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249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5" t="str">
        <f>"# Triple-Bogeys Women Rating &gt; "&amp;Parameter!$B$33</f>
        <v># Triple-Bogeys Women Rating &gt; 600</v>
      </c>
      <c r="B830" s="295">
        <f>MATCH(A830,Data!$DT:$DT,0)</f>
        <v>15</v>
      </c>
      <c r="C830" s="78" t="str">
        <f>INDEX(Parameter!$9:$9,,MATCH(18,Parameter!$8:$8,0))</f>
        <v>18a</v>
      </c>
      <c r="D830" s="78" t="str">
        <f>INDEX(Parameter!$B$10:$AB$10,MATCH(C830,Parameter!$B$9:$AB$9,0))</f>
        <v>no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249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5" t="str">
        <f>"# Triple-Bogeys Women Rating &gt; "&amp;Parameter!$B$33</f>
        <v># Triple-Bogeys Women Rating &gt; 600</v>
      </c>
      <c r="B831" s="295">
        <f>MATCH(A831,Data!$DT:$DT,0)</f>
        <v>15</v>
      </c>
      <c r="C831" s="78">
        <f>INDEX(Parameter!$9:$9,,MATCH(19,Parameter!$8:$8,0))</f>
        <v>19</v>
      </c>
      <c r="D831" s="78" t="str">
        <f>INDEX(Parameter!$B$10:$AB$10,MATCH(C831,Parameter!$B$9:$AB$9,0))</f>
        <v>no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249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5" t="str">
        <f>"# Triple-Bogeys Women Rating &gt; "&amp;Parameter!$B$33</f>
        <v># Triple-Bogeys Women Rating &gt; 600</v>
      </c>
      <c r="B832" s="295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249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5" t="str">
        <f>"# Triple-Bogeys Women Rating &gt; "&amp;Parameter!$B$33</f>
        <v># Triple-Bogeys Women Rating &gt; 600</v>
      </c>
      <c r="B833" s="295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249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5" t="str">
        <f>"# Triple-Bogeys Women Rating &gt; "&amp;Parameter!$B$33</f>
        <v># Triple-Bogeys Women Rating &gt; 600</v>
      </c>
      <c r="B834" s="295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249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5" t="str">
        <f>"# Triple-Bogeys Women Rating &gt; "&amp;Parameter!$B$33</f>
        <v># Triple-Bogeys Women Rating &gt; 600</v>
      </c>
      <c r="B835" s="295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249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5" t="str">
        <f>"# Triple-Bogeys Women Rating &gt; "&amp;Parameter!$B$33</f>
        <v># Triple-Bogeys Women Rating &gt; 600</v>
      </c>
      <c r="B836" s="295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249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5" t="str">
        <f>"# Triple-Bogeys Women Rating &gt; "&amp;Parameter!$B$33</f>
        <v># Triple-Bogeys Women Rating &gt; 600</v>
      </c>
      <c r="B837" s="295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249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5" t="str">
        <f>"# Triple-Bogeys Women Rating &gt; "&amp;Parameter!$B$33</f>
        <v># Triple-Bogeys Women Rating &gt; 600</v>
      </c>
      <c r="B838" s="295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249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5" t="str">
        <f>"# Triple-Bogeys Women Rating &gt; "&amp;Parameter!$B$33</f>
        <v># Triple-Bogeys Women Rating &gt; 600</v>
      </c>
      <c r="B839" s="295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249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7" t="str">
        <f>"# Oh dear Women Rating &gt; "&amp;Parameter!$B$33</f>
        <v># Oh dear Women Rating &gt; 600</v>
      </c>
      <c r="B840" s="292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4</v>
      </c>
      <c r="H840" s="65">
        <f ca="1">INDEX(OFFSET(Data!$CS$1:$DS$1,B840-1,0),MATCH("Total/"&amp;C840,Data!$CS$1:$DS$1,0))</f>
        <v>1</v>
      </c>
      <c r="I840" s="65">
        <f ca="1">IF(H840=1,INDEX(Parameter!$B$10:$AB$10,MATCH(C840,Parameter!$B$9:$AB$9,0))+4,"")</f>
        <v>8</v>
      </c>
      <c r="J840" s="65">
        <f t="array" aca="1" ref="J840" ca="1">IF(H840=1,MATCH(1,(OFFSET(Data!$DY$1:$IB$1,B840-1,0))*(Data!$DY$90:$IB$90=C840),0),"")</f>
        <v>17</v>
      </c>
      <c r="K840" s="65">
        <f t="array" aca="1" ref="K840" ca="1">IF(H840=1,MATCH(I840,OFFSET(Data!$DX$91:$DX$190,0,Specials!J840)*(Data!$AM$91:$AM$190&gt;Parameter!$B$33)*(Data!$DW$91:$DW$190="W"),0),"")</f>
        <v>48</v>
      </c>
      <c r="L840" s="65" t="str">
        <f ca="1">IF(H840=1,INDEX(Data!$DT$91:$DT$190,$K840)&amp;" / "&amp;OFFSET(Data!$DX$89,0,Specials!J840),"")</f>
        <v>Veronika Tóth / Round 2</v>
      </c>
      <c r="M840" s="65" t="s">
        <v>14</v>
      </c>
      <c r="N840" s="65" t="s">
        <v>249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>Only 1 Oh Dear on hole 1 (par 4)</v>
      </c>
    </row>
    <row r="841" spans="1:16" s="65" customFormat="1" hidden="1" x14ac:dyDescent="0.25">
      <c r="A841" s="287" t="str">
        <f>"# Oh dear Women Rating &gt; "&amp;Parameter!$B$33</f>
        <v># Oh dear Women Rating &gt; 600</v>
      </c>
      <c r="B841" s="292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4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249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7" t="str">
        <f>"# Oh dear Women Rating &gt; "&amp;Parameter!$B$33</f>
        <v># Oh dear Women Rating &gt; 600</v>
      </c>
      <c r="B842" s="292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4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249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7" t="str">
        <f>"# Oh dear Women Rating &gt; "&amp;Parameter!$B$33</f>
        <v># Oh dear Women Rating &gt; 600</v>
      </c>
      <c r="B843" s="292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249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7" t="str">
        <f>"# Oh dear Women Rating &gt; "&amp;Parameter!$B$33</f>
        <v># Oh dear Women Rating &gt; 600</v>
      </c>
      <c r="B844" s="292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249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7" t="str">
        <f>"# Oh dear Women Rating &gt; "&amp;Parameter!$B$33</f>
        <v># Oh dear Women Rating &gt; 600</v>
      </c>
      <c r="B845" s="292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5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249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7" t="str">
        <f>"# Oh dear Women Rating &gt; "&amp;Parameter!$B$33</f>
        <v># Oh dear Women Rating &gt; 600</v>
      </c>
      <c r="B846" s="292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249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7" t="str">
        <f>"# Oh dear Women Rating &gt; "&amp;Parameter!$B$33</f>
        <v># Oh dear Women Rating &gt; 600</v>
      </c>
      <c r="B847" s="292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249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7" t="str">
        <f>"# Oh dear Women Rating &gt; "&amp;Parameter!$B$33</f>
        <v># Oh dear Women Rating &gt; 600</v>
      </c>
      <c r="B848" s="292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249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7" t="str">
        <f>"# Oh dear Women Rating &gt; "&amp;Parameter!$B$33</f>
        <v># Oh dear Women Rating &gt; 600</v>
      </c>
      <c r="B849" s="292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249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7" t="str">
        <f>"# Oh dear Women Rating &gt; "&amp;Parameter!$B$33</f>
        <v># Oh dear Women Rating &gt; 600</v>
      </c>
      <c r="B850" s="292">
        <f>MATCH(A850,Data!$DT:$DT,0)</f>
        <v>18</v>
      </c>
      <c r="C850" s="65">
        <f>INDEX(Parameter!$9:$9,,MATCH(11,Parameter!$8:$8,0))</f>
        <v>12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249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7" t="str">
        <f>"# Oh dear Women Rating &gt; "&amp;Parameter!$B$33</f>
        <v># Oh dear Women Rating &gt; 600</v>
      </c>
      <c r="B851" s="292">
        <f>MATCH(A851,Data!$DT:$DT,0)</f>
        <v>18</v>
      </c>
      <c r="C851" s="65">
        <f>INDEX(Parameter!$9:$9,,MATCH(12,Parameter!$8:$8,0))</f>
        <v>14</v>
      </c>
      <c r="D851" s="65">
        <f>INDEX(Parameter!$B$10:$AB$10,MATCH(C851,Parameter!$B$9:$AB$9,0))</f>
        <v>4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249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7" t="str">
        <f>"# Oh dear Women Rating &gt; "&amp;Parameter!$B$33</f>
        <v># Oh dear Women Rating &gt; 600</v>
      </c>
      <c r="B852" s="292">
        <f>MATCH(A852,Data!$DT:$DT,0)</f>
        <v>18</v>
      </c>
      <c r="C852" s="65">
        <f>INDEX(Parameter!$9:$9,,MATCH(13,Parameter!$8:$8,0))</f>
        <v>15</v>
      </c>
      <c r="D852" s="65">
        <f>INDEX(Parameter!$B$10:$AB$10,MATCH(C852,Parameter!$B$9:$AB$9,0))</f>
        <v>4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249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7" t="str">
        <f>"# Oh dear Women Rating &gt; "&amp;Parameter!$B$33</f>
        <v># Oh dear Women Rating &gt; 600</v>
      </c>
      <c r="B853" s="292">
        <f>MATCH(A853,Data!$DT:$DT,0)</f>
        <v>18</v>
      </c>
      <c r="C853" s="65">
        <f>INDEX(Parameter!$9:$9,,MATCH(14,Parameter!$8:$8,0))</f>
        <v>16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14</v>
      </c>
      <c r="N853" s="65" t="s">
        <v>249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7" t="str">
        <f>"# Oh dear Women Rating &gt; "&amp;Parameter!$B$33</f>
        <v># Oh dear Women Rating &gt; 600</v>
      </c>
      <c r="B854" s="292">
        <f>MATCH(A854,Data!$DT:$DT,0)</f>
        <v>18</v>
      </c>
      <c r="C854" s="65">
        <f>INDEX(Parameter!$9:$9,,MATCH(15,Parameter!$8:$8,0))</f>
        <v>17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249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7" t="str">
        <f>"# Oh dear Women Rating &gt; "&amp;Parameter!$B$33</f>
        <v># Oh dear Women Rating &gt; 600</v>
      </c>
      <c r="B855" s="292">
        <f>MATCH(A855,Data!$DT:$DT,0)</f>
        <v>18</v>
      </c>
      <c r="C855" s="65">
        <f>INDEX(Parameter!$9:$9,,MATCH(16,Parameter!$8:$8,0))</f>
        <v>18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249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7" t="str">
        <f>"# Oh dear Women Rating &gt; "&amp;Parameter!$B$33</f>
        <v># Oh dear Women Rating &gt; 600</v>
      </c>
      <c r="B856" s="292">
        <f>MATCH(A856,Data!$DT:$DT,0)</f>
        <v>18</v>
      </c>
      <c r="C856" s="65" t="str">
        <f>INDEX(Parameter!$9:$9,,MATCH(17,Parameter!$8:$8,0))</f>
        <v>17a</v>
      </c>
      <c r="D856" s="65" t="str">
        <f>INDEX(Parameter!$B$10:$AB$10,MATCH(C856,Parameter!$B$9:$AB$9,0))</f>
        <v>no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249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7" t="str">
        <f>"# Oh dear Women Rating &gt; "&amp;Parameter!$B$33</f>
        <v># Oh dear Women Rating &gt; 600</v>
      </c>
      <c r="B857" s="292">
        <f>MATCH(A857,Data!$DT:$DT,0)</f>
        <v>18</v>
      </c>
      <c r="C857" s="65" t="str">
        <f>INDEX(Parameter!$9:$9,,MATCH(18,Parameter!$8:$8,0))</f>
        <v>18a</v>
      </c>
      <c r="D857" s="65" t="str">
        <f>INDEX(Parameter!$B$10:$AB$10,MATCH(C857,Parameter!$B$9:$AB$9,0))</f>
        <v>no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249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7" t="str">
        <f>"# Oh dear Women Rating &gt; "&amp;Parameter!$B$33</f>
        <v># Oh dear Women Rating &gt; 600</v>
      </c>
      <c r="B858" s="292">
        <f>MATCH(A858,Data!$DT:$DT,0)</f>
        <v>18</v>
      </c>
      <c r="C858" s="65">
        <f>INDEX(Parameter!$9:$9,,MATCH(19,Parameter!$8:$8,0))</f>
        <v>19</v>
      </c>
      <c r="D858" s="65" t="str">
        <f>INDEX(Parameter!$B$10:$AB$10,MATCH(C858,Parameter!$B$9:$AB$9,0))</f>
        <v>no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249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7" t="str">
        <f>"# Oh dear Women Rating &gt; "&amp;Parameter!$B$33</f>
        <v># Oh dear Women Rating &gt; 600</v>
      </c>
      <c r="B859" s="292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249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7" t="str">
        <f>"# Oh dear Women Rating &gt; "&amp;Parameter!$B$33</f>
        <v># Oh dear Women Rating &gt; 600</v>
      </c>
      <c r="B860" s="292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249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7" t="str">
        <f>"# Oh dear Women Rating &gt; "&amp;Parameter!$B$33</f>
        <v># Oh dear Women Rating &gt; 600</v>
      </c>
      <c r="B861" s="292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249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7" t="str">
        <f>"# Oh dear Women Rating &gt; "&amp;Parameter!$B$33</f>
        <v># Oh dear Women Rating &gt; 600</v>
      </c>
      <c r="B862" s="292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249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7" t="str">
        <f>"# Oh dear Women Rating &gt; "&amp;Parameter!$B$33</f>
        <v># Oh dear Women Rating &gt; 600</v>
      </c>
      <c r="B863" s="292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249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7" t="str">
        <f>"# Oh dear Women Rating &gt; "&amp;Parameter!$B$33</f>
        <v># Oh dear Women Rating &gt; 600</v>
      </c>
      <c r="B864" s="292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249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7" t="str">
        <f>"# Oh dear Women Rating &gt; "&amp;Parameter!$B$33</f>
        <v># Oh dear Women Rating &gt; 600</v>
      </c>
      <c r="B865" s="292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249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7" t="str">
        <f>"# Oh dear Women Rating &gt; "&amp;Parameter!$B$33</f>
        <v># Oh dear Women Rating &gt; 600</v>
      </c>
      <c r="B866" s="292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249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7" t="str">
        <f>"# Oh dear Women Rating &gt; "&amp;Parameter!$B$33</f>
        <v># Oh dear Women Rating &gt; 600</v>
      </c>
      <c r="B867" s="292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4</v>
      </c>
      <c r="H867" s="65">
        <f ca="1">INDEX(OFFSET(Data!$CS$1:$DS$1,B867-1,0),MATCH("Total/"&amp;C867,Data!$CS$1:$DS$1,0))</f>
        <v>1</v>
      </c>
      <c r="I867" s="65">
        <f ca="1">IF(H867=1,INDEX(Parameter!$B$10:$AB$10,MATCH(C867,Parameter!$B$9:$AB$9,0))+5,"")</f>
        <v>9</v>
      </c>
      <c r="J867" s="65">
        <f t="array" aca="1" ref="J867" ca="1">IF(H867=1,MATCH(1,(OFFSET(Data!$DY$1:$IB$1,B867-1,0))*(Data!$DY$90:$IB$90=C867),0),"")</f>
        <v>17</v>
      </c>
      <c r="K867" s="65" t="e">
        <f t="array" aca="1" ref="K867" ca="1">IF(H867=1,MATCH(I867,OFFSET(Data!$DX$91:$DX$190,0,Specials!J867)*(Data!$AM$91:$AM$190&gt;Parameter!$B$33)*(Data!$DW$91:$DW$190="W"),0),"")</f>
        <v>#N/A</v>
      </c>
      <c r="L867" s="65" t="e">
        <f ca="1">IF(H867=1,INDEX(Data!$DT$91:$DT$190,$K867)&amp;" / "&amp;OFFSET(Data!$DX$89,0,Specials!J867),"")</f>
        <v>#N/A</v>
      </c>
      <c r="M867" s="65" t="s">
        <v>14</v>
      </c>
      <c r="N867" s="65" t="s">
        <v>249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7" t="str">
        <f>"# Oh dear Women Rating &gt; "&amp;Parameter!$B$33</f>
        <v># Oh dear Women Rating &gt; 600</v>
      </c>
      <c r="B868" s="292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4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249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7" t="str">
        <f>"# Oh dear Women Rating &gt; "&amp;Parameter!$B$33</f>
        <v># Oh dear Women Rating &gt; 600</v>
      </c>
      <c r="B869" s="292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4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249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7" t="str">
        <f>"# Oh dear Women Rating &gt; "&amp;Parameter!$B$33</f>
        <v># Oh dear Women Rating &gt; 600</v>
      </c>
      <c r="B870" s="292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249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7" t="str">
        <f>"# Oh dear Women Rating &gt; "&amp;Parameter!$B$33</f>
        <v># Oh dear Women Rating &gt; 600</v>
      </c>
      <c r="B871" s="292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249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7" t="str">
        <f>"# Oh dear Women Rating &gt; "&amp;Parameter!$B$33</f>
        <v># Oh dear Women Rating &gt; 600</v>
      </c>
      <c r="B872" s="292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5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249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7" t="str">
        <f>"# Oh dear Women Rating &gt; "&amp;Parameter!$B$33</f>
        <v># Oh dear Women Rating &gt; 600</v>
      </c>
      <c r="B873" s="292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249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7" t="str">
        <f>"# Oh dear Women Rating &gt; "&amp;Parameter!$B$33</f>
        <v># Oh dear Women Rating &gt; 600</v>
      </c>
      <c r="B874" s="292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249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7" t="str">
        <f>"# Oh dear Women Rating &gt; "&amp;Parameter!$B$33</f>
        <v># Oh dear Women Rating &gt; 600</v>
      </c>
      <c r="B875" s="292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249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7" t="str">
        <f>"# Oh dear Women Rating &gt; "&amp;Parameter!$B$33</f>
        <v># Oh dear Women Rating &gt; 600</v>
      </c>
      <c r="B876" s="292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249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7" t="str">
        <f>"# Oh dear Women Rating &gt; "&amp;Parameter!$B$33</f>
        <v># Oh dear Women Rating &gt; 600</v>
      </c>
      <c r="B877" s="292">
        <f>MATCH(A877,Data!$DT:$DT,0)</f>
        <v>18</v>
      </c>
      <c r="C877" s="65">
        <f>INDEX(Parameter!$9:$9,,MATCH(11,Parameter!$8:$8,0))</f>
        <v>12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249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7" t="str">
        <f>"# Oh dear Women Rating &gt; "&amp;Parameter!$B$33</f>
        <v># Oh dear Women Rating &gt; 600</v>
      </c>
      <c r="B878" s="292">
        <f>MATCH(A878,Data!$DT:$DT,0)</f>
        <v>18</v>
      </c>
      <c r="C878" s="65">
        <f>INDEX(Parameter!$9:$9,,MATCH(12,Parameter!$8:$8,0))</f>
        <v>14</v>
      </c>
      <c r="D878" s="65">
        <f>INDEX(Parameter!$B$10:$AB$10,MATCH(C878,Parameter!$B$9:$AB$9,0))</f>
        <v>4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249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7" t="str">
        <f>"# Oh dear Women Rating &gt; "&amp;Parameter!$B$33</f>
        <v># Oh dear Women Rating &gt; 600</v>
      </c>
      <c r="B879" s="292">
        <f>MATCH(A879,Data!$DT:$DT,0)</f>
        <v>18</v>
      </c>
      <c r="C879" s="65">
        <f>INDEX(Parameter!$9:$9,,MATCH(13,Parameter!$8:$8,0))</f>
        <v>15</v>
      </c>
      <c r="D879" s="65">
        <f>INDEX(Parameter!$B$10:$AB$10,MATCH(C879,Parameter!$B$9:$AB$9,0))</f>
        <v>4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249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7" t="str">
        <f>"# Oh dear Women Rating &gt; "&amp;Parameter!$B$33</f>
        <v># Oh dear Women Rating &gt; 600</v>
      </c>
      <c r="B880" s="292">
        <f>MATCH(A880,Data!$DT:$DT,0)</f>
        <v>18</v>
      </c>
      <c r="C880" s="65">
        <f>INDEX(Parameter!$9:$9,,MATCH(14,Parameter!$8:$8,0))</f>
        <v>16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14</v>
      </c>
      <c r="N880" s="65" t="s">
        <v>249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7" t="str">
        <f>"# Oh dear Women Rating &gt; "&amp;Parameter!$B$33</f>
        <v># Oh dear Women Rating &gt; 600</v>
      </c>
      <c r="B881" s="292">
        <f>MATCH(A881,Data!$DT:$DT,0)</f>
        <v>18</v>
      </c>
      <c r="C881" s="65">
        <f>INDEX(Parameter!$9:$9,,MATCH(15,Parameter!$8:$8,0))</f>
        <v>17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249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7" t="str">
        <f>"# Oh dear Women Rating &gt; "&amp;Parameter!$B$33</f>
        <v># Oh dear Women Rating &gt; 600</v>
      </c>
      <c r="B882" s="292">
        <f>MATCH(A882,Data!$DT:$DT,0)</f>
        <v>18</v>
      </c>
      <c r="C882" s="65">
        <f>INDEX(Parameter!$9:$9,,MATCH(16,Parameter!$8:$8,0))</f>
        <v>18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249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7" t="str">
        <f>"# Oh dear Women Rating &gt; "&amp;Parameter!$B$33</f>
        <v># Oh dear Women Rating &gt; 600</v>
      </c>
      <c r="B883" s="292">
        <f>MATCH(A883,Data!$DT:$DT,0)</f>
        <v>18</v>
      </c>
      <c r="C883" s="65" t="str">
        <f>INDEX(Parameter!$9:$9,,MATCH(17,Parameter!$8:$8,0))</f>
        <v>17a</v>
      </c>
      <c r="D883" s="65" t="str">
        <f>INDEX(Parameter!$B$10:$AB$10,MATCH(C883,Parameter!$B$9:$AB$9,0))</f>
        <v>no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249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7" t="str">
        <f>"# Oh dear Women Rating &gt; "&amp;Parameter!$B$33</f>
        <v># Oh dear Women Rating &gt; 600</v>
      </c>
      <c r="B884" s="292">
        <f>MATCH(A884,Data!$DT:$DT,0)</f>
        <v>18</v>
      </c>
      <c r="C884" s="65" t="str">
        <f>INDEX(Parameter!$9:$9,,MATCH(18,Parameter!$8:$8,0))</f>
        <v>18a</v>
      </c>
      <c r="D884" s="65" t="str">
        <f>INDEX(Parameter!$B$10:$AB$10,MATCH(C884,Parameter!$B$9:$AB$9,0))</f>
        <v>no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249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7" t="str">
        <f>"# Oh dear Women Rating &gt; "&amp;Parameter!$B$33</f>
        <v># Oh dear Women Rating &gt; 600</v>
      </c>
      <c r="B885" s="292">
        <f>MATCH(A885,Data!$DT:$DT,0)</f>
        <v>18</v>
      </c>
      <c r="C885" s="65">
        <f>INDEX(Parameter!$9:$9,,MATCH(19,Parameter!$8:$8,0))</f>
        <v>19</v>
      </c>
      <c r="D885" s="65" t="str">
        <f>INDEX(Parameter!$B$10:$AB$10,MATCH(C885,Parameter!$B$9:$AB$9,0))</f>
        <v>no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249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7" t="str">
        <f>"# Oh dear Women Rating &gt; "&amp;Parameter!$B$33</f>
        <v># Oh dear Women Rating &gt; 600</v>
      </c>
      <c r="B886" s="292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249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7" t="str">
        <f>"# Oh dear Women Rating &gt; "&amp;Parameter!$B$33</f>
        <v># Oh dear Women Rating &gt; 600</v>
      </c>
      <c r="B887" s="292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249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7" t="str">
        <f>"# Oh dear Women Rating &gt; "&amp;Parameter!$B$33</f>
        <v># Oh dear Women Rating &gt; 600</v>
      </c>
      <c r="B888" s="292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249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7" t="str">
        <f>"# Oh dear Women Rating &gt; "&amp;Parameter!$B$33</f>
        <v># Oh dear Women Rating &gt; 600</v>
      </c>
      <c r="B889" s="292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249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7" t="str">
        <f>"# Oh dear Women Rating &gt; "&amp;Parameter!$B$33</f>
        <v># Oh dear Women Rating &gt; 600</v>
      </c>
      <c r="B890" s="292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249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7" t="str">
        <f>"# Oh dear Women Rating &gt; "&amp;Parameter!$B$33</f>
        <v># Oh dear Women Rating &gt; 600</v>
      </c>
      <c r="B891" s="292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249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7" t="str">
        <f>"# Oh dear Women Rating &gt; "&amp;Parameter!$B$33</f>
        <v># Oh dear Women Rating &gt; 600</v>
      </c>
      <c r="B892" s="292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249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7" t="str">
        <f>"# Oh dear Women Rating &gt; "&amp;Parameter!$B$33</f>
        <v># Oh dear Women Rating &gt; 600</v>
      </c>
      <c r="B893" s="292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249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7" t="str">
        <f>"# Oh dear Women Rating &gt; "&amp;Parameter!$B$33</f>
        <v># Oh dear Women Rating &gt; 600</v>
      </c>
      <c r="B894" s="292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4</v>
      </c>
      <c r="H894" s="65">
        <f ca="1">INDEX(OFFSET(Data!$CS$1:$DS$1,B894-1,0),MATCH("Total/"&amp;C894,Data!$CS$1:$DS$1,0))</f>
        <v>1</v>
      </c>
      <c r="I894" s="65">
        <f ca="1">IF(H894=1,INDEX(Parameter!$B$10:$AB$10,MATCH(C894,Parameter!$B$9:$AB$9,0))+6,"")</f>
        <v>10</v>
      </c>
      <c r="J894" s="65">
        <f t="array" aca="1" ref="J894" ca="1">IF(H894=1,MATCH(1,(OFFSET(Data!$DY$1:$IB$1,B894-1,0))*(Data!$DY$90:$IB$90=C894),0),"")</f>
        <v>17</v>
      </c>
      <c r="K894" s="65" t="e">
        <f t="array" aca="1" ref="K894" ca="1">IF(H894=1,MATCH(I894,OFFSET(Data!$DX$91:$DX$190,0,Specials!J894)*(Data!$AM$91:$AM$190&gt;Parameter!$B$33)*(Data!$DW$91:$DW$190="W"),0),"")</f>
        <v>#N/A</v>
      </c>
      <c r="L894" s="65" t="e">
        <f ca="1">IF(H894=1,INDEX(Data!$DT$91:$DT$190,$K894)&amp;" / "&amp;OFFSET(Data!$DX$89,0,Specials!J894),"")</f>
        <v>#N/A</v>
      </c>
      <c r="M894" s="65" t="s">
        <v>14</v>
      </c>
      <c r="N894" s="65" t="s">
        <v>249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7" t="str">
        <f>"# Oh dear Women Rating &gt; "&amp;Parameter!$B$33</f>
        <v># Oh dear Women Rating &gt; 600</v>
      </c>
      <c r="B895" s="292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4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249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7" t="str">
        <f>"# Oh dear Women Rating &gt; "&amp;Parameter!$B$33</f>
        <v># Oh dear Women Rating &gt; 600</v>
      </c>
      <c r="B896" s="292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4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249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7" t="str">
        <f>"# Oh dear Women Rating &gt; "&amp;Parameter!$B$33</f>
        <v># Oh dear Women Rating &gt; 600</v>
      </c>
      <c r="B897" s="292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249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7" t="str">
        <f>"# Oh dear Women Rating &gt; "&amp;Parameter!$B$33</f>
        <v># Oh dear Women Rating &gt; 600</v>
      </c>
      <c r="B898" s="292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249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7" t="str">
        <f>"# Oh dear Women Rating &gt; "&amp;Parameter!$B$33</f>
        <v># Oh dear Women Rating &gt; 600</v>
      </c>
      <c r="B899" s="292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5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249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7" t="str">
        <f>"# Oh dear Women Rating &gt; "&amp;Parameter!$B$33</f>
        <v># Oh dear Women Rating &gt; 600</v>
      </c>
      <c r="B900" s="292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249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7" t="str">
        <f>"# Oh dear Women Rating &gt; "&amp;Parameter!$B$33</f>
        <v># Oh dear Women Rating &gt; 600</v>
      </c>
      <c r="B901" s="292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249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7" t="str">
        <f>"# Oh dear Women Rating &gt; "&amp;Parameter!$B$33</f>
        <v># Oh dear Women Rating &gt; 600</v>
      </c>
      <c r="B902" s="292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249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7" t="str">
        <f>"# Oh dear Women Rating &gt; "&amp;Parameter!$B$33</f>
        <v># Oh dear Women Rating &gt; 600</v>
      </c>
      <c r="B903" s="292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249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7" t="str">
        <f>"# Oh dear Women Rating &gt; "&amp;Parameter!$B$33</f>
        <v># Oh dear Women Rating &gt; 600</v>
      </c>
      <c r="B904" s="292">
        <f>MATCH(A904,Data!$DT:$DT,0)</f>
        <v>18</v>
      </c>
      <c r="C904" s="65">
        <f>INDEX(Parameter!$9:$9,,MATCH(11,Parameter!$8:$8,0))</f>
        <v>12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249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7" t="str">
        <f>"# Oh dear Women Rating &gt; "&amp;Parameter!$B$33</f>
        <v># Oh dear Women Rating &gt; 600</v>
      </c>
      <c r="B905" s="292">
        <f>MATCH(A905,Data!$DT:$DT,0)</f>
        <v>18</v>
      </c>
      <c r="C905" s="65">
        <f>INDEX(Parameter!$9:$9,,MATCH(12,Parameter!$8:$8,0))</f>
        <v>14</v>
      </c>
      <c r="D905" s="65">
        <f>INDEX(Parameter!$B$10:$AB$10,MATCH(C905,Parameter!$B$9:$AB$9,0))</f>
        <v>4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249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7" t="str">
        <f>"# Oh dear Women Rating &gt; "&amp;Parameter!$B$33</f>
        <v># Oh dear Women Rating &gt; 600</v>
      </c>
      <c r="B906" s="292">
        <f>MATCH(A906,Data!$DT:$DT,0)</f>
        <v>18</v>
      </c>
      <c r="C906" s="65">
        <f>INDEX(Parameter!$9:$9,,MATCH(13,Parameter!$8:$8,0))</f>
        <v>15</v>
      </c>
      <c r="D906" s="65">
        <f>INDEX(Parameter!$B$10:$AB$10,MATCH(C906,Parameter!$B$9:$AB$9,0))</f>
        <v>4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249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7" t="str">
        <f>"# Oh dear Women Rating &gt; "&amp;Parameter!$B$33</f>
        <v># Oh dear Women Rating &gt; 600</v>
      </c>
      <c r="B907" s="292">
        <f>MATCH(A907,Data!$DT:$DT,0)</f>
        <v>18</v>
      </c>
      <c r="C907" s="65">
        <f>INDEX(Parameter!$9:$9,,MATCH(14,Parameter!$8:$8,0))</f>
        <v>16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14</v>
      </c>
      <c r="N907" s="65" t="s">
        <v>249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7" t="str">
        <f>"# Oh dear Women Rating &gt; "&amp;Parameter!$B$33</f>
        <v># Oh dear Women Rating &gt; 600</v>
      </c>
      <c r="B908" s="292">
        <f>MATCH(A908,Data!$DT:$DT,0)</f>
        <v>18</v>
      </c>
      <c r="C908" s="65">
        <f>INDEX(Parameter!$9:$9,,MATCH(15,Parameter!$8:$8,0))</f>
        <v>17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249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7" t="str">
        <f>"# Oh dear Women Rating &gt; "&amp;Parameter!$B$33</f>
        <v># Oh dear Women Rating &gt; 600</v>
      </c>
      <c r="B909" s="292">
        <f>MATCH(A909,Data!$DT:$DT,0)</f>
        <v>18</v>
      </c>
      <c r="C909" s="65">
        <f>INDEX(Parameter!$9:$9,,MATCH(16,Parameter!$8:$8,0))</f>
        <v>18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249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7" t="str">
        <f>"# Oh dear Women Rating &gt; "&amp;Parameter!$B$33</f>
        <v># Oh dear Women Rating &gt; 600</v>
      </c>
      <c r="B910" s="292">
        <f>MATCH(A910,Data!$DT:$DT,0)</f>
        <v>18</v>
      </c>
      <c r="C910" s="65" t="str">
        <f>INDEX(Parameter!$9:$9,,MATCH(17,Parameter!$8:$8,0))</f>
        <v>17a</v>
      </c>
      <c r="D910" s="65" t="str">
        <f>INDEX(Parameter!$B$10:$AB$10,MATCH(C910,Parameter!$B$9:$AB$9,0))</f>
        <v>no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249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7" t="str">
        <f>"# Oh dear Women Rating &gt; "&amp;Parameter!$B$33</f>
        <v># Oh dear Women Rating &gt; 600</v>
      </c>
      <c r="B911" s="292">
        <f>MATCH(A911,Data!$DT:$DT,0)</f>
        <v>18</v>
      </c>
      <c r="C911" s="65" t="str">
        <f>INDEX(Parameter!$9:$9,,MATCH(18,Parameter!$8:$8,0))</f>
        <v>18a</v>
      </c>
      <c r="D911" s="65" t="str">
        <f>INDEX(Parameter!$B$10:$AB$10,MATCH(C911,Parameter!$B$9:$AB$9,0))</f>
        <v>no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249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7" t="str">
        <f>"# Oh dear Women Rating &gt; "&amp;Parameter!$B$33</f>
        <v># Oh dear Women Rating &gt; 600</v>
      </c>
      <c r="B912" s="292">
        <f>MATCH(A912,Data!$DT:$DT,0)</f>
        <v>18</v>
      </c>
      <c r="C912" s="65">
        <f>INDEX(Parameter!$9:$9,,MATCH(19,Parameter!$8:$8,0))</f>
        <v>19</v>
      </c>
      <c r="D912" s="65" t="str">
        <f>INDEX(Parameter!$B$10:$AB$10,MATCH(C912,Parameter!$B$9:$AB$9,0))</f>
        <v>no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249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7" t="str">
        <f>"# Oh dear Women Rating &gt; "&amp;Parameter!$B$33</f>
        <v># Oh dear Women Rating &gt; 600</v>
      </c>
      <c r="B913" s="292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249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7" t="str">
        <f>"# Oh dear Women Rating &gt; "&amp;Parameter!$B$33</f>
        <v># Oh dear Women Rating &gt; 600</v>
      </c>
      <c r="B914" s="292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249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7" t="str">
        <f>"# Oh dear Women Rating &gt; "&amp;Parameter!$B$33</f>
        <v># Oh dear Women Rating &gt; 600</v>
      </c>
      <c r="B915" s="292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249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7" t="str">
        <f>"# Oh dear Women Rating &gt; "&amp;Parameter!$B$33</f>
        <v># Oh dear Women Rating &gt; 600</v>
      </c>
      <c r="B916" s="292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249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7" t="str">
        <f>"# Oh dear Women Rating &gt; "&amp;Parameter!$B$33</f>
        <v># Oh dear Women Rating &gt; 600</v>
      </c>
      <c r="B917" s="292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249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7" t="str">
        <f>"# Oh dear Women Rating &gt; "&amp;Parameter!$B$33</f>
        <v># Oh dear Women Rating &gt; 600</v>
      </c>
      <c r="B918" s="292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249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7" t="str">
        <f>"# Oh dear Women Rating &gt; "&amp;Parameter!$B$33</f>
        <v># Oh dear Women Rating &gt; 600</v>
      </c>
      <c r="B919" s="292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249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7" t="str">
        <f>"# Oh dear Women Rating &gt; "&amp;Parameter!$B$33</f>
        <v># Oh dear Women Rating &gt; 600</v>
      </c>
      <c r="B920" s="292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249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7" t="str">
        <f>"# Oh dear Women Rating &gt; "&amp;Parameter!$B$33</f>
        <v># Oh dear Women Rating &gt; 600</v>
      </c>
      <c r="B921" s="292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4</v>
      </c>
      <c r="H921" s="65">
        <f ca="1">INDEX(OFFSET(Data!$CS$1:$DS$1,B921-1,0),MATCH("Total/"&amp;C921,Data!$CS$1:$DS$1,0))</f>
        <v>1</v>
      </c>
      <c r="I921" s="65">
        <f ca="1">IF(H921=1,INDEX(Parameter!$B$10:$AB$10,MATCH(C921,Parameter!$B$9:$AB$9,0))+7,"")</f>
        <v>11</v>
      </c>
      <c r="J921" s="65">
        <f t="array" aca="1" ref="J921" ca="1">IF(H921=1,MATCH(1,(OFFSET(Data!$DY$1:$IB$1,B921-1,0))*(Data!$DY$90:$IB$90=C921),0),"")</f>
        <v>17</v>
      </c>
      <c r="K921" s="65" t="e">
        <f t="array" aca="1" ref="K921" ca="1">IF(H921=1,MATCH(I921,OFFSET(Data!$DX$91:$DX$190,0,Specials!J921)*(Data!$AM$91:$AM$190&gt;Parameter!$B$33)*(Data!$DW$91:$DW$190="W"),0),"")</f>
        <v>#N/A</v>
      </c>
      <c r="L921" s="65" t="e">
        <f ca="1">IF(H921=1,INDEX(Data!$DT$91:$DT$190,$K921)&amp;" / "&amp;OFFSET(Data!$DX$89,0,Specials!J921),"")</f>
        <v>#N/A</v>
      </c>
      <c r="M921" s="65" t="s">
        <v>14</v>
      </c>
      <c r="N921" s="65" t="s">
        <v>249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7" t="str">
        <f>"# Oh dear Women Rating &gt; "&amp;Parameter!$B$33</f>
        <v># Oh dear Women Rating &gt; 600</v>
      </c>
      <c r="B922" s="292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4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249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7" t="str">
        <f>"# Oh dear Women Rating &gt; "&amp;Parameter!$B$33</f>
        <v># Oh dear Women Rating &gt; 600</v>
      </c>
      <c r="B923" s="292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4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249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7" t="str">
        <f>"# Oh dear Women Rating &gt; "&amp;Parameter!$B$33</f>
        <v># Oh dear Women Rating &gt; 600</v>
      </c>
      <c r="B924" s="292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249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7" t="str">
        <f>"# Oh dear Women Rating &gt; "&amp;Parameter!$B$33</f>
        <v># Oh dear Women Rating &gt; 600</v>
      </c>
      <c r="B925" s="292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249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7" t="str">
        <f>"# Oh dear Women Rating &gt; "&amp;Parameter!$B$33</f>
        <v># Oh dear Women Rating &gt; 600</v>
      </c>
      <c r="B926" s="292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5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249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7" t="str">
        <f>"# Oh dear Women Rating &gt; "&amp;Parameter!$B$33</f>
        <v># Oh dear Women Rating &gt; 600</v>
      </c>
      <c r="B927" s="292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249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7" t="str">
        <f>"# Oh dear Women Rating &gt; "&amp;Parameter!$B$33</f>
        <v># Oh dear Women Rating &gt; 600</v>
      </c>
      <c r="B928" s="292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249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7" t="str">
        <f>"# Oh dear Women Rating &gt; "&amp;Parameter!$B$33</f>
        <v># Oh dear Women Rating &gt; 600</v>
      </c>
      <c r="B929" s="292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249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7" t="str">
        <f>"# Oh dear Women Rating &gt; "&amp;Parameter!$B$33</f>
        <v># Oh dear Women Rating &gt; 600</v>
      </c>
      <c r="B930" s="292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249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7" t="str">
        <f>"# Oh dear Women Rating &gt; "&amp;Parameter!$B$33</f>
        <v># Oh dear Women Rating &gt; 600</v>
      </c>
      <c r="B931" s="292">
        <f>MATCH(A931,Data!$DT:$DT,0)</f>
        <v>18</v>
      </c>
      <c r="C931" s="65">
        <f>INDEX(Parameter!$9:$9,,MATCH(11,Parameter!$8:$8,0))</f>
        <v>12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249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7" t="str">
        <f>"# Oh dear Women Rating &gt; "&amp;Parameter!$B$33</f>
        <v># Oh dear Women Rating &gt; 600</v>
      </c>
      <c r="B932" s="292">
        <f>MATCH(A932,Data!$DT:$DT,0)</f>
        <v>18</v>
      </c>
      <c r="C932" s="65">
        <f>INDEX(Parameter!$9:$9,,MATCH(12,Parameter!$8:$8,0))</f>
        <v>14</v>
      </c>
      <c r="D932" s="65">
        <f>INDEX(Parameter!$B$10:$AB$10,MATCH(C932,Parameter!$B$9:$AB$9,0))</f>
        <v>4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249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7" t="str">
        <f>"# Oh dear Women Rating &gt; "&amp;Parameter!$B$33</f>
        <v># Oh dear Women Rating &gt; 600</v>
      </c>
      <c r="B933" s="292">
        <f>MATCH(A933,Data!$DT:$DT,0)</f>
        <v>18</v>
      </c>
      <c r="C933" s="65">
        <f>INDEX(Parameter!$9:$9,,MATCH(13,Parameter!$8:$8,0))</f>
        <v>15</v>
      </c>
      <c r="D933" s="65">
        <f>INDEX(Parameter!$B$10:$AB$10,MATCH(C933,Parameter!$B$9:$AB$9,0))</f>
        <v>4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249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7" t="str">
        <f>"# Oh dear Women Rating &gt; "&amp;Parameter!$B$33</f>
        <v># Oh dear Women Rating &gt; 600</v>
      </c>
      <c r="B934" s="292">
        <f>MATCH(A934,Data!$DT:$DT,0)</f>
        <v>18</v>
      </c>
      <c r="C934" s="65">
        <f>INDEX(Parameter!$9:$9,,MATCH(14,Parameter!$8:$8,0))</f>
        <v>16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14</v>
      </c>
      <c r="N934" s="65" t="s">
        <v>249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7" t="str">
        <f>"# Oh dear Women Rating &gt; "&amp;Parameter!$B$33</f>
        <v># Oh dear Women Rating &gt; 600</v>
      </c>
      <c r="B935" s="292">
        <f>MATCH(A935,Data!$DT:$DT,0)</f>
        <v>18</v>
      </c>
      <c r="C935" s="65">
        <f>INDEX(Parameter!$9:$9,,MATCH(15,Parameter!$8:$8,0))</f>
        <v>17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249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7" t="str">
        <f>"# Oh dear Women Rating &gt; "&amp;Parameter!$B$33</f>
        <v># Oh dear Women Rating &gt; 600</v>
      </c>
      <c r="B936" s="292">
        <f>MATCH(A936,Data!$DT:$DT,0)</f>
        <v>18</v>
      </c>
      <c r="C936" s="65">
        <f>INDEX(Parameter!$9:$9,,MATCH(16,Parameter!$8:$8,0))</f>
        <v>18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249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7" t="str">
        <f>"# Oh dear Women Rating &gt; "&amp;Parameter!$B$33</f>
        <v># Oh dear Women Rating &gt; 600</v>
      </c>
      <c r="B937" s="292">
        <f>MATCH(A937,Data!$DT:$DT,0)</f>
        <v>18</v>
      </c>
      <c r="C937" s="65" t="str">
        <f>INDEX(Parameter!$9:$9,,MATCH(17,Parameter!$8:$8,0))</f>
        <v>17a</v>
      </c>
      <c r="D937" s="65" t="str">
        <f>INDEX(Parameter!$B$10:$AB$10,MATCH(C937,Parameter!$B$9:$AB$9,0))</f>
        <v>no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249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7" t="str">
        <f>"# Oh dear Women Rating &gt; "&amp;Parameter!$B$33</f>
        <v># Oh dear Women Rating &gt; 600</v>
      </c>
      <c r="B938" s="292">
        <f>MATCH(A938,Data!$DT:$DT,0)</f>
        <v>18</v>
      </c>
      <c r="C938" s="65" t="str">
        <f>INDEX(Parameter!$9:$9,,MATCH(18,Parameter!$8:$8,0))</f>
        <v>18a</v>
      </c>
      <c r="D938" s="65" t="str">
        <f>INDEX(Parameter!$B$10:$AB$10,MATCH(C938,Parameter!$B$9:$AB$9,0))</f>
        <v>no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249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7" t="str">
        <f>"# Oh dear Women Rating &gt; "&amp;Parameter!$B$33</f>
        <v># Oh dear Women Rating &gt; 600</v>
      </c>
      <c r="B939" s="292">
        <f>MATCH(A939,Data!$DT:$DT,0)</f>
        <v>18</v>
      </c>
      <c r="C939" s="65">
        <f>INDEX(Parameter!$9:$9,,MATCH(19,Parameter!$8:$8,0))</f>
        <v>19</v>
      </c>
      <c r="D939" s="65" t="str">
        <f>INDEX(Parameter!$B$10:$AB$10,MATCH(C939,Parameter!$B$9:$AB$9,0))</f>
        <v>no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249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7" t="str">
        <f>"# Oh dear Women Rating &gt; "&amp;Parameter!$B$33</f>
        <v># Oh dear Women Rating &gt; 600</v>
      </c>
      <c r="B940" s="292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249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7" t="str">
        <f>"# Oh dear Women Rating &gt; "&amp;Parameter!$B$33</f>
        <v># Oh dear Women Rating &gt; 600</v>
      </c>
      <c r="B941" s="292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249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7" t="str">
        <f>"# Oh dear Women Rating &gt; "&amp;Parameter!$B$33</f>
        <v># Oh dear Women Rating &gt; 600</v>
      </c>
      <c r="B942" s="292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249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7" t="str">
        <f>"# Oh dear Women Rating &gt; "&amp;Parameter!$B$33</f>
        <v># Oh dear Women Rating &gt; 600</v>
      </c>
      <c r="B943" s="292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249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7" t="str">
        <f>"# Oh dear Women Rating &gt; "&amp;Parameter!$B$33</f>
        <v># Oh dear Women Rating &gt; 600</v>
      </c>
      <c r="B944" s="292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249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7" t="str">
        <f>"# Oh dear Women Rating &gt; "&amp;Parameter!$B$33</f>
        <v># Oh dear Women Rating &gt; 600</v>
      </c>
      <c r="B945" s="292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249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7" t="str">
        <f>"# Oh dear Women Rating &gt; "&amp;Parameter!$B$33</f>
        <v># Oh dear Women Rating &gt; 600</v>
      </c>
      <c r="B946" s="292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249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7" t="str">
        <f>"# Oh dear Women Rating &gt; "&amp;Parameter!$B$33</f>
        <v># Oh dear Women Rating &gt; 600</v>
      </c>
      <c r="B947" s="292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249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7" t="str">
        <f>"# Oh dear Women Rating &gt; "&amp;Parameter!$B$33</f>
        <v># Oh dear Women Rating &gt; 600</v>
      </c>
      <c r="B948" s="292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4</v>
      </c>
      <c r="H948" s="65">
        <f ca="1">INDEX(OFFSET(Data!$CS$1:$DS$1,B948-1,0),MATCH("Total/"&amp;C948,Data!$CS$1:$DS$1,0))</f>
        <v>1</v>
      </c>
      <c r="I948" s="65">
        <f ca="1">IF(H948=1,INDEX(Parameter!$B$10:$AB$10,MATCH(C948,Parameter!$B$9:$AB$9,0))+8,"")</f>
        <v>12</v>
      </c>
      <c r="J948" s="65">
        <f t="array" aca="1" ref="J948" ca="1">IF(H948=1,MATCH(1,(OFFSET(Data!$DY$1:$IB$1,B948-1,0))*(Data!$DY$90:$IB$90=C948),0),"")</f>
        <v>17</v>
      </c>
      <c r="K948" s="65" t="e">
        <f t="array" aca="1" ref="K948" ca="1">IF(H948=1,MATCH(I948,OFFSET(Data!$DX$91:$DX$190,0,Specials!J948)*(Data!$AM$91:$AM$190&gt;Parameter!$B$33)*(Data!$DW$91:$DW$190="W"),0),"")</f>
        <v>#N/A</v>
      </c>
      <c r="L948" s="65" t="e">
        <f ca="1">IF(H948=1,INDEX(Data!$DT$91:$DT$190,$K948)&amp;" / "&amp;OFFSET(Data!$DX$89,0,Specials!J948),"")</f>
        <v>#N/A</v>
      </c>
      <c r="M948" s="65" t="s">
        <v>14</v>
      </c>
      <c r="N948" s="65" t="s">
        <v>249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7" t="str">
        <f>"# Oh dear Women Rating &gt; "&amp;Parameter!$B$33</f>
        <v># Oh dear Women Rating &gt; 600</v>
      </c>
      <c r="B949" s="292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4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249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7" t="str">
        <f>"# Oh dear Women Rating &gt; "&amp;Parameter!$B$33</f>
        <v># Oh dear Women Rating &gt; 600</v>
      </c>
      <c r="B950" s="292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4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249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7" t="str">
        <f>"# Oh dear Women Rating &gt; "&amp;Parameter!$B$33</f>
        <v># Oh dear Women Rating &gt; 600</v>
      </c>
      <c r="B951" s="292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249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7" t="str">
        <f>"# Oh dear Women Rating &gt; "&amp;Parameter!$B$33</f>
        <v># Oh dear Women Rating &gt; 600</v>
      </c>
      <c r="B952" s="292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249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7" t="str">
        <f>"# Oh dear Women Rating &gt; "&amp;Parameter!$B$33</f>
        <v># Oh dear Women Rating &gt; 600</v>
      </c>
      <c r="B953" s="292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5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249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7" t="str">
        <f>"# Oh dear Women Rating &gt; "&amp;Parameter!$B$33</f>
        <v># Oh dear Women Rating &gt; 600</v>
      </c>
      <c r="B954" s="292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249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7" t="str">
        <f>"# Oh dear Women Rating &gt; "&amp;Parameter!$B$33</f>
        <v># Oh dear Women Rating &gt; 600</v>
      </c>
      <c r="B955" s="292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249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7" t="str">
        <f>"# Oh dear Women Rating &gt; "&amp;Parameter!$B$33</f>
        <v># Oh dear Women Rating &gt; 600</v>
      </c>
      <c r="B956" s="292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249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7" t="str">
        <f>"# Oh dear Women Rating &gt; "&amp;Parameter!$B$33</f>
        <v># Oh dear Women Rating &gt; 600</v>
      </c>
      <c r="B957" s="292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249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7" t="str">
        <f>"# Oh dear Women Rating &gt; "&amp;Parameter!$B$33</f>
        <v># Oh dear Women Rating &gt; 600</v>
      </c>
      <c r="B958" s="292">
        <f>MATCH(A958,Data!$DT:$DT,0)</f>
        <v>18</v>
      </c>
      <c r="C958" s="65">
        <f>INDEX(Parameter!$9:$9,,MATCH(11,Parameter!$8:$8,0))</f>
        <v>12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249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7" t="str">
        <f>"# Oh dear Women Rating &gt; "&amp;Parameter!$B$33</f>
        <v># Oh dear Women Rating &gt; 600</v>
      </c>
      <c r="B959" s="292">
        <f>MATCH(A959,Data!$DT:$DT,0)</f>
        <v>18</v>
      </c>
      <c r="C959" s="65">
        <f>INDEX(Parameter!$9:$9,,MATCH(12,Parameter!$8:$8,0))</f>
        <v>14</v>
      </c>
      <c r="D959" s="65">
        <f>INDEX(Parameter!$B$10:$AB$10,MATCH(C959,Parameter!$B$9:$AB$9,0))</f>
        <v>4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249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7" t="str">
        <f>"# Oh dear Women Rating &gt; "&amp;Parameter!$B$33</f>
        <v># Oh dear Women Rating &gt; 600</v>
      </c>
      <c r="B960" s="292">
        <f>MATCH(A960,Data!$DT:$DT,0)</f>
        <v>18</v>
      </c>
      <c r="C960" s="65">
        <f>INDEX(Parameter!$9:$9,,MATCH(13,Parameter!$8:$8,0))</f>
        <v>15</v>
      </c>
      <c r="D960" s="65">
        <f>INDEX(Parameter!$B$10:$AB$10,MATCH(C960,Parameter!$B$9:$AB$9,0))</f>
        <v>4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249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7" t="str">
        <f>"# Oh dear Women Rating &gt; "&amp;Parameter!$B$33</f>
        <v># Oh dear Women Rating &gt; 600</v>
      </c>
      <c r="B961" s="292">
        <f>MATCH(A961,Data!$DT:$DT,0)</f>
        <v>18</v>
      </c>
      <c r="C961" s="65">
        <f>INDEX(Parameter!$9:$9,,MATCH(14,Parameter!$8:$8,0))</f>
        <v>16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14</v>
      </c>
      <c r="N961" s="65" t="s">
        <v>249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7" t="str">
        <f>"# Oh dear Women Rating &gt; "&amp;Parameter!$B$33</f>
        <v># Oh dear Women Rating &gt; 600</v>
      </c>
      <c r="B962" s="292">
        <f>MATCH(A962,Data!$DT:$DT,0)</f>
        <v>18</v>
      </c>
      <c r="C962" s="65">
        <f>INDEX(Parameter!$9:$9,,MATCH(15,Parameter!$8:$8,0))</f>
        <v>17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249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7" t="str">
        <f>"# Oh dear Women Rating &gt; "&amp;Parameter!$B$33</f>
        <v># Oh dear Women Rating &gt; 600</v>
      </c>
      <c r="B963" s="292">
        <f>MATCH(A963,Data!$DT:$DT,0)</f>
        <v>18</v>
      </c>
      <c r="C963" s="65">
        <f>INDEX(Parameter!$9:$9,,MATCH(16,Parameter!$8:$8,0))</f>
        <v>18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249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7" t="str">
        <f>"# Oh dear Women Rating &gt; "&amp;Parameter!$B$33</f>
        <v># Oh dear Women Rating &gt; 600</v>
      </c>
      <c r="B964" s="292">
        <f>MATCH(A964,Data!$DT:$DT,0)</f>
        <v>18</v>
      </c>
      <c r="C964" s="65" t="str">
        <f>INDEX(Parameter!$9:$9,,MATCH(17,Parameter!$8:$8,0))</f>
        <v>17a</v>
      </c>
      <c r="D964" s="65" t="str">
        <f>INDEX(Parameter!$B$10:$AB$10,MATCH(C964,Parameter!$B$9:$AB$9,0))</f>
        <v>no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249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7" t="str">
        <f>"# Oh dear Women Rating &gt; "&amp;Parameter!$B$33</f>
        <v># Oh dear Women Rating &gt; 600</v>
      </c>
      <c r="B965" s="292">
        <f>MATCH(A965,Data!$DT:$DT,0)</f>
        <v>18</v>
      </c>
      <c r="C965" s="65" t="str">
        <f>INDEX(Parameter!$9:$9,,MATCH(18,Parameter!$8:$8,0))</f>
        <v>18a</v>
      </c>
      <c r="D965" s="65" t="str">
        <f>INDEX(Parameter!$B$10:$AB$10,MATCH(C965,Parameter!$B$9:$AB$9,0))</f>
        <v>no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249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7" t="str">
        <f>"# Oh dear Women Rating &gt; "&amp;Parameter!$B$33</f>
        <v># Oh dear Women Rating &gt; 600</v>
      </c>
      <c r="B966" s="292">
        <f>MATCH(A966,Data!$DT:$DT,0)</f>
        <v>18</v>
      </c>
      <c r="C966" s="65">
        <f>INDEX(Parameter!$9:$9,,MATCH(19,Parameter!$8:$8,0))</f>
        <v>19</v>
      </c>
      <c r="D966" s="65" t="str">
        <f>INDEX(Parameter!$B$10:$AB$10,MATCH(C966,Parameter!$B$9:$AB$9,0))</f>
        <v>no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249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7" t="str">
        <f>"# Oh dear Women Rating &gt; "&amp;Parameter!$B$33</f>
        <v># Oh dear Women Rating &gt; 600</v>
      </c>
      <c r="B967" s="292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249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7" t="str">
        <f>"# Oh dear Women Rating &gt; "&amp;Parameter!$B$33</f>
        <v># Oh dear Women Rating &gt; 600</v>
      </c>
      <c r="B968" s="292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249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7" t="str">
        <f>"# Oh dear Women Rating &gt; "&amp;Parameter!$B$33</f>
        <v># Oh dear Women Rating &gt; 600</v>
      </c>
      <c r="B969" s="292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249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7" t="str">
        <f>"# Oh dear Women Rating &gt; "&amp;Parameter!$B$33</f>
        <v># Oh dear Women Rating &gt; 600</v>
      </c>
      <c r="B970" s="292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249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7" t="str">
        <f>"# Oh dear Women Rating &gt; "&amp;Parameter!$B$33</f>
        <v># Oh dear Women Rating &gt; 600</v>
      </c>
      <c r="B971" s="292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249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7" t="str">
        <f>"# Oh dear Women Rating &gt; "&amp;Parameter!$B$33</f>
        <v># Oh dear Women Rating &gt; 600</v>
      </c>
      <c r="B972" s="292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249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7" t="str">
        <f>"# Oh dear Women Rating &gt; "&amp;Parameter!$B$33</f>
        <v># Oh dear Women Rating &gt; 600</v>
      </c>
      <c r="B973" s="292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249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7" t="str">
        <f>"# Oh dear Women Rating &gt; "&amp;Parameter!$B$33</f>
        <v># Oh dear Women Rating &gt; 600</v>
      </c>
      <c r="B974" s="292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249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7" t="str">
        <f>"# Oh dear Women Rating &gt; "&amp;Parameter!$B$33</f>
        <v># Oh dear Women Rating &gt; 600</v>
      </c>
      <c r="B975" s="292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4</v>
      </c>
      <c r="H975" s="65">
        <f ca="1">INDEX(OFFSET(Data!$CS$1:$DS$1,B975-1,0),MATCH("Total/"&amp;C975,Data!$CS$1:$DS$1,0))</f>
        <v>1</v>
      </c>
      <c r="I975" s="65">
        <f ca="1">IF(H975=1,INDEX(Parameter!$B$10:$AB$10,MATCH(C975,Parameter!$B$9:$AB$9,0))+9,"")</f>
        <v>13</v>
      </c>
      <c r="J975" s="65">
        <f t="array" aca="1" ref="J975" ca="1">IF(H975=1,MATCH(1,(OFFSET(Data!$DY$1:$IB$1,B975-1,0))*(Data!$DY$90:$IB$90=C975),0),"")</f>
        <v>17</v>
      </c>
      <c r="K975" s="65" t="e">
        <f t="array" aca="1" ref="K975" ca="1">IF(H975=1,MATCH(I975,OFFSET(Data!$DX$91:$DX$190,0,Specials!J975)*(Data!$AM$91:$AM$190&gt;Parameter!$B$33)*(Data!$DW$91:$DW$190="W"),0),"")</f>
        <v>#N/A</v>
      </c>
      <c r="L975" s="65" t="e">
        <f ca="1">IF(H975=1,INDEX(Data!$DT$91:$DT$190,$K975)&amp;" / "&amp;OFFSET(Data!$DX$89,0,Specials!J975),"")</f>
        <v>#N/A</v>
      </c>
      <c r="M975" s="65" t="s">
        <v>14</v>
      </c>
      <c r="N975" s="65" t="s">
        <v>249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7" t="str">
        <f>"# Oh dear Women Rating &gt; "&amp;Parameter!$B$33</f>
        <v># Oh dear Women Rating &gt; 600</v>
      </c>
      <c r="B976" s="292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4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249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7" t="str">
        <f>"# Oh dear Women Rating &gt; "&amp;Parameter!$B$33</f>
        <v># Oh dear Women Rating &gt; 600</v>
      </c>
      <c r="B977" s="292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4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249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7" t="str">
        <f>"# Oh dear Women Rating &gt; "&amp;Parameter!$B$33</f>
        <v># Oh dear Women Rating &gt; 600</v>
      </c>
      <c r="B978" s="292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249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7" t="str">
        <f>"# Oh dear Women Rating &gt; "&amp;Parameter!$B$33</f>
        <v># Oh dear Women Rating &gt; 600</v>
      </c>
      <c r="B979" s="292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249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7" t="str">
        <f>"# Oh dear Women Rating &gt; "&amp;Parameter!$B$33</f>
        <v># Oh dear Women Rating &gt; 600</v>
      </c>
      <c r="B980" s="292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5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249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7" t="str">
        <f>"# Oh dear Women Rating &gt; "&amp;Parameter!$B$33</f>
        <v># Oh dear Women Rating &gt; 600</v>
      </c>
      <c r="B981" s="292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249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7" t="str">
        <f>"# Oh dear Women Rating &gt; "&amp;Parameter!$B$33</f>
        <v># Oh dear Women Rating &gt; 600</v>
      </c>
      <c r="B982" s="292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249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7" t="str">
        <f>"# Oh dear Women Rating &gt; "&amp;Parameter!$B$33</f>
        <v># Oh dear Women Rating &gt; 600</v>
      </c>
      <c r="B983" s="292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249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7" t="str">
        <f>"# Oh dear Women Rating &gt; "&amp;Parameter!$B$33</f>
        <v># Oh dear Women Rating &gt; 600</v>
      </c>
      <c r="B984" s="292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249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7" t="str">
        <f>"# Oh dear Women Rating &gt; "&amp;Parameter!$B$33</f>
        <v># Oh dear Women Rating &gt; 600</v>
      </c>
      <c r="B985" s="292">
        <f>MATCH(A985,Data!$DT:$DT,0)</f>
        <v>18</v>
      </c>
      <c r="C985" s="65">
        <f>INDEX(Parameter!$9:$9,,MATCH(11,Parameter!$8:$8,0))</f>
        <v>12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249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7" t="str">
        <f>"# Oh dear Women Rating &gt; "&amp;Parameter!$B$33</f>
        <v># Oh dear Women Rating &gt; 600</v>
      </c>
      <c r="B986" s="292">
        <f>MATCH(A986,Data!$DT:$DT,0)</f>
        <v>18</v>
      </c>
      <c r="C986" s="65">
        <f>INDEX(Parameter!$9:$9,,MATCH(12,Parameter!$8:$8,0))</f>
        <v>14</v>
      </c>
      <c r="D986" s="65">
        <f>INDEX(Parameter!$B$10:$AB$10,MATCH(C986,Parameter!$B$9:$AB$9,0))</f>
        <v>4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249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7" t="str">
        <f>"# Oh dear Women Rating &gt; "&amp;Parameter!$B$33</f>
        <v># Oh dear Women Rating &gt; 600</v>
      </c>
      <c r="B987" s="292">
        <f>MATCH(A987,Data!$DT:$DT,0)</f>
        <v>18</v>
      </c>
      <c r="C987" s="65">
        <f>INDEX(Parameter!$9:$9,,MATCH(13,Parameter!$8:$8,0))</f>
        <v>15</v>
      </c>
      <c r="D987" s="65">
        <f>INDEX(Parameter!$B$10:$AB$10,MATCH(C987,Parameter!$B$9:$AB$9,0))</f>
        <v>4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249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7" t="str">
        <f>"# Oh dear Women Rating &gt; "&amp;Parameter!$B$33</f>
        <v># Oh dear Women Rating &gt; 600</v>
      </c>
      <c r="B988" s="292">
        <f>MATCH(A988,Data!$DT:$DT,0)</f>
        <v>18</v>
      </c>
      <c r="C988" s="65">
        <f>INDEX(Parameter!$9:$9,,MATCH(14,Parameter!$8:$8,0))</f>
        <v>16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14</v>
      </c>
      <c r="N988" s="65" t="s">
        <v>249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7" t="str">
        <f>"# Oh dear Women Rating &gt; "&amp;Parameter!$B$33</f>
        <v># Oh dear Women Rating &gt; 600</v>
      </c>
      <c r="B989" s="292">
        <f>MATCH(A989,Data!$DT:$DT,0)</f>
        <v>18</v>
      </c>
      <c r="C989" s="65">
        <f>INDEX(Parameter!$9:$9,,MATCH(15,Parameter!$8:$8,0))</f>
        <v>17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249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7" t="str">
        <f>"# Oh dear Women Rating &gt; "&amp;Parameter!$B$33</f>
        <v># Oh dear Women Rating &gt; 600</v>
      </c>
      <c r="B990" s="292">
        <f>MATCH(A990,Data!$DT:$DT,0)</f>
        <v>18</v>
      </c>
      <c r="C990" s="65">
        <f>INDEX(Parameter!$9:$9,,MATCH(16,Parameter!$8:$8,0))</f>
        <v>18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249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7" t="str">
        <f>"# Oh dear Women Rating &gt; "&amp;Parameter!$B$33</f>
        <v># Oh dear Women Rating &gt; 600</v>
      </c>
      <c r="B991" s="292">
        <f>MATCH(A991,Data!$DT:$DT,0)</f>
        <v>18</v>
      </c>
      <c r="C991" s="65" t="str">
        <f>INDEX(Parameter!$9:$9,,MATCH(17,Parameter!$8:$8,0))</f>
        <v>17a</v>
      </c>
      <c r="D991" s="65" t="str">
        <f>INDEX(Parameter!$B$10:$AB$10,MATCH(C991,Parameter!$B$9:$AB$9,0))</f>
        <v>no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249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7" t="str">
        <f>"# Oh dear Women Rating &gt; "&amp;Parameter!$B$33</f>
        <v># Oh dear Women Rating &gt; 600</v>
      </c>
      <c r="B992" s="292">
        <f>MATCH(A992,Data!$DT:$DT,0)</f>
        <v>18</v>
      </c>
      <c r="C992" s="65" t="str">
        <f>INDEX(Parameter!$9:$9,,MATCH(18,Parameter!$8:$8,0))</f>
        <v>18a</v>
      </c>
      <c r="D992" s="65" t="str">
        <f>INDEX(Parameter!$B$10:$AB$10,MATCH(C992,Parameter!$B$9:$AB$9,0))</f>
        <v>no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249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7" t="str">
        <f>"# Oh dear Women Rating &gt; "&amp;Parameter!$B$33</f>
        <v># Oh dear Women Rating &gt; 600</v>
      </c>
      <c r="B993" s="292">
        <f>MATCH(A993,Data!$DT:$DT,0)</f>
        <v>18</v>
      </c>
      <c r="C993" s="65">
        <f>INDEX(Parameter!$9:$9,,MATCH(19,Parameter!$8:$8,0))</f>
        <v>19</v>
      </c>
      <c r="D993" s="65" t="str">
        <f>INDEX(Parameter!$B$10:$AB$10,MATCH(C993,Parameter!$B$9:$AB$9,0))</f>
        <v>no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249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7" t="str">
        <f>"# Oh dear Women Rating &gt; "&amp;Parameter!$B$33</f>
        <v># Oh dear Women Rating &gt; 600</v>
      </c>
      <c r="B994" s="292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249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7" t="str">
        <f>"# Oh dear Women Rating &gt; "&amp;Parameter!$B$33</f>
        <v># Oh dear Women Rating &gt; 600</v>
      </c>
      <c r="B995" s="292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249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7" t="str">
        <f>"# Oh dear Women Rating &gt; "&amp;Parameter!$B$33</f>
        <v># Oh dear Women Rating &gt; 600</v>
      </c>
      <c r="B996" s="292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249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7" t="str">
        <f>"# Oh dear Women Rating &gt; "&amp;Parameter!$B$33</f>
        <v># Oh dear Women Rating &gt; 600</v>
      </c>
      <c r="B997" s="292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249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7" t="str">
        <f>"# Oh dear Women Rating &gt; "&amp;Parameter!$B$33</f>
        <v># Oh dear Women Rating &gt; 600</v>
      </c>
      <c r="B998" s="292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249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7" t="str">
        <f>"# Oh dear Women Rating &gt; "&amp;Parameter!$B$33</f>
        <v># Oh dear Women Rating &gt; 600</v>
      </c>
      <c r="B999" s="292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249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7" t="str">
        <f>"# Oh dear Women Rating &gt; "&amp;Parameter!$B$33</f>
        <v># Oh dear Women Rating &gt; 600</v>
      </c>
      <c r="B1000" s="292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249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7" t="str">
        <f>"# Oh dear Women Rating &gt; "&amp;Parameter!$B$33</f>
        <v># Oh dear Women Rating &gt; 600</v>
      </c>
      <c r="B1001" s="292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249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7" t="str">
        <f>"# Oh dear Women Rating &gt; "&amp;Parameter!$B$33</f>
        <v># Oh dear Women Rating &gt; 600</v>
      </c>
      <c r="B1002" s="292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4</v>
      </c>
      <c r="H1002" s="65">
        <f ca="1">INDEX(OFFSET(Data!$CS$1:$DS$1,B1002-1,0),MATCH("Total/"&amp;C1002,Data!$CS$1:$DS$1,0))</f>
        <v>1</v>
      </c>
      <c r="I1002" s="65">
        <f ca="1">IF(H1002=1,INDEX(Parameter!$B$10:$AB$10,MATCH(C1002,Parameter!$B$9:$AB$9,0))+10,"")</f>
        <v>14</v>
      </c>
      <c r="J1002" s="65">
        <f t="array" aca="1" ref="J1002" ca="1">IF(H1002=1,MATCH(1,(OFFSET(Data!$DY$1:$IB$1,B1002-1,0))*(Data!$DY$90:$IB$90=C1002),0),"")</f>
        <v>17</v>
      </c>
      <c r="K1002" s="65" t="e">
        <f t="array" aca="1" ref="K1002" ca="1">IF(H1002=1,MATCH(I1002,OFFSET(Data!$DX$91:$DX$190,0,Specials!J1002)*(Data!$AM$91:$AM$190&gt;Parameter!$B$33)*(Data!$DW$91:$DW$190="W"),0),"")</f>
        <v>#N/A</v>
      </c>
      <c r="L1002" s="65" t="e">
        <f ca="1">IF(H1002=1,INDEX(Data!$DT$91:$DT$190,$K1002)&amp;" / "&amp;OFFSET(Data!$DX$89,0,Specials!J1002),"")</f>
        <v>#N/A</v>
      </c>
      <c r="M1002" s="65" t="s">
        <v>14</v>
      </c>
      <c r="N1002" s="65" t="s">
        <v>249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7" t="str">
        <f>"# Oh dear Women Rating &gt; "&amp;Parameter!$B$33</f>
        <v># Oh dear Women Rating &gt; 600</v>
      </c>
      <c r="B1003" s="292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4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249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7" t="str">
        <f>"# Oh dear Women Rating &gt; "&amp;Parameter!$B$33</f>
        <v># Oh dear Women Rating &gt; 600</v>
      </c>
      <c r="B1004" s="292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4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249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7" t="str">
        <f>"# Oh dear Women Rating &gt; "&amp;Parameter!$B$33</f>
        <v># Oh dear Women Rating &gt; 600</v>
      </c>
      <c r="B1005" s="292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249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7" t="str">
        <f>"# Oh dear Women Rating &gt; "&amp;Parameter!$B$33</f>
        <v># Oh dear Women Rating &gt; 600</v>
      </c>
      <c r="B1006" s="292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249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7" t="str">
        <f>"# Oh dear Women Rating &gt; "&amp;Parameter!$B$33</f>
        <v># Oh dear Women Rating &gt; 600</v>
      </c>
      <c r="B1007" s="292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5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249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7" t="str">
        <f>"# Oh dear Women Rating &gt; "&amp;Parameter!$B$33</f>
        <v># Oh dear Women Rating &gt; 600</v>
      </c>
      <c r="B1008" s="292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249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7" t="str">
        <f>"# Oh dear Women Rating &gt; "&amp;Parameter!$B$33</f>
        <v># Oh dear Women Rating &gt; 600</v>
      </c>
      <c r="B1009" s="292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249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7" t="str">
        <f>"# Oh dear Women Rating &gt; "&amp;Parameter!$B$33</f>
        <v># Oh dear Women Rating &gt; 600</v>
      </c>
      <c r="B1010" s="292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249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7" t="str">
        <f>"# Oh dear Women Rating &gt; "&amp;Parameter!$B$33</f>
        <v># Oh dear Women Rating &gt; 600</v>
      </c>
      <c r="B1011" s="292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249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7" t="str">
        <f>"# Oh dear Women Rating &gt; "&amp;Parameter!$B$33</f>
        <v># Oh dear Women Rating &gt; 600</v>
      </c>
      <c r="B1012" s="292">
        <f>MATCH(A1012,Data!$DT:$DT,0)</f>
        <v>18</v>
      </c>
      <c r="C1012" s="65">
        <f>INDEX(Parameter!$9:$9,,MATCH(11,Parameter!$8:$8,0))</f>
        <v>12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249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7" t="str">
        <f>"# Oh dear Women Rating &gt; "&amp;Parameter!$B$33</f>
        <v># Oh dear Women Rating &gt; 600</v>
      </c>
      <c r="B1013" s="292">
        <f>MATCH(A1013,Data!$DT:$DT,0)</f>
        <v>18</v>
      </c>
      <c r="C1013" s="65">
        <f>INDEX(Parameter!$9:$9,,MATCH(12,Parameter!$8:$8,0))</f>
        <v>14</v>
      </c>
      <c r="D1013" s="65">
        <f>INDEX(Parameter!$B$10:$AB$10,MATCH(C1013,Parameter!$B$9:$AB$9,0))</f>
        <v>4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249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7" t="str">
        <f>"# Oh dear Women Rating &gt; "&amp;Parameter!$B$33</f>
        <v># Oh dear Women Rating &gt; 600</v>
      </c>
      <c r="B1014" s="292">
        <f>MATCH(A1014,Data!$DT:$DT,0)</f>
        <v>18</v>
      </c>
      <c r="C1014" s="65">
        <f>INDEX(Parameter!$9:$9,,MATCH(13,Parameter!$8:$8,0))</f>
        <v>15</v>
      </c>
      <c r="D1014" s="65">
        <f>INDEX(Parameter!$B$10:$AB$10,MATCH(C1014,Parameter!$B$9:$AB$9,0))</f>
        <v>4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249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7" t="str">
        <f>"# Oh dear Women Rating &gt; "&amp;Parameter!$B$33</f>
        <v># Oh dear Women Rating &gt; 600</v>
      </c>
      <c r="B1015" s="292">
        <f>MATCH(A1015,Data!$DT:$DT,0)</f>
        <v>18</v>
      </c>
      <c r="C1015" s="65">
        <f>INDEX(Parameter!$9:$9,,MATCH(14,Parameter!$8:$8,0))</f>
        <v>16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14</v>
      </c>
      <c r="N1015" s="65" t="s">
        <v>249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7" t="str">
        <f>"# Oh dear Women Rating &gt; "&amp;Parameter!$B$33</f>
        <v># Oh dear Women Rating &gt; 600</v>
      </c>
      <c r="B1016" s="292">
        <f>MATCH(A1016,Data!$DT:$DT,0)</f>
        <v>18</v>
      </c>
      <c r="C1016" s="65">
        <f>INDEX(Parameter!$9:$9,,MATCH(15,Parameter!$8:$8,0))</f>
        <v>17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249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7" t="str">
        <f>"# Oh dear Women Rating &gt; "&amp;Parameter!$B$33</f>
        <v># Oh dear Women Rating &gt; 600</v>
      </c>
      <c r="B1017" s="292">
        <f>MATCH(A1017,Data!$DT:$DT,0)</f>
        <v>18</v>
      </c>
      <c r="C1017" s="65">
        <f>INDEX(Parameter!$9:$9,,MATCH(16,Parameter!$8:$8,0))</f>
        <v>18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249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7" t="str">
        <f>"# Oh dear Women Rating &gt; "&amp;Parameter!$B$33</f>
        <v># Oh dear Women Rating &gt; 600</v>
      </c>
      <c r="B1018" s="292">
        <f>MATCH(A1018,Data!$DT:$DT,0)</f>
        <v>18</v>
      </c>
      <c r="C1018" s="65" t="str">
        <f>INDEX(Parameter!$9:$9,,MATCH(17,Parameter!$8:$8,0))</f>
        <v>17a</v>
      </c>
      <c r="D1018" s="65" t="str">
        <f>INDEX(Parameter!$B$10:$AB$10,MATCH(C1018,Parameter!$B$9:$AB$9,0))</f>
        <v>no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249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7" t="str">
        <f>"# Oh dear Women Rating &gt; "&amp;Parameter!$B$33</f>
        <v># Oh dear Women Rating &gt; 600</v>
      </c>
      <c r="B1019" s="292">
        <f>MATCH(A1019,Data!$DT:$DT,0)</f>
        <v>18</v>
      </c>
      <c r="C1019" s="65" t="str">
        <f>INDEX(Parameter!$9:$9,,MATCH(18,Parameter!$8:$8,0))</f>
        <v>18a</v>
      </c>
      <c r="D1019" s="65" t="str">
        <f>INDEX(Parameter!$B$10:$AB$10,MATCH(C1019,Parameter!$B$9:$AB$9,0))</f>
        <v>no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249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7" t="str">
        <f>"# Oh dear Women Rating &gt; "&amp;Parameter!$B$33</f>
        <v># Oh dear Women Rating &gt; 600</v>
      </c>
      <c r="B1020" s="292">
        <f>MATCH(A1020,Data!$DT:$DT,0)</f>
        <v>18</v>
      </c>
      <c r="C1020" s="65">
        <f>INDEX(Parameter!$9:$9,,MATCH(19,Parameter!$8:$8,0))</f>
        <v>19</v>
      </c>
      <c r="D1020" s="65" t="str">
        <f>INDEX(Parameter!$B$10:$AB$10,MATCH(C1020,Parameter!$B$9:$AB$9,0))</f>
        <v>no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249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7" t="str">
        <f>"# Oh dear Women Rating &gt; "&amp;Parameter!$B$33</f>
        <v># Oh dear Women Rating &gt; 600</v>
      </c>
      <c r="B1021" s="292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249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7" t="str">
        <f>"# Oh dear Women Rating &gt; "&amp;Parameter!$B$33</f>
        <v># Oh dear Women Rating &gt; 600</v>
      </c>
      <c r="B1022" s="292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249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7" t="str">
        <f>"# Oh dear Women Rating &gt; "&amp;Parameter!$B$33</f>
        <v># Oh dear Women Rating &gt; 600</v>
      </c>
      <c r="B1023" s="292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249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7" t="str">
        <f>"# Oh dear Women Rating &gt; "&amp;Parameter!$B$33</f>
        <v># Oh dear Women Rating &gt; 600</v>
      </c>
      <c r="B1024" s="292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249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7" t="str">
        <f>"# Oh dear Women Rating &gt; "&amp;Parameter!$B$33</f>
        <v># Oh dear Women Rating &gt; 600</v>
      </c>
      <c r="B1025" s="292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249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7" t="str">
        <f>"# Oh dear Women Rating &gt; "&amp;Parameter!$B$33</f>
        <v># Oh dear Women Rating &gt; 600</v>
      </c>
      <c r="B1026" s="292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249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7" t="str">
        <f>"# Oh dear Women Rating &gt; "&amp;Parameter!$B$33</f>
        <v># Oh dear Women Rating &gt; 600</v>
      </c>
      <c r="B1027" s="292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249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7" t="str">
        <f>"# Oh dear Women Rating &gt; "&amp;Parameter!$B$33</f>
        <v># Oh dear Women Rating &gt; 600</v>
      </c>
      <c r="B1028" s="292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249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5"/>
      <c r="C1029" s="78">
        <f>INDEX(Parameter!$9:$9,,MATCH(1,Parameter!$8:$8,0))</f>
        <v>1</v>
      </c>
      <c r="D1029" s="78">
        <f>INDEX(Parameter!$B$10:$AB$10,MATCH(C1029,Parameter!$B$9:$AB$9,0))</f>
        <v>4</v>
      </c>
      <c r="E1029" s="78">
        <f>COUNTIF(Data!$DY$90:$IB$90,Specials!C1029)</f>
        <v>2</v>
      </c>
      <c r="F1029" s="78">
        <f ca="1">OFFSET(Data!$CS$91,MATCH("W1",Data!$A$91:$A$190,0)-1,MATCH(C1029,Data!$CS$90:$DS$90,0)-1)</f>
        <v>8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14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1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Veronika Tóth</v>
      </c>
      <c r="L1029" s="78" t="str">
        <f ca="1">"Best women took only "&amp;F1029&amp;" throws"</f>
        <v>Best women took only 8 throws</v>
      </c>
      <c r="M1029" s="78" t="s">
        <v>14</v>
      </c>
      <c r="N1029" s="78" t="s">
        <v>249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>On hole 1 (par 4) Veronika Tóth took 14 throws in total (2 rounds)</v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5"/>
      <c r="C1030" s="78">
        <f>INDEX(Parameter!$9:$9,,MATCH(2,Parameter!$8:$8,0))</f>
        <v>2</v>
      </c>
      <c r="D1030" s="78">
        <f>INDEX(Parameter!$B$10:$AB$10,MATCH(C1030,Parameter!$B$9:$AB$9,0))</f>
        <v>4</v>
      </c>
      <c r="E1030" s="78">
        <f>COUNTIF(Data!$DY$90:$IB$90,Specials!C1030)</f>
        <v>2</v>
      </c>
      <c r="F1030" s="78">
        <f ca="1">OFFSET(Data!$CS$91,MATCH("W1",Data!$A$91:$A$190,0)-1,MATCH(C1030,Data!$CS$90:$DS$90,0)-1)</f>
        <v>8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10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8 throws</v>
      </c>
      <c r="M1030" s="78" t="s">
        <v>14</v>
      </c>
      <c r="N1030" s="78" t="s">
        <v>249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5"/>
      <c r="C1031" s="78">
        <f>INDEX(Parameter!$9:$9,,MATCH(3,Parameter!$8:$8,0))</f>
        <v>3</v>
      </c>
      <c r="D1031" s="78">
        <f>INDEX(Parameter!$B$10:$AB$10,MATCH(C1031,Parameter!$B$9:$AB$9,0))</f>
        <v>4</v>
      </c>
      <c r="E1031" s="78">
        <f>COUNTIF(Data!$DY$90:$IB$90,Specials!C1031)</f>
        <v>2</v>
      </c>
      <c r="F1031" s="78">
        <f ca="1">OFFSET(Data!$CS$91,MATCH("W1",Data!$A$91:$A$190,0)-1,MATCH(C1031,Data!$CS$90:$DS$90,0)-1)</f>
        <v>10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13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10 throws</v>
      </c>
      <c r="M1031" s="78" t="s">
        <v>14</v>
      </c>
      <c r="N1031" s="78" t="s">
        <v>249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5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2</v>
      </c>
      <c r="F1032" s="78">
        <f ca="1">OFFSET(Data!$CS$91,MATCH("W1",Data!$A$91:$A$190,0)-1,MATCH(C1032,Data!$CS$90:$DS$90,0)-1)</f>
        <v>7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7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7 throws</v>
      </c>
      <c r="M1032" s="78" t="s">
        <v>14</v>
      </c>
      <c r="N1032" s="78" t="s">
        <v>249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5"/>
      <c r="C1033" s="78">
        <f>INDEX(Parameter!$9:$9,,MATCH(5,Parameter!$8:$8,0))</f>
        <v>5</v>
      </c>
      <c r="D1033" s="78">
        <f>INDEX(Parameter!$B$10:$AB$10,MATCH(C1033,Parameter!$B$9:$AB$9,0))</f>
        <v>3</v>
      </c>
      <c r="E1033" s="78">
        <f>COUNTIF(Data!$DY$90:$IB$90,Specials!C1033)</f>
        <v>2</v>
      </c>
      <c r="F1033" s="78">
        <f ca="1">OFFSET(Data!$CS$91,MATCH("W1",Data!$A$91:$A$190,0)-1,MATCH(C1033,Data!$CS$90:$DS$90,0)-1)</f>
        <v>9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9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9 throws</v>
      </c>
      <c r="M1033" s="78" t="s">
        <v>14</v>
      </c>
      <c r="N1033" s="78" t="s">
        <v>249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5"/>
      <c r="C1034" s="78">
        <f>INDEX(Parameter!$9:$9,,MATCH(6,Parameter!$8:$8,0))</f>
        <v>6</v>
      </c>
      <c r="D1034" s="78">
        <f>INDEX(Parameter!$B$10:$AB$10,MATCH(C1034,Parameter!$B$9:$AB$9,0))</f>
        <v>5</v>
      </c>
      <c r="E1034" s="78">
        <f>COUNTIF(Data!$DY$90:$IB$90,Specials!C1034)</f>
        <v>2</v>
      </c>
      <c r="F1034" s="78">
        <f ca="1">OFFSET(Data!$CS$91,MATCH("W1",Data!$A$91:$A$190,0)-1,MATCH(C1034,Data!$CS$90:$DS$90,0)-1)</f>
        <v>12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15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12 throws</v>
      </c>
      <c r="M1034" s="78" t="s">
        <v>14</v>
      </c>
      <c r="N1034" s="78" t="s">
        <v>249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5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3</v>
      </c>
      <c r="F1035" s="78">
        <f ca="1">OFFSET(Data!$CS$91,MATCH("W1",Data!$A$91:$A$190,0)-1,MATCH(C1035,Data!$CS$90:$DS$90,0)-1)</f>
        <v>11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11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11 throws</v>
      </c>
      <c r="M1035" s="78" t="s">
        <v>14</v>
      </c>
      <c r="N1035" s="78" t="s">
        <v>249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5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2</v>
      </c>
      <c r="F1036" s="78">
        <f ca="1">OFFSET(Data!$CS$91,MATCH("W1",Data!$A$91:$A$190,0)-1,MATCH(C1036,Data!$CS$90:$DS$90,0)-1)</f>
        <v>6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7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6 throws</v>
      </c>
      <c r="M1036" s="78" t="s">
        <v>14</v>
      </c>
      <c r="N1036" s="78" t="s">
        <v>249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5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2</v>
      </c>
      <c r="F1037" s="78">
        <f ca="1">OFFSET(Data!$CS$91,MATCH("W1",Data!$A$91:$A$190,0)-1,MATCH(C1037,Data!$CS$90:$DS$90,0)-1)</f>
        <v>12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12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12 throws</v>
      </c>
      <c r="M1037" s="78" t="s">
        <v>14</v>
      </c>
      <c r="N1037" s="78" t="s">
        <v>249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5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2</v>
      </c>
      <c r="F1038" s="78">
        <f ca="1">OFFSET(Data!$CS$91,MATCH("W1",Data!$A$91:$A$190,0)-1,MATCH(C1038,Data!$CS$90:$DS$90,0)-1)</f>
        <v>8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8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8 throws</v>
      </c>
      <c r="M1038" s="78" t="s">
        <v>14</v>
      </c>
      <c r="N1038" s="78" t="s">
        <v>249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5"/>
      <c r="C1039" s="78">
        <f>INDEX(Parameter!$9:$9,,MATCH(11,Parameter!$8:$8,0))</f>
        <v>12</v>
      </c>
      <c r="D1039" s="78">
        <f>INDEX(Parameter!$B$10:$AB$10,MATCH(C1039,Parameter!$B$9:$AB$9,0))</f>
        <v>3</v>
      </c>
      <c r="E1039" s="78">
        <f>COUNTIF(Data!$DY$90:$IB$90,Specials!C1039)</f>
        <v>2</v>
      </c>
      <c r="F1039" s="78">
        <f ca="1">OFFSET(Data!$CS$91,MATCH("W1",Data!$A$91:$A$190,0)-1,MATCH(C1039,Data!$CS$90:$DS$90,0)-1)</f>
        <v>6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6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6 throws</v>
      </c>
      <c r="M1039" s="78" t="s">
        <v>14</v>
      </c>
      <c r="N1039" s="78" t="s">
        <v>249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5"/>
      <c r="C1040" s="78">
        <f>INDEX(Parameter!$9:$9,,MATCH(12,Parameter!$8:$8,0))</f>
        <v>14</v>
      </c>
      <c r="D1040" s="78">
        <f>INDEX(Parameter!$B$10:$AB$10,MATCH(C1040,Parameter!$B$9:$AB$9,0))</f>
        <v>4</v>
      </c>
      <c r="E1040" s="78">
        <f>COUNTIF(Data!$DY$90:$IB$90,Specials!C1040)</f>
        <v>2</v>
      </c>
      <c r="F1040" s="78">
        <f ca="1">OFFSET(Data!$CS$91,MATCH("W1",Data!$A$91:$A$190,0)-1,MATCH(C1040,Data!$CS$90:$DS$90,0)-1)</f>
        <v>11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11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11 throws</v>
      </c>
      <c r="M1040" s="78" t="s">
        <v>14</v>
      </c>
      <c r="N1040" s="78" t="s">
        <v>249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5"/>
      <c r="C1041" s="78">
        <f>INDEX(Parameter!$9:$9,,MATCH(13,Parameter!$8:$8,0))</f>
        <v>15</v>
      </c>
      <c r="D1041" s="78">
        <f>INDEX(Parameter!$B$10:$AB$10,MATCH(C1041,Parameter!$B$9:$AB$9,0))</f>
        <v>4</v>
      </c>
      <c r="E1041" s="78">
        <f>COUNTIF(Data!$DY$90:$IB$90,Specials!C1041)</f>
        <v>2</v>
      </c>
      <c r="F1041" s="78">
        <f ca="1">OFFSET(Data!$CS$91,MATCH("W1",Data!$A$91:$A$190,0)-1,MATCH(C1041,Data!$CS$90:$DS$90,0)-1)</f>
        <v>8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11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8 throws</v>
      </c>
      <c r="M1041" s="78" t="s">
        <v>14</v>
      </c>
      <c r="N1041" s="78" t="s">
        <v>249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5"/>
      <c r="C1042" s="78">
        <f>INDEX(Parameter!$9:$9,,MATCH(14,Parameter!$8:$8,0))</f>
        <v>16</v>
      </c>
      <c r="D1042" s="78">
        <f>INDEX(Parameter!$B$10:$AB$10,MATCH(C1042,Parameter!$B$9:$AB$9,0))</f>
        <v>3</v>
      </c>
      <c r="E1042" s="78">
        <f>COUNTIF(Data!$DY$90:$IB$90,Specials!C1042)</f>
        <v>2</v>
      </c>
      <c r="F1042" s="78">
        <f ca="1">OFFSET(Data!$CS$91,MATCH("W1",Data!$A$91:$A$190,0)-1,MATCH(C1042,Data!$CS$90:$DS$90,0)-1)</f>
        <v>5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9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1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Veronika Tóth</v>
      </c>
      <c r="L1042" s="78" t="str">
        <f t="shared" ca="1" si="68"/>
        <v>Best women took only 5 throws</v>
      </c>
      <c r="M1042" s="78" t="s">
        <v>14</v>
      </c>
      <c r="N1042" s="78" t="s">
        <v>249</v>
      </c>
      <c r="O1042" s="78" t="e">
        <f t="shared" ca="1" si="66"/>
        <v>#VALUE!</v>
      </c>
      <c r="P1042" s="78" t="str">
        <f t="shared" ca="1" si="67"/>
        <v>On hole 16 (par 3) Veronika Tóth took 9 throws in total (2 rounds)</v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5"/>
      <c r="C1043" s="78">
        <f>INDEX(Parameter!$9:$9,,MATCH(15,Parameter!$8:$8,0))</f>
        <v>17</v>
      </c>
      <c r="D1043" s="78">
        <f>INDEX(Parameter!$B$10:$AB$10,MATCH(C1043,Parameter!$B$9:$AB$9,0))</f>
        <v>3</v>
      </c>
      <c r="E1043" s="78">
        <f>COUNTIF(Data!$DY$90:$IB$90,Specials!C1043)</f>
        <v>2</v>
      </c>
      <c r="F1043" s="78">
        <f ca="1">OFFSET(Data!$CS$91,MATCH("W1",Data!$A$91:$A$190,0)-1,MATCH(C1043,Data!$CS$90:$DS$90,0)-1)</f>
        <v>6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10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1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Irmgard Derschmidt</v>
      </c>
      <c r="L1043" s="78" t="str">
        <f t="shared" ca="1" si="68"/>
        <v>Best women took only 6 throws</v>
      </c>
      <c r="M1043" s="78" t="s">
        <v>14</v>
      </c>
      <c r="N1043" s="78" t="s">
        <v>249</v>
      </c>
      <c r="O1043" s="78" t="e">
        <f t="shared" ca="1" si="66"/>
        <v>#VALUE!</v>
      </c>
      <c r="P1043" s="78" t="str">
        <f t="shared" ca="1" si="67"/>
        <v>On hole 17 (par 3) Irmgard Derschmidt took 10 throws in total (2 rounds)</v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5"/>
      <c r="C1044" s="78">
        <f>INDEX(Parameter!$9:$9,,MATCH(16,Parameter!$8:$8,0))</f>
        <v>18</v>
      </c>
      <c r="D1044" s="78">
        <f>INDEX(Parameter!$B$10:$AB$10,MATCH(C1044,Parameter!$B$9:$AB$9,0))</f>
        <v>3</v>
      </c>
      <c r="E1044" s="78">
        <f>COUNTIF(Data!$DY$90:$IB$90,Specials!C1044)</f>
        <v>2</v>
      </c>
      <c r="F1044" s="78">
        <f ca="1">OFFSET(Data!$CS$91,MATCH("W1",Data!$A$91:$A$190,0)-1,MATCH(C1044,Data!$CS$90:$DS$90,0)-1)</f>
        <v>6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8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6 throws</v>
      </c>
      <c r="M1044" s="78" t="s">
        <v>14</v>
      </c>
      <c r="N1044" s="78" t="s">
        <v>249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5"/>
      <c r="C1045" s="78" t="str">
        <f>INDEX(Parameter!$9:$9,,MATCH(17,Parameter!$8:$8,0))</f>
        <v>17a</v>
      </c>
      <c r="D1045" s="78" t="str">
        <f>INDEX(Parameter!$B$10:$AB$10,MATCH(C1045,Parameter!$B$9:$AB$9,0))</f>
        <v>no</v>
      </c>
      <c r="E1045" s="78">
        <f>COUNTIF(Data!$DY$90:$IB$90,Specials!C1045)</f>
        <v>0</v>
      </c>
      <c r="F1045" s="78">
        <f ca="1">OFFSET(Data!$CS$91,MATCH("W1",Data!$A$91:$A$190,0)-1,MATCH(C1045,Data!$CS$90:$DS$90,0)-1)</f>
        <v>0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0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0 throws</v>
      </c>
      <c r="M1045" s="78" t="s">
        <v>14</v>
      </c>
      <c r="N1045" s="78" t="s">
        <v>249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5"/>
      <c r="C1046" s="78" t="str">
        <f>INDEX(Parameter!$9:$9,,MATCH(18,Parameter!$8:$8,0))</f>
        <v>18a</v>
      </c>
      <c r="D1046" s="78" t="str">
        <f>INDEX(Parameter!$B$10:$AB$10,MATCH(C1046,Parameter!$B$9:$AB$9,0))</f>
        <v>no</v>
      </c>
      <c r="E1046" s="78">
        <f>COUNTIF(Data!$DY$90:$IB$90,Specials!C1046)</f>
        <v>0</v>
      </c>
      <c r="F1046" s="78">
        <f ca="1">OFFSET(Data!$CS$91,MATCH("W1",Data!$A$91:$A$190,0)-1,MATCH(C1046,Data!$CS$90:$DS$90,0)-1)</f>
        <v>0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0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0 throws</v>
      </c>
      <c r="M1046" s="78" t="s">
        <v>14</v>
      </c>
      <c r="N1046" s="78" t="s">
        <v>249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5"/>
      <c r="C1047" s="78">
        <f>INDEX(Parameter!$9:$9,,MATCH(19,Parameter!$8:$8,0))</f>
        <v>19</v>
      </c>
      <c r="D1047" s="78" t="str">
        <f>INDEX(Parameter!$B$10:$AB$10,MATCH(C1047,Parameter!$B$9:$AB$9,0))</f>
        <v>no</v>
      </c>
      <c r="E1047" s="78">
        <f>COUNTIF(Data!$DY$90:$IB$90,Specials!C1047)</f>
        <v>0</v>
      </c>
      <c r="F1047" s="78">
        <f ca="1">OFFSET(Data!$CS$91,MATCH("W1",Data!$A$91:$A$190,0)-1,MATCH(C1047,Data!$CS$90:$DS$90,0)-1)</f>
        <v>0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0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0 throws</v>
      </c>
      <c r="M1047" s="78" t="s">
        <v>14</v>
      </c>
      <c r="N1047" s="78" t="s">
        <v>249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5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249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5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249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5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249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5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249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5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249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5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249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5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249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5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249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6" t="s">
        <v>253</v>
      </c>
      <c r="B1056" s="286"/>
      <c r="D1056" s="65">
        <f>LARGE(Data!$T$91:$T$190,1)</f>
        <v>0.5</v>
      </c>
      <c r="H1056" s="65">
        <f>COUNTIF(Data!$T$91:$T$190,D1056)</f>
        <v>3</v>
      </c>
      <c r="I1056" s="65">
        <f>IF(H1056&gt;0,INDEX(Data!$S$91:$S$190,MATCH(D1056,Data!$T$91:$T$190,0)),"")</f>
        <v>62</v>
      </c>
      <c r="J1056" s="65">
        <f>IF(H1056&gt;0,INDEX(Data!$K$91:$K$190,MATCH(D1056,Data!$T$91:$T$190,0)),"")</f>
        <v>54</v>
      </c>
      <c r="K1056" s="65" t="str">
        <f>IF(H1056=1,INDEX(Data!$DT$91:$DT$190,MATCH(D1056,Data!$T$91:$T$190,0)),H1056&amp;" Players")</f>
        <v>3 Players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3 Players (8 throws better)</v>
      </c>
      <c r="M1056" s="65" t="s">
        <v>254</v>
      </c>
      <c r="N1056" s="65" t="s">
        <v>249</v>
      </c>
      <c r="O1056" s="65" t="e">
        <f t="shared" ca="1" si="66"/>
        <v>#VALUE!</v>
      </c>
    </row>
    <row r="1057" spans="1:15" s="65" customFormat="1" hidden="1" x14ac:dyDescent="0.25">
      <c r="A1057" s="286" t="s">
        <v>255</v>
      </c>
      <c r="B1057" s="286"/>
      <c r="D1057" s="65">
        <f>SMALL(Data!$T$91:$T$190,1)</f>
        <v>-0.75</v>
      </c>
      <c r="H1057" s="65">
        <f>COUNTIF(Data!$T$91:$T$190,D1057)</f>
        <v>1</v>
      </c>
      <c r="I1057" s="65">
        <f>IF(H1057&gt;0,INDEX(Data!$S$91:$S$190,MATCH(D1057,Data!$T$91:$T$190,0)),"")</f>
        <v>52</v>
      </c>
      <c r="J1057" s="65">
        <f>IF(H1057&gt;0,INDEX(Data!$K$91:$K$190,MATCH(D1057,Data!$T$91:$T$190,0)),"")</f>
        <v>64</v>
      </c>
      <c r="K1057" s="65" t="str">
        <f>IF(H1057=1,INDEX(Data!$DT$91:$DT$190,MATCH(D1057,Data!$T$91:$T$190,0)),H1057&amp;" Players")</f>
        <v>Peter Pichler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Peter Pichler (52 -&gt; 64)</v>
      </c>
      <c r="M1057" s="65" t="s">
        <v>254</v>
      </c>
      <c r="N1057" s="65" t="s">
        <v>249</v>
      </c>
      <c r="O1057" s="65" t="e">
        <f t="shared" ca="1" si="66"/>
        <v>#VALUE!</v>
      </c>
    </row>
    <row r="1058" spans="1:15" s="65" customFormat="1" hidden="1" x14ac:dyDescent="0.25">
      <c r="A1058" s="286" t="s">
        <v>256</v>
      </c>
      <c r="B1058" s="286"/>
      <c r="D1058" s="65">
        <f t="array" ref="D1058">LARGE(IF(Data!$DW$91:$DW$190="M",Data!$T$91:$T$190,0),1)</f>
        <v>0.5</v>
      </c>
      <c r="H1058" s="65">
        <f t="array" ref="H1058">SUM(IF((Data!$T$91:$T$190=D1058)*(Data!$DW$91:$DW$190="M"),1))</f>
        <v>3</v>
      </c>
      <c r="I1058" s="65">
        <f t="array" ref="I1058">IF(H1058&gt;0,INDEX(Data!$S$91:$S$190,MATCH(D1058,(Data!$T$91:$T$190)*(Data!$DW$91:$DW$190="M"),0)),"")</f>
        <v>62</v>
      </c>
      <c r="J1058" s="65">
        <f t="array" ref="J1058">IF(H1058&gt;0,INDEX(Data!$K$91:$K$190,MATCH(D1058,(Data!$T$91:$T$190)*(Data!$DW$91:$DW$190="M"),0)),"")</f>
        <v>54</v>
      </c>
      <c r="K1058" s="65" t="str">
        <f t="array" ref="K1058">IF(H1058=1,INDEX(Data!$DT$91:$DT$190,MATCH(D1058,(Data!$T$91:$T$190)*(Data!$DW$91:$DW$190="M"),0)),H1058&amp;" Players")</f>
        <v>3 Players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3 Players (8 throws better)</v>
      </c>
      <c r="M1058" s="65" t="s">
        <v>254</v>
      </c>
      <c r="N1058" s="65" t="s">
        <v>249</v>
      </c>
      <c r="O1058" s="65" t="e">
        <f t="shared" ca="1" si="66"/>
        <v>#VALUE!</v>
      </c>
    </row>
    <row r="1059" spans="1:15" s="65" customFormat="1" hidden="1" x14ac:dyDescent="0.25">
      <c r="A1059" s="286" t="s">
        <v>257</v>
      </c>
      <c r="B1059" s="286"/>
      <c r="D1059" s="65">
        <f t="array" ref="D1059">SMALL(IF(Data!$DW$91:$DW$190="M",Data!$T$91:$T$190,0),1)</f>
        <v>-0.75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52</v>
      </c>
      <c r="J1059" s="65">
        <f t="array" ref="J1059">IF(H1059&gt;0,INDEX(Data!$K$91:$K$190,MATCH(D1059,(Data!$T$91:$T$190)*(Data!$DW$91:$DW$190="M"),0)),"")</f>
        <v>64</v>
      </c>
      <c r="K1059" s="65" t="str">
        <f t="array" ref="K1059">IF(H1059=1,INDEX(Data!$DT$91:$DT$190,MATCH(D1059,(Data!$T$91:$T$190)*(Data!$DW$91:$DW$190="M"),0)),H1059&amp;" Players")</f>
        <v>Peter Pichler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Peter Pichler (52 -&gt; 64)</v>
      </c>
      <c r="M1059" s="65" t="s">
        <v>254</v>
      </c>
      <c r="N1059" s="65" t="s">
        <v>249</v>
      </c>
      <c r="O1059" s="65" t="e">
        <f t="shared" ca="1" si="66"/>
        <v>#VALUE!</v>
      </c>
    </row>
    <row r="1060" spans="1:15" s="65" customFormat="1" hidden="1" x14ac:dyDescent="0.25">
      <c r="A1060" s="286" t="s">
        <v>258</v>
      </c>
      <c r="B1060" s="286"/>
      <c r="D1060" s="65">
        <f t="array" ref="D1060">LARGE(IF(Data!$DW$91:$DW$190="W",Data!$T$91:$T$190,0),1)</f>
        <v>0.3125</v>
      </c>
      <c r="H1060" s="65">
        <f t="array" ref="H1060">SUM(IF((Data!$T$91:$T$190=D1060)*(Data!$DW$91:$DW$190="W"),1))</f>
        <v>2</v>
      </c>
      <c r="I1060" s="65">
        <f t="array" ref="I1060">IF(H1060&gt;0,INDEX(Data!$S$91:$S$190,MATCH(D1060,(Data!$T$91:$T$190)*(Data!$DW$91:$DW$190="W"),0)),"")</f>
        <v>67</v>
      </c>
      <c r="J1060" s="65">
        <f t="array" ref="J1060">IF(H1060&gt;0,INDEX(Data!$K$91:$K$190,MATCH(D1060,(Data!$T$91:$T$190)*(Data!$DW$91:$DW$190="W"),0)),"")</f>
        <v>62</v>
      </c>
      <c r="K1060" s="65" t="str">
        <f t="array" ref="K1060">IF(H1060=1,INDEX(Data!$DT$91:$DT$190,MATCH(D1060,(Data!$T$91:$T$190)*(Data!$DW$91:$DW$190="W"),0)),H1060&amp;" Players")</f>
        <v>2 Players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2 Players (5 throws better)</v>
      </c>
      <c r="M1060" s="65" t="s">
        <v>254</v>
      </c>
      <c r="N1060" s="65" t="s">
        <v>249</v>
      </c>
      <c r="O1060" s="65" t="e">
        <f t="shared" ca="1" si="66"/>
        <v>#VALUE!</v>
      </c>
    </row>
    <row r="1061" spans="1:15" s="65" customFormat="1" hidden="1" x14ac:dyDescent="0.25">
      <c r="A1061" s="286" t="s">
        <v>259</v>
      </c>
      <c r="B1061" s="286"/>
      <c r="D1061" s="65">
        <f t="array" ref="D1061">SMALL(IF(Data!$DW$91:$DW$190="W",Data!$T$91:$T$190,0),1)</f>
        <v>-0.3125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76</v>
      </c>
      <c r="J1061" s="65">
        <f t="array" ref="J1061">IF(H1061&gt;0,INDEX(Data!$K$91:$K$190,MATCH(D1061,(Data!$T$91:$T$190)*(Data!$DW$91:$DW$190="W"),0)),"")</f>
        <v>81</v>
      </c>
      <c r="K1061" s="65" t="str">
        <f t="array" ref="K1061">IF(H1061=1,INDEX(Data!$DT$91:$DT$190,MATCH(D1061,(Data!$T$91:$T$190)*(Data!$DW$91:$DW$190="W"),0)),H1061&amp;" Players")</f>
        <v>Alíz Török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Alíz Török (76 -&gt; 81)</v>
      </c>
      <c r="M1061" s="65" t="s">
        <v>254</v>
      </c>
      <c r="N1061" s="65" t="s">
        <v>249</v>
      </c>
      <c r="O1061" s="65" t="e">
        <f t="shared" ca="1" si="66"/>
        <v>#VALUE!</v>
      </c>
    </row>
    <row r="1062" spans="1:15" s="65" customFormat="1" hidden="1" x14ac:dyDescent="0.25">
      <c r="A1062" s="286" t="str">
        <f>"Biggest Improvement Men Rating &gt; "&amp;Parameter!$B$32&amp;" Round 2"</f>
        <v>Biggest Improvement Men Rating &gt; 850 Round 2</v>
      </c>
      <c r="B1062" s="286"/>
      <c r="D1062" s="65">
        <f t="array" ref="D1062">LARGE(IF((Data!$DW$91:$DW$190="M")*(Data!$AM$91:$AM$190&gt;Parameter!$B$32),Data!$T$91:$T$190,0),1)</f>
        <v>0.5</v>
      </c>
      <c r="H1062" s="65">
        <f t="array" ref="H1062">SUM(IF((Data!$T$91:$T$190=D1062)*(Data!$DW$91:$DW$190="M")*(Data!$AM$91:$AM$190&gt;Parameter!$B$32),1))</f>
        <v>2</v>
      </c>
      <c r="I1062" s="65">
        <f t="array" ref="I1062">IF(H1062&gt;0,INDEX(Data!$S$91:$S$190,MATCH(D1062,(Data!$T$91:$T$190)*(Data!$DW$91:$DW$190="M")*(Data!$AM$91:$AM$190&gt;Parameter!$B$32),0)),"")</f>
        <v>62</v>
      </c>
      <c r="J1062" s="65">
        <f t="array" ref="J1062">IF(H1062&gt;0,INDEX(Data!$K$91:$K$190,MATCH(D1062,(Data!$T$91:$T$190)*(Data!$DW$91:$DW$190="M")*(Data!$AM$91:$AM$190&gt;Parameter!$B$32),0)),"")</f>
        <v>54</v>
      </c>
      <c r="K1062" s="65" t="str">
        <f t="array" ref="K1062">IF(H1062=1,INDEX(Data!$DT$91:$DT$190,MATCH(D1062,(Data!$T$91:$T$190)*(Data!$DW$91:$DW$190="M")*(Data!$AM$91:$AM$190&gt;Parameter!$B$32),0)),H1062&amp;" Players")</f>
        <v>2 Players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2 Players (8 throws better)</v>
      </c>
      <c r="M1062" s="65" t="s">
        <v>254</v>
      </c>
      <c r="N1062" s="65" t="s">
        <v>249</v>
      </c>
      <c r="O1062" s="65" t="e">
        <f t="shared" ca="1" si="66"/>
        <v>#VALUE!</v>
      </c>
    </row>
    <row r="1063" spans="1:15" s="65" customFormat="1" hidden="1" x14ac:dyDescent="0.25">
      <c r="A1063" s="286" t="str">
        <f>"Biggest Worsening Men Rating &gt; "&amp;Parameter!$B$32&amp;" Round 2"</f>
        <v>Biggest Worsening Men Rating &gt; 850 Round 2</v>
      </c>
      <c r="B1063" s="286"/>
      <c r="D1063" s="65">
        <f t="array" ref="D1063">SMALL(IF((Data!$DW$91:$DW$190="M")*(Data!$AM$91:$AM$190&gt;Parameter!$B$32),Data!$T$91:$T$190,0),1)</f>
        <v>-0.75</v>
      </c>
      <c r="H1063" s="65">
        <f t="array" ref="H1063">SUM(IF((Data!$T$91:$T$190=D1063)*(Data!$DW$91:$DW$190="M")*(Data!$AM$91:$AM$190&gt;Parameter!$B$32),1))</f>
        <v>1</v>
      </c>
      <c r="I1063" s="65">
        <f t="array" ref="I1063">IF(H1063&gt;0,INDEX(Data!$S$91:$S$190,MATCH(D1063,(Data!$T$91:$T$190)*(Data!$DW$91:$DW$190="M")*(Data!$AM$91:$AM$190&gt;Parameter!$B$32),0)),"")</f>
        <v>52</v>
      </c>
      <c r="J1063" s="65">
        <f t="array" ref="J1063">IF(H1063&gt;0,INDEX(Data!$K$91:$K$190,MATCH(D1063,(Data!$T$91:$T$190)*(Data!$DW$91:$DW$190="M")*(Data!$AM$91:$AM$190&gt;Parameter!$B$32),0)),"")</f>
        <v>64</v>
      </c>
      <c r="K1063" s="65" t="str">
        <f t="array" ref="K1063">IF(H1063=1,INDEX(Data!$DT$91:$DT$190,MATCH(D1063,(Data!$T$91:$T$190)*(Data!$DW$91:$DW$190="M")*(Data!$AM$91:$AM$190&gt;Parameter!$B$32),0)),H1063&amp;" Players")</f>
        <v>Peter Pichler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Peter Pichler (52 -&gt; 64)</v>
      </c>
      <c r="M1063" s="65" t="s">
        <v>254</v>
      </c>
      <c r="N1063" s="65" t="s">
        <v>249</v>
      </c>
      <c r="O1063" s="65" t="e">
        <f t="shared" ca="1" si="66"/>
        <v>#VALUE!</v>
      </c>
    </row>
    <row r="1064" spans="1:15" s="65" customFormat="1" hidden="1" x14ac:dyDescent="0.25">
      <c r="A1064" s="286" t="str">
        <f>"Biggest Improvement Women Rating &gt; "&amp;Parameter!$B$33&amp;" Round 2"</f>
        <v>Biggest Improvement Women Rating &gt; 600 Round 2</v>
      </c>
      <c r="B1064" s="286"/>
      <c r="D1064" s="65">
        <f t="array" ref="D1064">LARGE(IF((Data!$DW$91:$DW$190="W")*(Data!$AM$91:$AM$190&gt;Parameter!$B$33),Data!$T$91:$T$190,0),1)</f>
        <v>0.3125</v>
      </c>
      <c r="H1064" s="65">
        <f t="array" ref="H1064">SUM(IF((Data!$T$91:$T$190=D1064)*(Data!$DW$91:$DW$190="W")*(Data!$AM$91:$AM$190&gt;Parameter!$B$33),1))</f>
        <v>2</v>
      </c>
      <c r="I1064" s="65">
        <f t="array" ref="I1064">IF(H1064&gt;0,INDEX(Data!$S$91:$S$190,MATCH(D1064,(Data!$T$91:$T$190)*(Data!$DW$91:$DW$190="W")*(Data!$AM$91:$AM$190&gt;Parameter!$B$33),0)),"")</f>
        <v>67</v>
      </c>
      <c r="J1064" s="65">
        <f t="array" ref="J1064">IF(H1064&gt;0,INDEX(Data!$K$91:$K$190,MATCH(D1064,(Data!$T$91:$T$190)*(Data!$DW$91:$DW$190="W")*(Data!$AM$91:$AM$190&gt;Parameter!$B$33),0)),"")</f>
        <v>62</v>
      </c>
      <c r="K1064" s="65" t="str">
        <f t="array" ref="K1064">IF(H1064=1,INDEX(Data!$DT$91:$DT$190,MATCH(D1064,(Data!$T$91:$T$190)*(Data!$DW$91:$DW$190="W")*(Data!$AM$91:$AM$190&gt;Parameter!$B$33),0)),H1064&amp;" Players")</f>
        <v>2 Players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2 Players (5 throws better)</v>
      </c>
      <c r="M1064" s="65" t="s">
        <v>254</v>
      </c>
      <c r="N1064" s="65" t="s">
        <v>249</v>
      </c>
      <c r="O1064" s="65" t="e">
        <f t="shared" ca="1" si="66"/>
        <v>#VALUE!</v>
      </c>
    </row>
    <row r="1065" spans="1:15" s="65" customFormat="1" hidden="1" x14ac:dyDescent="0.25">
      <c r="A1065" s="286" t="str">
        <f>"Biggest Worsening Women Rating &gt; "&amp;Parameter!$B$33&amp;" Round 2"</f>
        <v>Biggest Worsening Women Rating &gt; 600 Round 2</v>
      </c>
      <c r="B1065" s="286"/>
      <c r="D1065" s="65">
        <f t="array" ref="D1065">SMALL(IF((Data!$DW$91:$DW$190="W")*(Data!$AM$91:$AM$190&gt;Parameter!$B$33),Data!$T$91:$T$190,0),1)</f>
        <v>-6.25E-2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66</v>
      </c>
      <c r="J1065" s="65">
        <f t="array" ref="J1065">IF(H1065&gt;0,INDEX(Data!$K$91:$K$190,MATCH(D1065,(Data!$T$91:$T$190)*(Data!$DW$91:$DW$190="W")*(Data!$AM$91:$AM$190&gt;Parameter!$B$33),0)),"")</f>
        <v>67</v>
      </c>
      <c r="K1065" s="65" t="str">
        <f t="array" ref="K1065">IF(H1065=1,INDEX(Data!$DT$91:$DT$190,MATCH(D1065,(Data!$T$91:$T$190)*(Data!$DW$91:$DW$190="W")*(Data!$AM$91:$AM$190&gt;Parameter!$B$33),0)),H1065&amp;" Players")</f>
        <v>Sona Švecová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Sona Švecová (66 -&gt; 67)</v>
      </c>
      <c r="M1065" s="65" t="s">
        <v>254</v>
      </c>
      <c r="N1065" s="65" t="s">
        <v>249</v>
      </c>
      <c r="O1065" s="65" t="e">
        <f t="shared" ca="1" si="66"/>
        <v>#VALUE!</v>
      </c>
    </row>
    <row r="1066" spans="1:15" s="78" customFormat="1" hidden="1" x14ac:dyDescent="0.25">
      <c r="A1066" s="288" t="s">
        <v>260</v>
      </c>
      <c r="B1066" s="289"/>
      <c r="D1066" s="78" t="e">
        <f>LARGE(Data!$V$91:$V$190,1)</f>
        <v>#DIV/0!</v>
      </c>
      <c r="H1066" s="78">
        <f>COUNTIF(Data!$V$91:$V$190,D1066)</f>
        <v>100</v>
      </c>
      <c r="I1066" s="78" t="e">
        <f>IF(H1066&gt;0,INDEX(Data!$U$91:$U$190,MATCH(D1066,Data!$V$91:$V$190,0)),"")</f>
        <v>#DIV/0!</v>
      </c>
      <c r="J1066" s="78" t="e">
        <f>IF(H1066&gt;0,INDEX(Data!$L$91:$L$190,MATCH(D1066,Data!$V$91:$V$190,0)),"")</f>
        <v>#DIV/0!</v>
      </c>
      <c r="K1066" s="78" t="str">
        <f>IF(H1066=1,INDEX(Data!$DT$91:$DT$190,MATCH(D1066,Data!$V$91:$V$190,0)),H1066&amp;" Players")</f>
        <v>100 Players</v>
      </c>
      <c r="L1066" s="78" t="e">
        <f>IF(AND(H1066&gt;0,D1066&lt;&gt;0),IF(H1066=1,Specials!$K1066&amp;" ("&amp;Specials!$I1066&amp;" -&gt; "&amp;Specials!$J1066&amp;")",Specials!$K1066&amp;" ("&amp;ABS(I1066-J1066)&amp;" throws better)"),"No Improvements")</f>
        <v>#DIV/0!</v>
      </c>
      <c r="M1066" s="78" t="s">
        <v>254</v>
      </c>
      <c r="N1066" s="78" t="s">
        <v>249</v>
      </c>
      <c r="O1066" s="78" t="e">
        <f t="shared" ca="1" si="66"/>
        <v>#VALUE!</v>
      </c>
    </row>
    <row r="1067" spans="1:15" s="78" customFormat="1" hidden="1" x14ac:dyDescent="0.25">
      <c r="A1067" s="289" t="s">
        <v>261</v>
      </c>
      <c r="B1067" s="289"/>
      <c r="D1067" s="78" t="e">
        <f>SMALL(Data!$V$91:$V$190,1)</f>
        <v>#DIV/0!</v>
      </c>
      <c r="H1067" s="78">
        <f>COUNTIF(Data!$V$91:$V$190,D1067)</f>
        <v>100</v>
      </c>
      <c r="I1067" s="78" t="e">
        <f>IF(H1067&gt;0,INDEX(Data!$U$91:$U$190,MATCH(D1067,Data!$V$91:$V$190,0)),"")</f>
        <v>#DIV/0!</v>
      </c>
      <c r="J1067" s="78" t="e">
        <f>IF(H1067&gt;0,INDEX(Data!$L$91:$L$190,MATCH(D1067,Data!$V$91:$V$190,0)),"")</f>
        <v>#DIV/0!</v>
      </c>
      <c r="K1067" s="78" t="str">
        <f>IF(H1067=1,INDEX(Data!$DT$91:$DT$190,MATCH(D1067,Data!$V$91:$V$190,0)),H1067&amp;" Players")</f>
        <v>100 Players</v>
      </c>
      <c r="L1067" s="78" t="e">
        <f>IF(AND(H1067&gt;0,D1067&lt;&gt;0),IF(H1067=1,Specials!$K1067&amp;" ("&amp;Specials!$I1067&amp;" -&gt; "&amp;Specials!$J1067&amp;")",Specials!$K1067&amp;" ("&amp;ABS(I1067-J1067)&amp;" throws worse)"),"No Worsenings")</f>
        <v>#DIV/0!</v>
      </c>
      <c r="M1067" s="78" t="s">
        <v>254</v>
      </c>
      <c r="N1067" s="78" t="s">
        <v>249</v>
      </c>
      <c r="O1067" s="78" t="e">
        <f t="shared" ca="1" si="66"/>
        <v>#VALUE!</v>
      </c>
    </row>
    <row r="1068" spans="1:15" s="78" customFormat="1" hidden="1" x14ac:dyDescent="0.25">
      <c r="A1068" s="289" t="s">
        <v>262</v>
      </c>
      <c r="B1068" s="289"/>
      <c r="D1068" s="78" t="e">
        <f t="array" ref="D1068">LARGE(IF(Data!$DW$91:$DW$190="M",Data!$V$91:$V$190,0),1)</f>
        <v>#DIV/0!</v>
      </c>
      <c r="H1068" s="78" t="e">
        <f t="array" ref="H1068">SUM(IF((Data!$V$91:$V$190=D1068)*(Data!$DW$91:$DW$190="M"),1))</f>
        <v>#DIV/0!</v>
      </c>
      <c r="I1068" s="78" t="e">
        <f t="array" ref="I1068">IF(H1068&gt;0,INDEX(Data!$U$91:$U$190,MATCH(D1068,(Data!$V$91:$V$190)*(Data!$DW$91:$DW$190="M"),0)),"")</f>
        <v>#DIV/0!</v>
      </c>
      <c r="J1068" s="78" t="e">
        <f t="array" ref="J1068">IF(H1068&gt;0,INDEX(Data!$L$91:$L$190,MATCH(D1068,(Data!$V$91:$V$190)*(Data!$DW$91:$DW$190="M"),0)),"")</f>
        <v>#DIV/0!</v>
      </c>
      <c r="K1068" s="78" t="e">
        <f t="array" ref="K1068">IF(H1068=1,INDEX(Data!$DT$91:$DT$190,MATCH(D1068,(Data!$V$91:$V$190)*(Data!$DW$91:$DW$190="M"),0)),H1068&amp;" Players")</f>
        <v>#DIV/0!</v>
      </c>
      <c r="L1068" s="78" t="e">
        <f>IF(AND(H1068&gt;0,D1068&lt;&gt;0),IF(H1068=1,Specials!$K1068&amp;" ("&amp;Specials!$I1068&amp;" -&gt; "&amp;Specials!$J1068&amp;")",Specials!$K1068&amp;" ("&amp;ABS(I1068-J1068)&amp;" throws better)"),"No Improvements")</f>
        <v>#DIV/0!</v>
      </c>
      <c r="M1068" s="78" t="s">
        <v>254</v>
      </c>
      <c r="N1068" s="78" t="s">
        <v>249</v>
      </c>
      <c r="O1068" s="78" t="e">
        <f t="shared" ca="1" si="66"/>
        <v>#VALUE!</v>
      </c>
    </row>
    <row r="1069" spans="1:15" s="78" customFormat="1" hidden="1" x14ac:dyDescent="0.25">
      <c r="A1069" s="289" t="s">
        <v>263</v>
      </c>
      <c r="B1069" s="289"/>
      <c r="D1069" s="78" t="e">
        <f t="array" ref="D1069">SMALL(IF(Data!$DW$91:$DW$190="M",Data!$V$91:$V$190,0),1)</f>
        <v>#DIV/0!</v>
      </c>
      <c r="H1069" s="78" t="e">
        <f t="array" ref="H1069">SUM(IF((Data!$V$91:$V$190=D1069)*(Data!$DW$91:$DW$190="M"),1))</f>
        <v>#DIV/0!</v>
      </c>
      <c r="I1069" s="78" t="e">
        <f t="array" ref="I1069">IF(H1069&gt;0,INDEX(Data!$U$91:$U$190,MATCH(D1069,(Data!$V$91:$V$190)*(Data!$DW$91:$DW$190="M"),0)),"")</f>
        <v>#DIV/0!</v>
      </c>
      <c r="J1069" s="78" t="e">
        <f t="array" ref="J1069">IF(H1069&gt;0,INDEX(Data!$L$91:$L$190,MATCH(D1069,(Data!$V$91:$V$190)*(Data!$DW$91:$DW$190="M"),0)),"")</f>
        <v>#DIV/0!</v>
      </c>
      <c r="K1069" s="78" t="e">
        <f t="array" ref="K1069">IF(H1069=1,INDEX(Data!$DT$91:$DT$190,MATCH(D1069,(Data!$V$91:$V$190)*(Data!$DW$91:$DW$190="M"),0)),H1069&amp;" Players")</f>
        <v>#DIV/0!</v>
      </c>
      <c r="L1069" s="78" t="e">
        <f>IF(AND(H1069&gt;0,D1069&lt;&gt;0),IF(H1069=1,Specials!$K1069&amp;" ("&amp;Specials!$I1069&amp;" -&gt; "&amp;Specials!$J1069&amp;")",Specials!$K1069&amp;" ("&amp;ABS(I1069-J1069)&amp;" throws worse)"),"No Worsenings")</f>
        <v>#DIV/0!</v>
      </c>
      <c r="M1069" s="78" t="s">
        <v>254</v>
      </c>
      <c r="N1069" s="78" t="s">
        <v>249</v>
      </c>
      <c r="O1069" s="78" t="e">
        <f t="shared" ca="1" si="66"/>
        <v>#VALUE!</v>
      </c>
    </row>
    <row r="1070" spans="1:15" s="78" customFormat="1" hidden="1" x14ac:dyDescent="0.25">
      <c r="A1070" s="289" t="s">
        <v>264</v>
      </c>
      <c r="B1070" s="289"/>
      <c r="D1070" s="78" t="e">
        <f t="array" ref="D1070">LARGE(IF(Data!$DW$91:$DW$190="W",Data!$V$91:$V$190,0),1)</f>
        <v>#DIV/0!</v>
      </c>
      <c r="H1070" s="78" t="e">
        <f t="array" ref="H1070">SUM(IF((Data!$V$91:$V$190=D1070)*(Data!$DW$91:$DW$190="W"),1))</f>
        <v>#DIV/0!</v>
      </c>
      <c r="I1070" s="78" t="e">
        <f t="array" ref="I1070">IF(H1070&gt;0,INDEX(Data!$U$91:$U$190,MATCH(D1070,(Data!$V$91:$V$190)*(Data!$DW$91:$DW$190="W"),0)),"")</f>
        <v>#DIV/0!</v>
      </c>
      <c r="J1070" s="78" t="e">
        <f t="array" ref="J1070">IF(H1070&gt;0,INDEX(Data!$L$91:$L$190,MATCH(D1070,(Data!$V$91:$V$190)*(Data!$DW$91:$DW$190="W"),0)),"")</f>
        <v>#DIV/0!</v>
      </c>
      <c r="K1070" s="78" t="e">
        <f t="array" ref="K1070">IF(H1070=1,INDEX(Data!$DT$91:$DT$190,MATCH(D1070,(Data!$V$91:$V$190)*(Data!$DW$91:$DW$190="W"),0)),H1070&amp;" Players")</f>
        <v>#DIV/0!</v>
      </c>
      <c r="L1070" s="78" t="e">
        <f>IF(AND(H1070&gt;0,D1070&lt;&gt;0),IF(H1070=1,Specials!$K1070&amp;" ("&amp;Specials!$I1070&amp;" -&gt; "&amp;Specials!$J1070&amp;")",Specials!$K1070&amp;" ("&amp;ABS(I1070-J1070)&amp;" throws better)"),"No Improvements")</f>
        <v>#DIV/0!</v>
      </c>
      <c r="M1070" s="78" t="s">
        <v>254</v>
      </c>
      <c r="N1070" s="78" t="s">
        <v>249</v>
      </c>
      <c r="O1070" s="78" t="e">
        <f t="shared" ca="1" si="66"/>
        <v>#VALUE!</v>
      </c>
    </row>
    <row r="1071" spans="1:15" s="78" customFormat="1" hidden="1" x14ac:dyDescent="0.25">
      <c r="A1071" s="289" t="s">
        <v>265</v>
      </c>
      <c r="B1071" s="289"/>
      <c r="D1071" s="78" t="e">
        <f t="array" ref="D1071">SMALL(IF(Data!$DW$91:$DW$190="W",Data!$V$91:$V$190,0),1)</f>
        <v>#DIV/0!</v>
      </c>
      <c r="H1071" s="78" t="e">
        <f t="array" ref="H1071">SUM(IF((Data!$V$91:$V$190=D1071)*(Data!$DW$91:$DW$190="W"),1))</f>
        <v>#DIV/0!</v>
      </c>
      <c r="I1071" s="78" t="e">
        <f t="array" ref="I1071">IF(H1071&gt;0,INDEX(Data!$U$91:$U$190,MATCH(D1071,(Data!$V$91:$V$190)*(Data!$DW$91:$DW$190="W"),0)),"")</f>
        <v>#DIV/0!</v>
      </c>
      <c r="J1071" s="78" t="e">
        <f t="array" ref="J1071">IF(H1071&gt;0,INDEX(Data!$L$91:$L$190,MATCH(D1071,(Data!$V$91:$V$190)*(Data!$DW$91:$DW$190="W"),0)),"")</f>
        <v>#DIV/0!</v>
      </c>
      <c r="K1071" s="78" t="e">
        <f t="array" ref="K1071">IF(H1071=1,INDEX(Data!$DT$91:$DT$190,MATCH(D1071,(Data!$V$91:$V$190)*(Data!$DW$91:$DW$190="W"),0)),H1071&amp;" Players")</f>
        <v>#DIV/0!</v>
      </c>
      <c r="L1071" s="78" t="e">
        <f>IF(AND(H1071&gt;0,D1071&lt;&gt;0),IF(H1071=1,Specials!$K1071&amp;" ("&amp;Specials!$I1071&amp;" -&gt; "&amp;Specials!$J1071&amp;")",Specials!$K1071&amp;" ("&amp;ABS(I1071-J1071)&amp;" throws worse)"),"No Worsenings")</f>
        <v>#DIV/0!</v>
      </c>
      <c r="M1071" s="78" t="s">
        <v>254</v>
      </c>
      <c r="N1071" s="78" t="s">
        <v>249</v>
      </c>
      <c r="O1071" s="78" t="e">
        <f t="shared" ca="1" si="66"/>
        <v>#VALUE!</v>
      </c>
    </row>
    <row r="1072" spans="1:15" s="78" customFormat="1" hidden="1" x14ac:dyDescent="0.25">
      <c r="A1072" s="289" t="str">
        <f>"Biggest Improvement Men Rating &gt; "&amp;Parameter!$B$32&amp;" Round 3"</f>
        <v>Biggest Improvement Men Rating &gt; 850 Round 3</v>
      </c>
      <c r="B1072" s="289"/>
      <c r="D1072" s="78" t="e">
        <f t="array" ref="D1072">LARGE(IF((Data!$DW$91:$DW$190="M")*(Data!$AM$91:$AM$190&gt;Parameter!$B$32),Data!$V$91:$V$190,0),1)</f>
        <v>#DIV/0!</v>
      </c>
      <c r="H1072" s="78" t="e">
        <f t="array" ref="H1072">SUM(IF((Data!$V$91:$V$190=D1072)*(Data!$DW$91:$DW$190="M")*(Data!$AM$91:$AM$190&gt;Parameter!$B$32),1))</f>
        <v>#DIV/0!</v>
      </c>
      <c r="I1072" s="78" t="e">
        <f t="array" ref="I1072">IF(H1072&gt;0,INDEX(Data!$U$91:$U$190,MATCH(D1072,(Data!$V$91:$V$190)*(Data!$DW$91:$DW$190="M")*(Data!$AM$91:$AM$190&gt;Parameter!$B$32),0)),"")</f>
        <v>#DIV/0!</v>
      </c>
      <c r="J1072" s="78" t="e">
        <f t="array" ref="J1072">IF(H1072&gt;0,INDEX(Data!$L$91:$L$190,MATCH(D1072,(Data!$V$91:$V$190)*(Data!$DW$91:$DW$190="M")*(Data!$AM$91:$AM$190&gt;Parameter!$B$32),0)),"")</f>
        <v>#DIV/0!</v>
      </c>
      <c r="K1072" s="78" t="e">
        <f t="array" ref="K1072">IF(H1072=1,INDEX(Data!$DT$91:$DT$190,MATCH(D1072,(Data!$V$91:$V$190)*(Data!$DW$91:$DW$190="M")*(Data!$AM$91:$AM$190&gt;Parameter!$B$32),0)),H1072&amp;" Players")</f>
        <v>#DIV/0!</v>
      </c>
      <c r="L1072" s="78" t="e">
        <f>IF(AND(H1072&gt;0,D1072&lt;&gt;0),IF(H1072=1,Specials!$K1072&amp;" ("&amp;Specials!$I1072&amp;" -&gt; "&amp;Specials!$J1072&amp;")",Specials!$K1072&amp;" ("&amp;ABS(I1072-J1072)&amp;" throws better)"),"No Improvements")</f>
        <v>#DIV/0!</v>
      </c>
      <c r="M1072" s="78" t="s">
        <v>254</v>
      </c>
      <c r="N1072" s="78" t="s">
        <v>249</v>
      </c>
      <c r="O1072" s="78" t="e">
        <f t="shared" ca="1" si="66"/>
        <v>#VALUE!</v>
      </c>
    </row>
    <row r="1073" spans="1:15" s="78" customFormat="1" hidden="1" x14ac:dyDescent="0.25">
      <c r="A1073" s="289" t="str">
        <f>"Biggest Worsening Men Rating &gt; "&amp;Parameter!$B$32&amp;" Round 3"</f>
        <v>Biggest Worsening Men Rating &gt; 850 Round 3</v>
      </c>
      <c r="B1073" s="289"/>
      <c r="D1073" s="78" t="e">
        <f t="array" ref="D1073">SMALL(IF((Data!$DW$91:$DW$190="M")*(Data!$AM$91:$AM$190&gt;Parameter!$B$32),Data!$V$91:$V$190,0),1)</f>
        <v>#DIV/0!</v>
      </c>
      <c r="H1073" s="78" t="e">
        <f t="array" ref="H1073">SUM(IF((Data!$V$91:$V$190=D1073)*(Data!$DW$91:$DW$190="M")*(Data!$AM$91:$AM$190&gt;Parameter!$B$32),1))</f>
        <v>#DIV/0!</v>
      </c>
      <c r="I1073" s="78" t="e">
        <f t="array" ref="I1073">IF(H1073&gt;0,INDEX(Data!$U$91:$U$190,MATCH(D1073,(Data!$V$91:$V$190)*(Data!$DW$91:$DW$190="M")*(Data!$AM$91:$AM$190&gt;Parameter!$B$32),0)),"")</f>
        <v>#DIV/0!</v>
      </c>
      <c r="J1073" s="78" t="e">
        <f t="array" ref="J1073">IF(H1073&gt;0,INDEX(Data!$L$91:$L$190,MATCH(D1073,(Data!$V$91:$V$190)*(Data!$DW$91:$DW$190="M")*(Data!$AM$91:$AM$190&gt;Parameter!$B$32),0)),"")</f>
        <v>#DIV/0!</v>
      </c>
      <c r="K1073" s="78" t="e">
        <f t="array" ref="K1073">IF(H1073=1,INDEX(Data!$DT$91:$DT$190,MATCH(D1073,(Data!$V$91:$V$190)*(Data!$DW$91:$DW$190="M")*(Data!$AM$91:$AM$190&gt;Parameter!$B$32),0)),H1073&amp;" Players")</f>
        <v>#DIV/0!</v>
      </c>
      <c r="L1073" s="78" t="e">
        <f>IF(AND(H1073&gt;0,D1073&lt;&gt;0),IF(H1073=1,Specials!$K1073&amp;" ("&amp;Specials!$I1073&amp;" -&gt; "&amp;Specials!$J1073&amp;")",Specials!$K1073&amp;" ("&amp;ABS(I1073-J1073)&amp;" throws worse)"),"No Worsenings")</f>
        <v>#DIV/0!</v>
      </c>
      <c r="M1073" s="78" t="s">
        <v>254</v>
      </c>
      <c r="N1073" s="78" t="s">
        <v>249</v>
      </c>
      <c r="O1073" s="78" t="e">
        <f t="shared" ca="1" si="66"/>
        <v>#VALUE!</v>
      </c>
    </row>
    <row r="1074" spans="1:15" s="78" customFormat="1" hidden="1" x14ac:dyDescent="0.25">
      <c r="A1074" s="289" t="str">
        <f>"Biggest Improvement Women Rating &gt; "&amp;Parameter!$B$33&amp;" Round 3"</f>
        <v>Biggest Improvement Women Rating &gt; 600 Round 3</v>
      </c>
      <c r="B1074" s="289"/>
      <c r="D1074" s="78" t="e">
        <f t="array" ref="D1074">LARGE(IF((Data!$DW$91:$DW$190="W")*(Data!$AM$91:$AM$190&gt;Parameter!$B$33),Data!$V$91:$V$190,0),1)</f>
        <v>#DIV/0!</v>
      </c>
      <c r="H1074" s="78" t="e">
        <f t="array" ref="H1074">SUM(IF((Data!$V$91:$V$190=D1074)*(Data!$DW$91:$DW$190="W")*(Data!$AM$91:$AM$190&gt;Parameter!$B$33),1))</f>
        <v>#DIV/0!</v>
      </c>
      <c r="I1074" s="78" t="e">
        <f t="array" ref="I1074">IF(H1074&gt;0,INDEX(Data!$U$91:$U$190,MATCH(D1074,(Data!$V$91:$V$190)*(Data!$DW$91:$DW$190="W")*(Data!$AM$91:$AM$190&gt;Parameter!$B$33),0)),"")</f>
        <v>#DIV/0!</v>
      </c>
      <c r="J1074" s="78" t="e">
        <f t="array" ref="J1074">IF(H1074&gt;0,INDEX(Data!$L$91:$L$190,MATCH(D1074,(Data!$V$91:$V$190)*(Data!$DW$91:$DW$190="W")*(Data!$AM$91:$AM$190&gt;Parameter!$B$33),0)),"")</f>
        <v>#DIV/0!</v>
      </c>
      <c r="K1074" s="78" t="e">
        <f t="array" ref="K1074">IF(H1074=1,INDEX(Data!$DT$91:$DT$190,MATCH(D1074,(Data!$V$91:$V$190)*(Data!$DW$91:$DW$190="W")*(Data!$AM$91:$AM$190&gt;Parameter!$B$33),0)),H1074&amp;" Players")</f>
        <v>#DIV/0!</v>
      </c>
      <c r="L1074" s="78" t="e">
        <f>IF(AND(H1074&gt;0,D1074&lt;&gt;0),IF(H1074=1,Specials!$K1074&amp;" ("&amp;Specials!$I1074&amp;" -&gt; "&amp;Specials!$J1074&amp;")",Specials!$K1074&amp;" ("&amp;ABS(I1074-J1074)&amp;" throws better)"),"No Improvements")</f>
        <v>#DIV/0!</v>
      </c>
      <c r="M1074" s="78" t="s">
        <v>254</v>
      </c>
      <c r="N1074" s="78" t="s">
        <v>249</v>
      </c>
      <c r="O1074" s="78" t="e">
        <f t="shared" ca="1" si="66"/>
        <v>#VALUE!</v>
      </c>
    </row>
    <row r="1075" spans="1:15" s="78" customFormat="1" hidden="1" x14ac:dyDescent="0.25">
      <c r="A1075" s="289" t="str">
        <f>"Biggest Worsening Women Rating &gt; "&amp;Parameter!$B$33&amp;" Round 3"</f>
        <v>Biggest Worsening Women Rating &gt; 600 Round 3</v>
      </c>
      <c r="B1075" s="289"/>
      <c r="D1075" s="78" t="e">
        <f t="array" ref="D1075">SMALL(IF((Data!$DW$91:$DW$190="W")*(Data!$AM$91:$AM$190&gt;Parameter!$B$33),Data!$V$91:$V$190,0),1)</f>
        <v>#DIV/0!</v>
      </c>
      <c r="H1075" s="78" t="e">
        <f t="array" ref="H1075">SUM(IF((Data!$V$91:$V$190=D1075)*(Data!$DW$91:$DW$190="W")*(Data!$AM$91:$AM$190&gt;Parameter!$B$33),1))</f>
        <v>#DIV/0!</v>
      </c>
      <c r="I1075" s="78" t="e">
        <f t="array" ref="I1075">IF(H1075&gt;0,INDEX(Data!$U$91:$U$190,MATCH(D1075,(Data!$V$91:$V$190)*(Data!$DW$91:$DW$190="W")*(Data!$AM$91:$AM$190&gt;Parameter!$B$33),0)),"")</f>
        <v>#DIV/0!</v>
      </c>
      <c r="J1075" s="78" t="e">
        <f t="array" ref="J1075">IF(H1075&gt;0,INDEX(Data!$L$91:$L$190,MATCH(D1075,(Data!$V$91:$V$190)*(Data!$DW$91:$DW$190="W")*(Data!$AM$91:$AM$190&gt;Parameter!$B$33),0)),"")</f>
        <v>#DIV/0!</v>
      </c>
      <c r="K1075" s="78" t="e">
        <f t="array" ref="K1075">IF(H1075=1,INDEX(Data!$DT$91:$DT$190,MATCH(D1075,(Data!$V$91:$V$190)*(Data!$DW$91:$DW$190="W")*(Data!$AM$91:$AM$190&gt;Parameter!$B$33),0)),H1075&amp;" Players")</f>
        <v>#DIV/0!</v>
      </c>
      <c r="L1075" s="78" t="e">
        <f>IF(AND(H1075&gt;0,D1075&lt;&gt;0),IF(H1075=1,Specials!$K1075&amp;" ("&amp;Specials!$I1075&amp;" -&gt; "&amp;Specials!$J1075&amp;")",Specials!$K1075&amp;" ("&amp;ABS(I1075-J1075)&amp;" throws worse)"),"No Worsenings")</f>
        <v>#DIV/0!</v>
      </c>
      <c r="M1075" s="78" t="s">
        <v>254</v>
      </c>
      <c r="N1075" s="78" t="s">
        <v>249</v>
      </c>
      <c r="O1075" s="78" t="e">
        <f t="shared" ca="1" si="66"/>
        <v>#VALUE!</v>
      </c>
    </row>
    <row r="1076" spans="1:15" s="65" customFormat="1" hidden="1" x14ac:dyDescent="0.25">
      <c r="A1076" s="286" t="s">
        <v>266</v>
      </c>
      <c r="B1076" s="286"/>
      <c r="D1076" s="65" t="e">
        <f>LARGE(Data!$X$91:$X$190,1)</f>
        <v>#DIV/0!</v>
      </c>
      <c r="H1076" s="65">
        <f>COUNTIF(Data!$X$91:$X$190,D1076)</f>
        <v>100</v>
      </c>
      <c r="I1076" s="65" t="e">
        <f>IF(H1076&gt;0,INDEX(Data!$W$91:$W$190,MATCH(D1076,Data!$X$91:$X$190,0)),"")</f>
        <v>#DIV/0!</v>
      </c>
      <c r="J1076" s="65" t="e">
        <f>IF(H1076&gt;0,INDEX(Data!$M$91:$M$190,MATCH(D1076,Data!$X$91:$X$190,0)),"")</f>
        <v>#DIV/0!</v>
      </c>
      <c r="K1076" s="65" t="str">
        <f>IF(H1076=1,INDEX(Data!$DT$91:$DT$190,MATCH(D1076,Data!$X$91:$X$190,0)),H1076&amp;" Players")</f>
        <v>100 Players</v>
      </c>
      <c r="L1076" s="65" t="e">
        <f>IF(AND(H1076&gt;0,D1076&lt;&gt;0),IF(H1076=1,Specials!$K1076&amp;" ("&amp;Specials!$I1076&amp;" -&gt; "&amp;Specials!$J1076&amp;")",Specials!$K1076&amp;" ("&amp;ABS(I1076-J1076)&amp;" throws better)"),"No Improvements")</f>
        <v>#DIV/0!</v>
      </c>
      <c r="M1076" s="65" t="s">
        <v>254</v>
      </c>
      <c r="N1076" s="65" t="s">
        <v>249</v>
      </c>
      <c r="O1076" s="65" t="e">
        <f t="shared" ca="1" si="66"/>
        <v>#VALUE!</v>
      </c>
    </row>
    <row r="1077" spans="1:15" s="65" customFormat="1" hidden="1" x14ac:dyDescent="0.25">
      <c r="A1077" s="286" t="s">
        <v>267</v>
      </c>
      <c r="B1077" s="286"/>
      <c r="D1077" s="65" t="e">
        <f>SMALL(Data!$X$91:$X$190,1)</f>
        <v>#DIV/0!</v>
      </c>
      <c r="H1077" s="65">
        <f>COUNTIF(Data!$X$91:$X$190,D1077)</f>
        <v>100</v>
      </c>
      <c r="I1077" s="65" t="e">
        <f>IF(H1077&gt;0,INDEX(Data!$W$91:$W$190,MATCH(D1077,Data!$X$91:$X$190,0)),"")</f>
        <v>#DIV/0!</v>
      </c>
      <c r="J1077" s="65" t="e">
        <f>IF(H1077&gt;0,INDEX(Data!$M$91:$M$190,MATCH(D1077,Data!$X$91:$X$190,0)),"")</f>
        <v>#DIV/0!</v>
      </c>
      <c r="K1077" s="65" t="str">
        <f>IF(H1077=1,INDEX(Data!$DT$91:$DT$190,MATCH(D1077,Data!$X$91:$X$190,0)),H1077&amp;" Players")</f>
        <v>100 Players</v>
      </c>
      <c r="L1077" s="65" t="e">
        <f>IF(AND(H1077&gt;0,D1077&lt;&gt;0),IF(H1077=1,Specials!$K1077&amp;" ("&amp;Specials!$I1077&amp;" -&gt; "&amp;Specials!$J1077&amp;")",Specials!$K1077&amp;" ("&amp;ABS(I1077-J1077)&amp;" throws worse)"),"No Worsenings")</f>
        <v>#DIV/0!</v>
      </c>
      <c r="M1077" s="65" t="s">
        <v>254</v>
      </c>
      <c r="N1077" s="65" t="s">
        <v>249</v>
      </c>
      <c r="O1077" s="65" t="e">
        <f t="shared" ca="1" si="66"/>
        <v>#VALUE!</v>
      </c>
    </row>
    <row r="1078" spans="1:15" s="65" customFormat="1" hidden="1" x14ac:dyDescent="0.25">
      <c r="A1078" s="286" t="s">
        <v>268</v>
      </c>
      <c r="B1078" s="286"/>
      <c r="D1078" s="65" t="e">
        <f t="array" ref="D1078">LARGE(IF(Data!$DW$91:$DW$190="M",Data!$X$91:$X$190,0),1)</f>
        <v>#DIV/0!</v>
      </c>
      <c r="H1078" s="65" t="e">
        <f t="array" ref="H1078">SUM(IF((Data!$X$91:$X$190=D1078)*(Data!$DW$91:$DW$190="M"),1))</f>
        <v>#DIV/0!</v>
      </c>
      <c r="I1078" s="65" t="e">
        <f t="array" ref="I1078">IF(H1078&gt;0,INDEX(Data!$W$91:$W$190,MATCH(D1078,(Data!$X$91:$X$190)*(Data!$DW$91:$DW$190="M"),0)),"")</f>
        <v>#DIV/0!</v>
      </c>
      <c r="J1078" s="65" t="e">
        <f t="array" ref="J1078">IF(H1078&gt;0,INDEX(Data!$M$91:$M$190,MATCH(D1078,(Data!$X$91:$X$190)*(Data!$DW$91:$DW$190="M"),0)),"")</f>
        <v>#DIV/0!</v>
      </c>
      <c r="K1078" s="65" t="e">
        <f t="array" ref="K1078">IF(H1078=1,INDEX(Data!$DT$91:$DT$190,MATCH(D1078,(Data!$X$91:$X$190)*(Data!$DW$91:$DW$190="M"),0)),H1078&amp;" Players")</f>
        <v>#DIV/0!</v>
      </c>
      <c r="L1078" s="65" t="e">
        <f>IF(AND(H1078&gt;0,D1078&lt;&gt;0),IF(H1078=1,Specials!$K1078&amp;" ("&amp;Specials!$I1078&amp;" -&gt; "&amp;Specials!$J1078&amp;")",Specials!$K1078&amp;" ("&amp;ABS(I1078-J1078)&amp;" throws better)"),"No Improvements")</f>
        <v>#DIV/0!</v>
      </c>
      <c r="M1078" s="65" t="s">
        <v>254</v>
      </c>
      <c r="N1078" s="65" t="s">
        <v>249</v>
      </c>
      <c r="O1078" s="65" t="e">
        <f t="shared" ca="1" si="66"/>
        <v>#VALUE!</v>
      </c>
    </row>
    <row r="1079" spans="1:15" s="65" customFormat="1" hidden="1" x14ac:dyDescent="0.25">
      <c r="A1079" s="286" t="s">
        <v>269</v>
      </c>
      <c r="B1079" s="286"/>
      <c r="D1079" s="65" t="e">
        <f t="array" ref="D1079">SMALL(IF(Data!$DW$91:$DW$190="M",Data!$X$91:$X$190,0),1)</f>
        <v>#DIV/0!</v>
      </c>
      <c r="H1079" s="65" t="e">
        <f t="array" ref="H1079">SUM(IF((Data!$X$91:$X$190=D1079)*(Data!$DW$91:$DW$190="M"),1))</f>
        <v>#DIV/0!</v>
      </c>
      <c r="I1079" s="65" t="e">
        <f t="array" ref="I1079">IF(H1079&gt;0,INDEX(Data!$W$91:$W$190,MATCH(D1079,(Data!$X$91:$X$190)*(Data!$DW$91:$DW$190="M"),0)),"")</f>
        <v>#DIV/0!</v>
      </c>
      <c r="J1079" s="65" t="e">
        <f t="array" ref="J1079">IF(H1079&gt;0,INDEX(Data!$M$91:$M$190,MATCH(D1079,(Data!$X$91:$X$190)*(Data!$DW$91:$DW$190="M"),0)),"")</f>
        <v>#DIV/0!</v>
      </c>
      <c r="K1079" s="65" t="e">
        <f t="array" ref="K1079">IF(H1079=1,INDEX(Data!$DT$91:$DT$190,MATCH(D1079,(Data!$X$91:$X$190)*(Data!$DW$91:$DW$190="M"),0)),H1079&amp;" Players")</f>
        <v>#DIV/0!</v>
      </c>
      <c r="L1079" s="65" t="e">
        <f>IF(AND(H1079&gt;0,D1079&lt;&gt;0),IF(H1079=1,Specials!$K1079&amp;" ("&amp;Specials!$I1079&amp;" -&gt; "&amp;Specials!$J1079&amp;")",Specials!$K1079&amp;" ("&amp;ABS(I1079-J1079)&amp;" throws worse)"),"No Worsenings")</f>
        <v>#DIV/0!</v>
      </c>
      <c r="M1079" s="65" t="s">
        <v>254</v>
      </c>
      <c r="N1079" s="65" t="s">
        <v>249</v>
      </c>
      <c r="O1079" s="65" t="e">
        <f t="shared" ca="1" si="66"/>
        <v>#VALUE!</v>
      </c>
    </row>
    <row r="1080" spans="1:15" s="65" customFormat="1" hidden="1" x14ac:dyDescent="0.25">
      <c r="A1080" s="286" t="s">
        <v>270</v>
      </c>
      <c r="B1080" s="286"/>
      <c r="D1080" s="65" t="e">
        <f t="array" ref="D1080">LARGE(IF(Data!$DW$91:$DW$190="W",Data!$X$91:$X$190,0),1)</f>
        <v>#DIV/0!</v>
      </c>
      <c r="H1080" s="65" t="e">
        <f t="array" ref="H1080">SUM(IF((Data!$X$91:$X$190=D1080)*(Data!$DW$91:$DW$190="W"),1))</f>
        <v>#DIV/0!</v>
      </c>
      <c r="I1080" s="65" t="e">
        <f t="array" ref="I1080">IF(H1080&gt;0,INDEX(Data!$W$91:$W$190,MATCH(D1080,(Data!$X$91:$X$190)*(Data!$DW$91:$DW$190="W"),0)),"")</f>
        <v>#DIV/0!</v>
      </c>
      <c r="J1080" s="65" t="e">
        <f t="array" ref="J1080">IF(H1080&gt;0,INDEX(Data!$M$91:$M$190,MATCH(D1080,(Data!$X$91:$X$190)*(Data!$DW$91:$DW$190="W"),0)),"")</f>
        <v>#DIV/0!</v>
      </c>
      <c r="K1080" s="65" t="e">
        <f t="array" ref="K1080">IF(H1080=1,INDEX(Data!$DT$91:$DT$190,MATCH(D1080,(Data!$X$91:$X$190)*(Data!$DW$91:$DW$190="W"),0)),H1080&amp;" Players")</f>
        <v>#DIV/0!</v>
      </c>
      <c r="L1080" s="65" t="e">
        <f>IF(AND(H1080&gt;0,D1080&lt;&gt;0),IF(H1080=1,Specials!$K1080&amp;" ("&amp;Specials!$I1080&amp;" -&gt; "&amp;Specials!$J1080&amp;")",Specials!$K1080&amp;" ("&amp;ABS(I1080-J1080)&amp;" throws better)"),"No Improvements")</f>
        <v>#DIV/0!</v>
      </c>
      <c r="M1080" s="65" t="s">
        <v>254</v>
      </c>
      <c r="N1080" s="65" t="s">
        <v>249</v>
      </c>
      <c r="O1080" s="65" t="e">
        <f t="shared" ca="1" si="66"/>
        <v>#VALUE!</v>
      </c>
    </row>
    <row r="1081" spans="1:15" s="65" customFormat="1" hidden="1" x14ac:dyDescent="0.25">
      <c r="A1081" s="286" t="s">
        <v>271</v>
      </c>
      <c r="B1081" s="286"/>
      <c r="D1081" s="65" t="e">
        <f t="array" ref="D1081">SMALL(IF(Data!$DW$91:$DW$190="W",Data!$X$91:$X$190,0),1)</f>
        <v>#DIV/0!</v>
      </c>
      <c r="H1081" s="65" t="e">
        <f t="array" ref="H1081">SUM(IF((Data!$X$91:$X$190=D1081)*(Data!$DW$91:$DW$190="W"),1))</f>
        <v>#DIV/0!</v>
      </c>
      <c r="I1081" s="65" t="e">
        <f t="array" ref="I1081">IF(H1081&gt;0,INDEX(Data!$W$91:$W$190,MATCH(D1081,(Data!$X$91:$X$190)*(Data!$DW$91:$DW$190="W"),0)),"")</f>
        <v>#DIV/0!</v>
      </c>
      <c r="J1081" s="65" t="e">
        <f t="array" ref="J1081">IF(H1081&gt;0,INDEX(Data!$M$91:$M$190,MATCH(D1081,(Data!$X$91:$X$190)*(Data!$DW$91:$DW$190="W"),0)),"")</f>
        <v>#DIV/0!</v>
      </c>
      <c r="K1081" s="65" t="e">
        <f t="array" ref="K1081">IF(H1081=1,INDEX(Data!$DT$91:$DT$190,MATCH(D1081,(Data!$X$91:$X$190)*(Data!$DW$91:$DW$190="W"),0)),H1081&amp;" Players")</f>
        <v>#DIV/0!</v>
      </c>
      <c r="L1081" s="65" t="e">
        <f>IF(AND(H1081&gt;0,D1081&lt;&gt;0),IF(H1081=1,Specials!$K1081&amp;" ("&amp;Specials!$I1081&amp;" -&gt; "&amp;Specials!$J1081&amp;")",Specials!$K1081&amp;" ("&amp;ABS(I1081-J1081)&amp;" throws worse)"),"No Worsenings")</f>
        <v>#DIV/0!</v>
      </c>
      <c r="M1081" s="65" t="s">
        <v>254</v>
      </c>
      <c r="N1081" s="65" t="s">
        <v>249</v>
      </c>
      <c r="O1081" s="65" t="e">
        <f t="shared" ca="1" si="66"/>
        <v>#VALUE!</v>
      </c>
    </row>
    <row r="1082" spans="1:15" s="65" customFormat="1" hidden="1" x14ac:dyDescent="0.25">
      <c r="A1082" s="286" t="str">
        <f>"Biggest Improvement Men Rating &gt; "&amp;Parameter!$B$32&amp;" Final"</f>
        <v>Biggest Improvement Men Rating &gt; 850 Final</v>
      </c>
      <c r="B1082" s="286"/>
      <c r="D1082" s="65" t="e">
        <f t="array" ref="D1082">LARGE(IF((Data!$DW$91:$DW$190="M")*(Data!$AM$91:$AM$190&gt;Parameter!$B$32),Data!$X$91:$X$190,0),1)</f>
        <v>#DIV/0!</v>
      </c>
      <c r="H1082" s="65" t="e">
        <f t="array" ref="H1082">SUM(IF((Data!$X$91:$X$190=D1082)*(Data!$DW$91:$DW$190="M")*(Data!$AM$91:$AM$190&gt;Parameter!$B$32),1))</f>
        <v>#DIV/0!</v>
      </c>
      <c r="I1082" s="65" t="e">
        <f t="array" ref="I1082">IF(H1082&gt;0,INDEX(Data!$W$91:$W$190,MATCH(D1082,(Data!$X$91:$X$190)*(Data!$DW$91:$DW$190="M")*(Data!$AM$91:$AM$190&gt;Parameter!$B$32),0)),"")</f>
        <v>#DIV/0!</v>
      </c>
      <c r="J1082" s="65" t="e">
        <f t="array" ref="J1082">IF(H1082&gt;0,INDEX(Data!$M$91:$M$190,MATCH(D1082,(Data!$X$91:$X$190)*(Data!$DW$91:$DW$190="M")*(Data!$AM$91:$AM$190&gt;Parameter!$B$32),0)),"")</f>
        <v>#DIV/0!</v>
      </c>
      <c r="K1082" s="65" t="e">
        <f t="array" ref="K1082">IF(H1082=1,INDEX(Data!$DT$91:$DT$190,MATCH(D1082,(Data!$X$91:$X$190)*(Data!$DW$91:$DW$190="M")*(Data!$AM$91:$AM$190&gt;Parameter!$B$32),0)),H1082&amp;" Players")</f>
        <v>#DIV/0!</v>
      </c>
      <c r="L1082" s="65" t="e">
        <f>IF(AND(H1082&gt;0,D1082&lt;&gt;0),IF(H1082=1,Specials!$K1082&amp;" ("&amp;Specials!$I1082&amp;" -&gt; "&amp;Specials!$J1082&amp;")",Specials!$K1082&amp;" ("&amp;ABS(I1082-J1082)&amp;" throws better)"),"No Improvements")</f>
        <v>#DIV/0!</v>
      </c>
      <c r="M1082" s="65" t="s">
        <v>254</v>
      </c>
      <c r="N1082" s="65" t="s">
        <v>249</v>
      </c>
      <c r="O1082" s="65" t="e">
        <f t="shared" ca="1" si="66"/>
        <v>#VALUE!</v>
      </c>
    </row>
    <row r="1083" spans="1:15" s="65" customFormat="1" hidden="1" x14ac:dyDescent="0.25">
      <c r="A1083" s="286" t="str">
        <f>"Biggest Worsening Men Rating &gt; "&amp;Parameter!$B$32&amp;" Final"</f>
        <v>Biggest Worsening Men Rating &gt; 850 Final</v>
      </c>
      <c r="B1083" s="286"/>
      <c r="D1083" s="65" t="e">
        <f t="array" ref="D1083">SMALL(IF((Data!$DW$91:$DW$190="M")*(Data!$AM$91:$AM$190&gt;Parameter!$B$32),Data!$X$91:$X$190,0),1)</f>
        <v>#DIV/0!</v>
      </c>
      <c r="H1083" s="65" t="e">
        <f t="array" ref="H1083">SUM(IF((Data!$X$91:$X$190=D1083)*(Data!$DW$91:$DW$190="M")*(Data!$AM$91:$AM$190&gt;Parameter!$B$32),1))</f>
        <v>#DIV/0!</v>
      </c>
      <c r="I1083" s="65" t="e">
        <f t="array" ref="I1083">IF(H1083&gt;0,INDEX(Data!$W$91:$W$190,MATCH(D1083,(Data!$X$91:$X$190)*(Data!$DW$91:$DW$190="M")*(Data!$AM$91:$AM$190&gt;Parameter!$B$32),0)),"")</f>
        <v>#DIV/0!</v>
      </c>
      <c r="J1083" s="65" t="e">
        <f t="array" ref="J1083">IF(H1083&gt;0,INDEX(Data!$M$91:$M$190,MATCH(D1083,(Data!$X$91:$X$190)*(Data!$DW$91:$DW$190="M")*(Data!$AM$91:$AM$190&gt;Parameter!$B$32),0)),"")</f>
        <v>#DIV/0!</v>
      </c>
      <c r="K1083" s="65" t="e">
        <f t="array" ref="K1083">IF(H1083=1,INDEX(Data!$DT$91:$DT$190,MATCH(D1083,(Data!$X$91:$X$190)*(Data!$DW$91:$DW$190="M")*(Data!$AM$91:$AM$190&gt;Parameter!$B$32),0)),H1083&amp;" Players")</f>
        <v>#DIV/0!</v>
      </c>
      <c r="L1083" s="65" t="e">
        <f>IF(AND(H1083&gt;0,D1083&lt;&gt;0),IF(H1083=1,Specials!$K1083&amp;" ("&amp;Specials!$I1083&amp;" -&gt; "&amp;Specials!$J1083&amp;")",Specials!$K1083&amp;" ("&amp;ABS(I1083-J1083)&amp;" throws worse)"),"No Worsenings")</f>
        <v>#DIV/0!</v>
      </c>
      <c r="M1083" s="65" t="s">
        <v>254</v>
      </c>
      <c r="N1083" s="65" t="s">
        <v>249</v>
      </c>
      <c r="O1083" s="65" t="e">
        <f t="shared" ca="1" si="66"/>
        <v>#VALUE!</v>
      </c>
    </row>
    <row r="1084" spans="1:15" s="65" customFormat="1" hidden="1" x14ac:dyDescent="0.25">
      <c r="A1084" s="286" t="str">
        <f>"Biggest Improvement Women Rating &gt; "&amp;Parameter!$B$33&amp;" Final"</f>
        <v>Biggest Improvement Women Rating &gt; 600 Final</v>
      </c>
      <c r="B1084" s="286"/>
      <c r="D1084" s="65" t="e">
        <f t="array" ref="D1084">LARGE(IF((Data!$DW$91:$DW$190="W")*(Data!$AM$91:$AM$190&gt;Parameter!$B$33),Data!$X$91:$X$190,0),1)</f>
        <v>#DIV/0!</v>
      </c>
      <c r="H1084" s="65" t="e">
        <f t="array" ref="H1084">SUM(IF((Data!$X$91:$X$190=D1084)*(Data!$DW$91:$DW$190="W")*(Data!$AM$91:$AM$190&gt;Parameter!$B$33),1))</f>
        <v>#DIV/0!</v>
      </c>
      <c r="I1084" s="65" t="e">
        <f t="array" ref="I1084">IF(H1084&gt;0,INDEX(Data!$W$91:$W$190,MATCH(D1084,(Data!$X$91:$X$190)*(Data!$DW$91:$DW$190="W")*(Data!$AM$91:$AM$190&gt;Parameter!$B$33),0)),"")</f>
        <v>#DIV/0!</v>
      </c>
      <c r="J1084" s="65" t="e">
        <f t="array" ref="J1084">IF(H1084&gt;0,INDEX(Data!$M$91:$M$190,MATCH(D1084,(Data!$X$91:$X$190)*(Data!$DW$91:$DW$190="W")*(Data!$AM$91:$AM$190&gt;Parameter!$B$33),0)),"")</f>
        <v>#DIV/0!</v>
      </c>
      <c r="K1084" s="65" t="e">
        <f t="array" ref="K1084">IF(H1084=1,INDEX(Data!$DT$91:$DT$190,MATCH(D1084,(Data!$X$91:$X$190)*(Data!$DW$91:$DW$190="W")*(Data!$AM$91:$AM$190&gt;Parameter!$B$33),0)),H1084&amp;" Players")</f>
        <v>#DIV/0!</v>
      </c>
      <c r="L1084" s="65" t="e">
        <f>IF(AND(H1084&gt;0,D1084&lt;&gt;0),IF(H1084=1,Specials!$K1084&amp;" ("&amp;Specials!$I1084&amp;" -&gt; "&amp;Specials!$J1084&amp;")",Specials!$K1084&amp;" ("&amp;ABS(I1084-J1084)&amp;" throws better)"),"No Improvements")</f>
        <v>#DIV/0!</v>
      </c>
      <c r="M1084" s="65" t="s">
        <v>254</v>
      </c>
      <c r="N1084" s="65" t="s">
        <v>249</v>
      </c>
      <c r="O1084" s="65" t="e">
        <f t="shared" ca="1" si="66"/>
        <v>#VALUE!</v>
      </c>
    </row>
    <row r="1085" spans="1:15" s="65" customFormat="1" hidden="1" x14ac:dyDescent="0.25">
      <c r="A1085" s="286" t="str">
        <f>"Biggest Worsening Women Rating &gt; "&amp;Parameter!$B$33&amp;" Final"</f>
        <v>Biggest Worsening Women Rating &gt; 600 Final</v>
      </c>
      <c r="B1085" s="286"/>
      <c r="D1085" s="65" t="e">
        <f t="array" ref="D1085">SMALL(IF((Data!$DW$91:$DW$190="W")*(Data!$AM$91:$AM$190&gt;Parameter!$B$33),Data!$X$91:$X$190,0),1)</f>
        <v>#DIV/0!</v>
      </c>
      <c r="H1085" s="65" t="e">
        <f t="array" ref="H1085">SUM(IF((Data!$X$91:$X$190=D1085)*(Data!$DW$91:$DW$190="W")*(Data!$AM$91:$AM$190&gt;Parameter!$B$33),1))</f>
        <v>#DIV/0!</v>
      </c>
      <c r="I1085" s="65" t="e">
        <f t="array" ref="I1085">IF(H1085&gt;0,INDEX(Data!$W$91:$W$190,MATCH(D1085,(Data!$X$91:$X$190)*(Data!$DW$91:$DW$190="W")*(Data!$AM$91:$AM$190&gt;Parameter!$B$33),0)),"")</f>
        <v>#DIV/0!</v>
      </c>
      <c r="J1085" s="65" t="e">
        <f t="array" ref="J1085">IF(H1085&gt;0,INDEX(Data!$M$91:$M$190,MATCH(D1085,(Data!$X$91:$X$190)*(Data!$DW$91:$DW$190="W")*(Data!$AM$91:$AM$190&gt;Parameter!$B$33),0)),"")</f>
        <v>#DIV/0!</v>
      </c>
      <c r="K1085" s="65" t="e">
        <f t="array" ref="K1085">IF(H1085=1,INDEX(Data!$DT$91:$DT$190,MATCH(D1085,(Data!$X$91:$X$190)*(Data!$DW$91:$DW$190="W")*(Data!$AM$91:$AM$190&gt;Parameter!$B$33),0)),H1085&amp;" Players")</f>
        <v>#DIV/0!</v>
      </c>
      <c r="L1085" s="65" t="e">
        <f>IF(AND(H1085&gt;0,D1085&lt;&gt;0),IF(H1085=1,Specials!$K1085&amp;" ("&amp;Specials!$I1085&amp;" -&gt; "&amp;Specials!$J1085&amp;")",Specials!$K1085&amp;" ("&amp;ABS(I1085-J1085)&amp;" throws worse)"),"No Worsenings")</f>
        <v>#DIV/0!</v>
      </c>
      <c r="M1085" s="65" t="s">
        <v>254</v>
      </c>
      <c r="N1085" s="65" t="s">
        <v>249</v>
      </c>
      <c r="O1085" s="65" t="e">
        <f t="shared" ca="1" si="66"/>
        <v>#VALUE!</v>
      </c>
    </row>
    <row r="1086" spans="1:15" s="78" customFormat="1" hidden="1" x14ac:dyDescent="0.25">
      <c r="A1086" s="289" t="s">
        <v>272</v>
      </c>
      <c r="B1086" s="289"/>
      <c r="D1086" s="78">
        <f t="array" ref="D1086">IF(Parameter!$B$1&gt;0,SMALL(IF(Data!$J$91:$J$190&lt;999,Data!$J$91:$J$190),1),"")</f>
        <v>49</v>
      </c>
      <c r="F1086" s="78">
        <f>IF(Parameter!$B$1&gt;0,Specials!D1086,999)</f>
        <v>49</v>
      </c>
      <c r="H1086" s="78">
        <f>COUNTIF(Data!$J$91:$J$190,D1086)</f>
        <v>1</v>
      </c>
      <c r="K1086" s="78" t="str">
        <f>IF($H1086=1,INDEX(Data!$DT$91:$DT$190,MATCH($D1086,Data!$J$91:$J$190,0)),$H1086&amp;" Players")</f>
        <v>Michal Kúdela</v>
      </c>
      <c r="L1086" s="78" t="str">
        <f>K1086&amp;" ("&amp;D1086&amp;")"</f>
        <v>Michal Kúdela (49)</v>
      </c>
      <c r="M1086" s="78" t="s">
        <v>254</v>
      </c>
      <c r="N1086" s="78" t="s">
        <v>249</v>
      </c>
      <c r="O1086" s="78" t="e">
        <f t="shared" ca="1" si="66"/>
        <v>#VALUE!</v>
      </c>
    </row>
    <row r="1087" spans="1:15" s="78" customFormat="1" hidden="1" x14ac:dyDescent="0.25">
      <c r="A1087" s="289" t="s">
        <v>273</v>
      </c>
      <c r="B1087" s="289"/>
      <c r="D1087" s="78">
        <f t="array" ref="D1087">IF(Parameter!$B$2&gt;0,SMALL(IF(Data!$K$91:$K$190&lt;999,Data!$K$91:$K$190),1),"")</f>
        <v>52</v>
      </c>
      <c r="F1087" s="78">
        <f>IF(AND(Parameter!$B$2&gt;0,Parameter!$B$2=Parameter!$B$1),Specials!D1087,999)</f>
        <v>52</v>
      </c>
      <c r="H1087" s="78">
        <f>COUNTIF(Data!$K$91:$K$190,D1087)</f>
        <v>1</v>
      </c>
      <c r="K1087" s="78" t="str">
        <f>IF($H1087=1,INDEX(Data!$DT$91:$DT$190,MATCH($D1087,Data!$K$91:$K$190,0)),$H1087&amp;" Players")</f>
        <v>Mike Bischof-Horak</v>
      </c>
      <c r="L1087" s="78" t="str">
        <f>K1087&amp;" ("&amp;D1087&amp;")"</f>
        <v>Mike Bischof-Horak (52)</v>
      </c>
      <c r="M1087" s="78" t="s">
        <v>254</v>
      </c>
      <c r="N1087" s="78" t="s">
        <v>249</v>
      </c>
      <c r="O1087" s="78" t="e">
        <f t="shared" ca="1" si="66"/>
        <v>#VALUE!</v>
      </c>
    </row>
    <row r="1088" spans="1:15" s="78" customFormat="1" hidden="1" x14ac:dyDescent="0.25">
      <c r="A1088" s="289" t="s">
        <v>274</v>
      </c>
      <c r="B1088" s="289"/>
      <c r="D1088" s="78" t="str">
        <f t="array" ref="D1088">IF(Parameter!$B$3&gt;0,SMALL(IF(Data!$L$91:$L$190&lt;999,Data!$L$91:$L$190),1),"")</f>
        <v/>
      </c>
      <c r="F1088" s="78">
        <f>IF(AND(Parameter!$B$3&gt;0,Parameter!$B$3=Parameter!$B$2),Specials!D1088,999)</f>
        <v>999</v>
      </c>
      <c r="H1088" s="78">
        <f>COUNTIF(Data!$L$91:$L$190,D1088)</f>
        <v>0</v>
      </c>
      <c r="K1088" s="78" t="str">
        <f>IF($H1088=1,INDEX(Data!$DT$91:$DT$190,MATCH($D1088,Data!$L$91:$L$190,0)),$H1088&amp;" Players")</f>
        <v>0 Players</v>
      </c>
      <c r="L1088" s="78" t="str">
        <f>K1088&amp;" ("&amp;D1088&amp;")"</f>
        <v>0 Players ()</v>
      </c>
      <c r="M1088" s="78" t="s">
        <v>254</v>
      </c>
      <c r="N1088" s="78" t="s">
        <v>249</v>
      </c>
      <c r="O1088" s="78" t="e">
        <f t="shared" ca="1" si="66"/>
        <v>#VALUE!</v>
      </c>
    </row>
    <row r="1089" spans="1:15" s="78" customFormat="1" hidden="1" x14ac:dyDescent="0.25">
      <c r="A1089" s="289" t="s">
        <v>275</v>
      </c>
      <c r="B1089" s="289"/>
      <c r="D1089" s="78" t="str">
        <f t="array" ref="D1089">IF(Parameter!$B$4&gt;0,SMALL(IF(Data!$M$91:$M$190&lt;999,Data!$M$91:$M$190),1),"")</f>
        <v/>
      </c>
      <c r="F1089" s="78">
        <f>IF(AND(Parameter!$B$4&gt;0,Parameter!$B$4=Parameter!$B$3),Specials!D1089,999)</f>
        <v>999</v>
      </c>
      <c r="H1089" s="78">
        <f>COUNTIF(Data!$M$91:$M$190,D1089)</f>
        <v>0</v>
      </c>
      <c r="K1089" s="78" t="str">
        <f>IF($H1089=1,INDEX(Data!$DT$91:$DT$190,MATCH($D1089,Data!$M$91:$M$190,0)),$H1089&amp;" Players")</f>
        <v>0 Players</v>
      </c>
      <c r="L1089" s="78" t="str">
        <f>K1089&amp;" ("&amp;D1089&amp;")"</f>
        <v>0 Players ()</v>
      </c>
      <c r="M1089" s="78" t="s">
        <v>254</v>
      </c>
      <c r="N1089" s="78" t="s">
        <v>249</v>
      </c>
      <c r="O1089" s="78" t="e">
        <f t="shared" ca="1" si="66"/>
        <v>#VALUE!</v>
      </c>
    </row>
    <row r="1090" spans="1:15" s="65" customFormat="1" hidden="1" x14ac:dyDescent="0.25">
      <c r="A1090" s="286" t="s">
        <v>284</v>
      </c>
      <c r="B1090" s="286"/>
      <c r="D1090" s="65">
        <f t="array" ref="D1090">IF(Parameter!B1&gt;0,LARGE(IF(Data!$J$91:$J$190&lt;999,Data!$J$91:$J$190),1),"")</f>
        <v>93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Anita Mayrhofer (93)</v>
      </c>
      <c r="M1090" s="65" t="s">
        <v>254</v>
      </c>
      <c r="N1090" s="65" t="s">
        <v>249</v>
      </c>
      <c r="O1090" s="65" t="e">
        <f t="shared" ca="1" si="66"/>
        <v>#VALUE!</v>
      </c>
    </row>
    <row r="1091" spans="1:15" s="65" customFormat="1" hidden="1" x14ac:dyDescent="0.25">
      <c r="A1091" s="286" t="s">
        <v>285</v>
      </c>
      <c r="B1091" s="286"/>
      <c r="D1091" s="65">
        <f t="array" ref="D1091">IF(Parameter!B2&gt;0,LARGE(IF(Data!$K$91:$K$190&lt;999,Data!$K$91:$K$190),1),"")</f>
        <v>93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Anita Mayrhofer (93)</v>
      </c>
      <c r="M1091" s="65" t="s">
        <v>254</v>
      </c>
      <c r="N1091" s="65" t="s">
        <v>249</v>
      </c>
      <c r="O1091" s="65" t="e">
        <f t="shared" ca="1" si="66"/>
        <v>#VALUE!</v>
      </c>
    </row>
    <row r="1092" spans="1:15" s="65" customFormat="1" hidden="1" x14ac:dyDescent="0.25">
      <c r="A1092" s="286" t="s">
        <v>286</v>
      </c>
      <c r="B1092" s="286"/>
      <c r="D1092" s="65" t="str">
        <f t="array" ref="D1092">IF(Parameter!B3&gt;0,LARGE(IF(Data!$L$91:$L$190&lt;999,Data!$L$91:$L$190),1),"")</f>
        <v/>
      </c>
      <c r="H1092" s="65">
        <f>COUNTIF(Data!$L$91:$L$190,D1092)</f>
        <v>0</v>
      </c>
      <c r="L1092" s="65" t="str">
        <f>IF($H1092=1,INDEX(Data!$DT$91:$DT$190,MATCH($D1092,Data!$L$91:$L$190,0))&amp;" ("&amp;D1092&amp;")",$H1092&amp;" Players ("&amp;D1092&amp;")")</f>
        <v>0 Players ()</v>
      </c>
      <c r="M1092" s="65" t="s">
        <v>254</v>
      </c>
      <c r="N1092" s="65" t="s">
        <v>249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6" t="s">
        <v>287</v>
      </c>
      <c r="B1093" s="286"/>
      <c r="D1093" s="65" t="str">
        <f t="array" ref="D1093">IF(Parameter!B4&gt;0,LARGE(IF(Data!$M$91:$M$190&lt;999,Data!$M$91:$M$190),1),"")</f>
        <v/>
      </c>
      <c r="H1093" s="65">
        <f>COUNTIF(Data!$M$91:$M$190,D1093)</f>
        <v>0</v>
      </c>
      <c r="L1093" s="65" t="str">
        <f>IF($H1093=1,INDEX(Data!$DT$91:$DT$190,MATCH($D1093,Data!$M$91:$M$190,0))&amp;" ("&amp;D1093&amp;")",$H1093&amp;" Players ("&amp;D1093&amp;")")</f>
        <v>0 Players ()</v>
      </c>
      <c r="M1093" s="65" t="s">
        <v>254</v>
      </c>
      <c r="N1093" s="65" t="s">
        <v>249</v>
      </c>
      <c r="O1093" s="65" t="e">
        <f t="shared" ca="1" si="69"/>
        <v>#VALUE!</v>
      </c>
    </row>
    <row r="1094" spans="1:15" s="65" customFormat="1" hidden="1" x14ac:dyDescent="0.25">
      <c r="A1094" s="285" t="str">
        <f>"Worst Round 1 Men Rating &gt; "&amp;Parameter!$B$32</f>
        <v>Worst Round 1 Men Rating &gt; 850</v>
      </c>
      <c r="B1094" s="286"/>
      <c r="D1094" s="65">
        <f t="array" ref="D1094">IF(Parameter!$B$1&gt;0,LARGE(IF((Data!$J$91:$J$190&lt;999)*(Data!$DW$91:$DW$190="M")*(Data!$AM$91:$AM$190&gt;Parameter!$B$32),Data!$J$91:$J$190),1),"")</f>
        <v>64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Laurenz Schaurhofer (64)</v>
      </c>
      <c r="M1094" s="65" t="s">
        <v>254</v>
      </c>
      <c r="N1094" s="65" t="s">
        <v>249</v>
      </c>
      <c r="O1094" s="65" t="e">
        <f t="shared" ca="1" si="69"/>
        <v>#VALUE!</v>
      </c>
    </row>
    <row r="1095" spans="1:15" s="65" customFormat="1" hidden="1" x14ac:dyDescent="0.25">
      <c r="A1095" s="285" t="str">
        <f>"Worst Round 2 Men Rating &gt; "&amp;Parameter!$B$32</f>
        <v>Worst Round 2 Men Rating &gt; 850</v>
      </c>
      <c r="B1095" s="286"/>
      <c r="D1095" s="65">
        <f t="array" ref="D1095">IF(Parameter!$B$2&gt;0,LARGE(IF((Data!$K$91:$K$190&lt;999)*(Data!$K$91:$K$190&lt;999)*(Data!$DW$91:$DW$190="M")*(Data!$AM$91:$AM$190&gt;Parameter!$B$32),Data!$K$91:$K$190),1),"")</f>
        <v>64</v>
      </c>
      <c r="H1095" s="65">
        <f t="array" ref="H1095">SUM(IF((Data!$K$91:$K$190=D1095)*(Data!$DW$91:$DW$190="M")*(Data!$AM$91:$AM$190&gt;Parameter!$B$32),1))</f>
        <v>1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Peter Pichler (64)</v>
      </c>
      <c r="M1095" s="65" t="s">
        <v>254</v>
      </c>
      <c r="N1095" s="65" t="s">
        <v>249</v>
      </c>
      <c r="O1095" s="65" t="e">
        <f t="shared" ca="1" si="69"/>
        <v>#VALUE!</v>
      </c>
    </row>
    <row r="1096" spans="1:15" s="65" customFormat="1" hidden="1" x14ac:dyDescent="0.25">
      <c r="A1096" s="285" t="str">
        <f>"Worst Round 3 Men Rating &gt; "&amp;Parameter!$B$32</f>
        <v>Worst Round 3 Men Rating &gt; 850</v>
      </c>
      <c r="B1096" s="286"/>
      <c r="D1096" s="65" t="str">
        <f t="array" ref="D1096">IF(Parameter!$B$3&gt;0,LARGE(IF((Data!$L$91:$L$190&lt;999)*(Data!$L$91:$L$190&lt;999)*(Data!$DW$91:$DW$190="M")*(Data!$AM$91:$AM$190&gt;Parameter!$B$32),Data!$L$91:$L$190),1),"")</f>
        <v/>
      </c>
      <c r="H1096" s="65">
        <f t="array" ref="H1096">SUM(IF((Data!$L$91:$L$190=D1096)*(Data!$DW$91:$DW$190="M")*(Data!$AM$91:$AM$190&gt;Parameter!$B$32),1))</f>
        <v>0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0 Players ()</v>
      </c>
      <c r="M1096" s="65" t="s">
        <v>254</v>
      </c>
      <c r="N1096" s="65" t="s">
        <v>249</v>
      </c>
      <c r="O1096" s="65" t="e">
        <f t="shared" ca="1" si="69"/>
        <v>#VALUE!</v>
      </c>
    </row>
    <row r="1097" spans="1:15" s="65" customFormat="1" hidden="1" x14ac:dyDescent="0.25">
      <c r="A1097" s="285" t="str">
        <f>"Worst Final Men Rating &gt; "&amp;Parameter!$B$32</f>
        <v>Worst Final Men Rating &gt; 850</v>
      </c>
      <c r="B1097" s="286"/>
      <c r="D1097" s="65" t="str">
        <f t="array" ref="D1097">IF(Parameter!$B$4&gt;0,LARGE(IF((Data!$M$91:$M$190&lt;999)*(Data!$DW$91:$DW$190="M")*(Data!$AM$91:$AM$190&gt;Parameter!$B$32),Data!$M$91:$M$190),1),"")</f>
        <v/>
      </c>
      <c r="H1097" s="65">
        <f t="array" ref="H1097">SUM(IF((Data!$M$91:$M$190=D1097)*(Data!$DW$91:$DW$190="M")*(Data!$AM$91:$AM$190&gt;Parameter!$B$32),1))</f>
        <v>0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0 Players ()</v>
      </c>
      <c r="M1097" s="65" t="s">
        <v>254</v>
      </c>
      <c r="N1097" s="65" t="s">
        <v>249</v>
      </c>
      <c r="O1097" s="65" t="e">
        <f t="shared" ca="1" si="69"/>
        <v>#VALUE!</v>
      </c>
    </row>
    <row r="1098" spans="1:15" s="65" customFormat="1" hidden="1" x14ac:dyDescent="0.25">
      <c r="A1098" s="285" t="str">
        <f>"Worst Round 1 Women Rating &gt; "&amp;Parameter!$B$33</f>
        <v>Worst Round 1 Women Rating &gt; 600</v>
      </c>
      <c r="B1098" s="286"/>
      <c r="D1098" s="65">
        <f t="array" ref="D1098">IF(Parameter!$B$1&gt;0,LARGE(IF((Data!$J$91:$J$190&lt;999)*(Data!$J$91:$J$190&lt;999)*(Data!$DW$91:$DW$190="W")*(Data!$AM$91:$AM$190&gt;Parameter!$B$33),Data!$J$91:$J$190),1),"")</f>
        <v>74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Veronika Tóth (74)</v>
      </c>
      <c r="M1098" s="65" t="s">
        <v>254</v>
      </c>
      <c r="N1098" s="65" t="s">
        <v>249</v>
      </c>
      <c r="O1098" s="65" t="e">
        <f t="shared" ca="1" si="69"/>
        <v>#VALUE!</v>
      </c>
    </row>
    <row r="1099" spans="1:15" s="65" customFormat="1" hidden="1" x14ac:dyDescent="0.25">
      <c r="A1099" s="285" t="str">
        <f>"Worst Round 2 Women Rating &gt; "&amp;Parameter!$B$33</f>
        <v>Worst Round 2 Women Rating &gt; 600</v>
      </c>
      <c r="B1099" s="286"/>
      <c r="D1099" s="65">
        <f t="array" ref="D1099">IF(Parameter!$B$2&gt;0,LARGE(IF((Data!$K$91:$K$190&lt;999)*(Data!$K$91:$K$190&lt;999)*(Data!$DW$91:$DW$190="W")*(Data!$AM$91:$AM$190&gt;Parameter!$B$33),Data!$K$91:$K$190),1),"")</f>
        <v>72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Veronika Tóth (72)</v>
      </c>
      <c r="M1099" s="65" t="s">
        <v>254</v>
      </c>
      <c r="N1099" s="65" t="s">
        <v>249</v>
      </c>
      <c r="O1099" s="65" t="e">
        <f t="shared" ca="1" si="69"/>
        <v>#VALUE!</v>
      </c>
    </row>
    <row r="1100" spans="1:15" s="65" customFormat="1" hidden="1" x14ac:dyDescent="0.25">
      <c r="A1100" s="285" t="str">
        <f>"Worst Round 3 Women Rating &gt; "&amp;Parameter!$B$33</f>
        <v>Worst Round 3 Women Rating &gt; 600</v>
      </c>
      <c r="B1100" s="286"/>
      <c r="D1100" s="65" t="str">
        <f t="array" ref="D1100">IF(Parameter!$B$4&gt;0,LARGE(IF((Data!$L$91:$L$190&lt;999)*(Data!$L$91:$L$190&lt;999)*(Data!$DW$91:$DW$190="W")*(Data!$AM$91:$AM$190&gt;Parameter!$B$33),Data!$L$91:$L$190),1),"")</f>
        <v/>
      </c>
      <c r="H1100" s="65">
        <f t="array" ref="H1100">SUM(IF((Data!$L$91:$L$190=D1100)*(Data!$DW$91:$DW$190="W")*(Data!$AM$91:$AM$190&gt;Parameter!$B$33),1))</f>
        <v>0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0 Players ()</v>
      </c>
      <c r="M1100" s="65" t="s">
        <v>254</v>
      </c>
      <c r="N1100" s="65" t="s">
        <v>249</v>
      </c>
      <c r="O1100" s="65" t="e">
        <f t="shared" ca="1" si="69"/>
        <v>#VALUE!</v>
      </c>
    </row>
    <row r="1101" spans="1:15" s="65" customFormat="1" hidden="1" x14ac:dyDescent="0.25">
      <c r="A1101" s="285" t="str">
        <f>"Worst Final Women Rating &gt; "&amp;Parameter!$B$33</f>
        <v>Worst Final Women Rating &gt; 600</v>
      </c>
      <c r="B1101" s="286"/>
      <c r="D1101" s="65" t="str">
        <f t="array" ref="D1101">IF(Parameter!$B$4&gt;0,LARGE(IF((Data!$M$91:$M$190&lt;999)*(Data!$DW$91:$DW$190="W")*(Data!$AM$91:$AM$190&gt;Parameter!$B$33),Data!$M$91:$M$190),1),"")</f>
        <v/>
      </c>
      <c r="H1101" s="65">
        <f t="array" ref="H1101">SUM(IF((Data!$M$91:$M$190=D1101)*(Data!$DW$91:$DW$190="W")*(Data!$AM$91:$AM$190&gt;Parameter!$B$33),1))</f>
        <v>0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0 Players ()</v>
      </c>
      <c r="M1101" s="65" t="s">
        <v>254</v>
      </c>
      <c r="N1101" s="65" t="s">
        <v>249</v>
      </c>
      <c r="O1101" s="65" t="e">
        <f t="shared" ca="1" si="69"/>
        <v>#VALUE!</v>
      </c>
    </row>
    <row r="1102" spans="1:15" s="78" customFormat="1" hidden="1" x14ac:dyDescent="0.25">
      <c r="A1102" s="288" t="s">
        <v>290</v>
      </c>
      <c r="B1102" s="289"/>
      <c r="D1102" s="78">
        <f>LARGE(Data!$Y$91:$Y$190,1)</f>
        <v>9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Reinhold Schachner (9)</v>
      </c>
      <c r="M1102" s="78" t="s">
        <v>254</v>
      </c>
      <c r="N1102" s="78" t="s">
        <v>249</v>
      </c>
      <c r="O1102" s="78" t="e">
        <f t="shared" ca="1" si="69"/>
        <v>#VALUE!</v>
      </c>
    </row>
    <row r="1103" spans="1:15" s="78" customFormat="1" hidden="1" x14ac:dyDescent="0.25">
      <c r="A1103" s="288" t="s">
        <v>291</v>
      </c>
      <c r="B1103" s="289"/>
      <c r="D1103" s="78">
        <f t="array" ref="D1103">SMALL(IF(Data!$AM$91:$AM$190&lt;&gt;0,Data!$Z$91:$Z$190),1)</f>
        <v>1</v>
      </c>
      <c r="H1103" s="78">
        <f t="array" ref="H1103">SUM((Data!$Z$91:$Z$190=Specials!D1103)*(Data!$AM$91:$AM$190&lt;&gt;0))</f>
        <v>3</v>
      </c>
      <c r="L1103" s="78" t="str">
        <f>IF($H1103=1,INDEX(Data!$DT$91:$DT$190,MATCH($D1103,Data!$Z$91:$Z$190,0))&amp;" ("&amp;D1103&amp;")",$H1103&amp;" Players ("&amp;D1103&amp;")")</f>
        <v>3 Players (1)</v>
      </c>
      <c r="M1103" s="78" t="s">
        <v>254</v>
      </c>
      <c r="N1103" s="78" t="s">
        <v>249</v>
      </c>
      <c r="O1103" s="78" t="e">
        <f t="shared" ca="1" si="69"/>
        <v>#VALUE!</v>
      </c>
    </row>
    <row r="1104" spans="1:15" s="78" customFormat="1" hidden="1" x14ac:dyDescent="0.25">
      <c r="A1104" s="288" t="s">
        <v>292</v>
      </c>
      <c r="B1104" s="289"/>
      <c r="D1104" s="78">
        <f>LARGE(Data!$AA$91:$AA$190,1)</f>
        <v>6</v>
      </c>
      <c r="H1104" s="78">
        <f t="array" ref="H1104">SUM((Data!$AA$91:$AA$190=Specials!D1104)*(Data!$AM$91:$AM$190&lt;&gt;0))</f>
        <v>3</v>
      </c>
      <c r="L1104" s="78" t="str">
        <f>IF($H1104=1,INDEX(Data!$DT$91:$DT$190,MATCH($D1104,Data!$AA$91:$AA$190,0))&amp;" ("&amp;D1104&amp;")",$H1104&amp;" Players ("&amp;D1104&amp;")")</f>
        <v>3 Players (6)</v>
      </c>
      <c r="M1104" s="78" t="s">
        <v>254</v>
      </c>
      <c r="N1104" s="78" t="s">
        <v>249</v>
      </c>
      <c r="O1104" s="78" t="e">
        <f t="shared" ca="1" si="69"/>
        <v>#VALUE!</v>
      </c>
    </row>
    <row r="1105" spans="1:15" s="78" customFormat="1" hidden="1" x14ac:dyDescent="0.25">
      <c r="A1105" s="288" t="s">
        <v>293</v>
      </c>
      <c r="B1105" s="289"/>
      <c r="D1105" s="78">
        <f>SMALL(Data!$AB$91:$AB$190,1)</f>
        <v>1</v>
      </c>
      <c r="H1105" s="78">
        <f t="array" ref="H1105">SUM((Data!$AB$91:$AB$190=Specials!D1105)*(Data!$AM$91:$AM$190&lt;&gt;0))</f>
        <v>3</v>
      </c>
      <c r="L1105" s="78" t="str">
        <f>IF($H1105=1,INDEX(Data!$DT$91:$DT$190,MATCH($D1105,Data!$AB$91:$AB$190,0))&amp;" ("&amp;D1105&amp;")",$H1105&amp;" Players ("&amp;D1105&amp;")")</f>
        <v>3 Players (1)</v>
      </c>
      <c r="M1105" s="78" t="s">
        <v>254</v>
      </c>
      <c r="N1105" s="78" t="s">
        <v>249</v>
      </c>
      <c r="O1105" s="78" t="e">
        <f t="shared" ca="1" si="69"/>
        <v>#VALUE!</v>
      </c>
    </row>
    <row r="1106" spans="1:15" s="78" customFormat="1" hidden="1" x14ac:dyDescent="0.25">
      <c r="A1106" s="288" t="s">
        <v>294</v>
      </c>
      <c r="B1106" s="289"/>
      <c r="D1106" s="78" t="e">
        <f>LARGE(Data!$AC91:$AC$190,1)</f>
        <v>#NUM!</v>
      </c>
      <c r="H1106" s="78" t="e">
        <f t="array" ref="H1106">SUM((Data!$AC$91:$AC$190=Specials!D1106)*(Data!$AM$91:$AM$190&lt;&gt;0))</f>
        <v>#NUM!</v>
      </c>
      <c r="L1106" s="78" t="e">
        <f>IF($H1106=1,INDEX(Data!$DT$91:$DT$190,MATCH($D1106,Data!$AC$91:$AC$190,0))&amp;" ("&amp;D1106&amp;")",$H1106&amp;" Players ("&amp;D1106&amp;")")</f>
        <v>#NUM!</v>
      </c>
      <c r="M1106" s="78" t="s">
        <v>254</v>
      </c>
      <c r="N1106" s="78" t="s">
        <v>249</v>
      </c>
      <c r="O1106" s="78" t="e">
        <f t="shared" ca="1" si="69"/>
        <v>#VALUE!</v>
      </c>
    </row>
    <row r="1107" spans="1:15" s="78" customFormat="1" hidden="1" x14ac:dyDescent="0.25">
      <c r="A1107" s="288" t="s">
        <v>295</v>
      </c>
      <c r="B1107" s="289"/>
      <c r="D1107" s="78" t="e">
        <f>SMALL(Data!$AD$91:$AD$190,1)</f>
        <v>#NUM!</v>
      </c>
      <c r="H1107" s="78" t="e">
        <f t="array" ref="H1107">SUM((Data!$AD$91:$AD$190=Specials!D1107)*(Data!$AM$91:$AM$190&lt;&gt;0))</f>
        <v>#NUM!</v>
      </c>
      <c r="L1107" s="78" t="e">
        <f>IF($H1107=1,INDEX(Data!$DT$91:$DT$190,MATCH($D1107,Data!$AD$91:$AD$190,0))&amp;" ("&amp;D1107&amp;")",$H1107&amp;" Players ("&amp;D1107&amp;")")</f>
        <v>#NUM!</v>
      </c>
      <c r="M1107" s="78" t="s">
        <v>254</v>
      </c>
      <c r="N1107" s="78" t="s">
        <v>249</v>
      </c>
      <c r="O1107" s="78" t="e">
        <f t="shared" ca="1" si="69"/>
        <v>#VALUE!</v>
      </c>
    </row>
    <row r="1108" spans="1:15" s="78" customFormat="1" hidden="1" x14ac:dyDescent="0.25">
      <c r="A1108" s="288" t="s">
        <v>296</v>
      </c>
      <c r="B1108" s="289"/>
      <c r="D1108" s="78" t="e">
        <f>LARGE(Data!$AE$91:$AE$190,1)</f>
        <v>#NUM!</v>
      </c>
      <c r="H1108" s="78" t="e">
        <f t="array" ref="H1108">SUM((Data!$AE$91:$AE$190=Specials!D1108)*(Data!$AM$91:$AM$190&lt;&gt;0))</f>
        <v>#NUM!</v>
      </c>
      <c r="L1108" s="78" t="e">
        <f>IF($H1108=1,INDEX(Data!$DT$91:$DT$190,MATCH($D1108,Data!$AE$91:$AE174,0))&amp;" ("&amp;D1108&amp;")",$H1108&amp;" Players ("&amp;D1108&amp;")")</f>
        <v>#NUM!</v>
      </c>
      <c r="M1108" s="78" t="s">
        <v>254</v>
      </c>
      <c r="N1108" s="78" t="s">
        <v>249</v>
      </c>
      <c r="O1108" s="78" t="e">
        <f t="shared" ca="1" si="69"/>
        <v>#VALUE!</v>
      </c>
    </row>
    <row r="1109" spans="1:15" s="78" customFormat="1" hidden="1" x14ac:dyDescent="0.25">
      <c r="A1109" s="288" t="s">
        <v>297</v>
      </c>
      <c r="B1109" s="289"/>
      <c r="D1109" s="78" t="e">
        <f>SMALL(Data!$AF$91:$AF$190,1)</f>
        <v>#NUM!</v>
      </c>
      <c r="H1109" s="78" t="e">
        <f t="array" ref="H1109">SUM((Data!$AF$91:$AF$190=Specials!D1109)*(Data!$AM$91:$AM$190&lt;&gt;0))</f>
        <v>#NUM!</v>
      </c>
      <c r="L1109" s="78" t="e">
        <f>IF($H1109=1,INDEX(Data!$DT$91:$DT$190,MATCH($D1109,Data!$AF$91:$AF$190,0))&amp;" ("&amp;D1109&amp;")",$H1109&amp;" Players ("&amp;D1109&amp;")")</f>
        <v>#NUM!</v>
      </c>
      <c r="M1109" s="78" t="s">
        <v>254</v>
      </c>
      <c r="N1109" s="78" t="s">
        <v>249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41"/>
  <sheetViews>
    <sheetView workbookViewId="0">
      <selection activeCell="AC22" sqref="AC22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16</v>
      </c>
    </row>
    <row r="2" spans="1:28" s="65" customFormat="1" x14ac:dyDescent="0.25">
      <c r="A2" s="65" t="s">
        <v>27</v>
      </c>
      <c r="B2" s="65">
        <v>16</v>
      </c>
    </row>
    <row r="3" spans="1:28" s="65" customFormat="1" x14ac:dyDescent="0.25">
      <c r="A3" s="65" t="s">
        <v>28</v>
      </c>
      <c r="B3" s="65">
        <v>0</v>
      </c>
    </row>
    <row r="4" spans="1:28" s="65" customFormat="1" x14ac:dyDescent="0.25">
      <c r="A4" s="65" t="s">
        <v>29</v>
      </c>
      <c r="B4" s="65">
        <v>0</v>
      </c>
    </row>
    <row r="5" spans="1:28" s="65" customFormat="1" x14ac:dyDescent="0.25">
      <c r="A5" s="65" t="s">
        <v>49</v>
      </c>
      <c r="B5" s="65">
        <v>1</v>
      </c>
      <c r="C5" s="65" t="s">
        <v>161</v>
      </c>
      <c r="D5" s="65" t="s">
        <v>788</v>
      </c>
    </row>
    <row r="6" spans="1:28" s="65" customFormat="1" x14ac:dyDescent="0.25">
      <c r="A6" s="65" t="s">
        <v>51</v>
      </c>
      <c r="B6" s="65">
        <v>16</v>
      </c>
    </row>
    <row r="7" spans="1:28" s="65" customFormat="1" x14ac:dyDescent="0.25">
      <c r="A7" s="65" t="s">
        <v>73</v>
      </c>
      <c r="B7" s="65">
        <v>51</v>
      </c>
      <c r="C7" s="65">
        <v>44</v>
      </c>
      <c r="D7" s="65">
        <v>7</v>
      </c>
      <c r="E7" s="65">
        <v>40</v>
      </c>
      <c r="F7" s="65">
        <v>7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413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12</v>
      </c>
      <c r="M9" s="2">
        <v>14</v>
      </c>
      <c r="N9" s="2">
        <v>15</v>
      </c>
      <c r="O9" s="2">
        <v>16</v>
      </c>
      <c r="P9" s="2">
        <v>17</v>
      </c>
      <c r="Q9" s="2">
        <v>18</v>
      </c>
      <c r="R9" s="2" t="s">
        <v>787</v>
      </c>
      <c r="S9" s="2" t="s">
        <v>752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4</v>
      </c>
      <c r="C10" s="2">
        <v>4</v>
      </c>
      <c r="D10" s="2">
        <v>4</v>
      </c>
      <c r="E10" s="2">
        <v>3</v>
      </c>
      <c r="F10" s="2">
        <v>3</v>
      </c>
      <c r="G10" s="2">
        <v>5</v>
      </c>
      <c r="H10" s="2">
        <v>3</v>
      </c>
      <c r="I10" s="2">
        <v>3</v>
      </c>
      <c r="J10" s="2">
        <v>4</v>
      </c>
      <c r="K10" s="2">
        <v>3</v>
      </c>
      <c r="L10" s="2">
        <v>3</v>
      </c>
      <c r="M10" s="2">
        <v>4</v>
      </c>
      <c r="N10" s="2">
        <v>4</v>
      </c>
      <c r="O10" s="2">
        <v>3</v>
      </c>
      <c r="P10" s="2">
        <v>3</v>
      </c>
      <c r="Q10" s="2">
        <v>3</v>
      </c>
      <c r="R10" s="2" t="s">
        <v>50</v>
      </c>
      <c r="S10" s="2" t="s">
        <v>50</v>
      </c>
      <c r="T10" s="2" t="s">
        <v>50</v>
      </c>
      <c r="U10" s="385" t="s">
        <v>50</v>
      </c>
      <c r="V10" s="385" t="s">
        <v>50</v>
      </c>
      <c r="W10" s="385" t="s">
        <v>50</v>
      </c>
      <c r="X10" s="385" t="s">
        <v>50</v>
      </c>
      <c r="Y10" s="385" t="s">
        <v>50</v>
      </c>
      <c r="Z10" s="385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1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373</v>
      </c>
      <c r="B16" s="376"/>
      <c r="C16" s="379">
        <v>1</v>
      </c>
      <c r="D16" s="382">
        <v>2</v>
      </c>
      <c r="E16" s="382"/>
      <c r="F16" s="382">
        <v>2</v>
      </c>
      <c r="G16" s="382"/>
      <c r="H16" s="382">
        <v>1</v>
      </c>
      <c r="I16" s="382">
        <v>3</v>
      </c>
      <c r="J16" s="382"/>
      <c r="K16" s="382"/>
      <c r="L16" s="382">
        <v>3</v>
      </c>
      <c r="M16" s="382"/>
      <c r="N16" s="382">
        <v>2</v>
      </c>
      <c r="O16" s="382"/>
      <c r="P16" s="382"/>
      <c r="Q16" s="382">
        <v>1</v>
      </c>
      <c r="W16" s="385"/>
      <c r="X16" s="385"/>
      <c r="Y16" s="385"/>
      <c r="Z16" s="385"/>
    </row>
    <row r="17" spans="1:28" s="377" customFormat="1" x14ac:dyDescent="0.25">
      <c r="A17" s="377" t="s">
        <v>381</v>
      </c>
      <c r="C17" s="380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W17" s="386"/>
      <c r="X17" s="386"/>
      <c r="Y17" s="386"/>
      <c r="Z17" s="386"/>
    </row>
    <row r="18" spans="1:28" s="2" customFormat="1" x14ac:dyDescent="0.25">
      <c r="A18" s="2" t="s">
        <v>384</v>
      </c>
      <c r="B18" s="376"/>
      <c r="C18" s="379"/>
      <c r="D18" s="382"/>
      <c r="E18" s="382"/>
      <c r="F18" s="382"/>
      <c r="G18" s="382">
        <v>1</v>
      </c>
      <c r="H18" s="382">
        <v>1</v>
      </c>
      <c r="I18" s="382">
        <v>2</v>
      </c>
      <c r="J18" s="382"/>
      <c r="K18" s="382"/>
      <c r="L18" s="382">
        <v>1</v>
      </c>
      <c r="M18" s="382"/>
      <c r="N18" s="382"/>
      <c r="O18" s="382"/>
      <c r="P18" s="382"/>
      <c r="Q18" s="382"/>
      <c r="W18" s="385"/>
      <c r="X18" s="385"/>
      <c r="Y18" s="385"/>
      <c r="Z18" s="385"/>
    </row>
    <row r="19" spans="1:28" s="2" customFormat="1" x14ac:dyDescent="0.25">
      <c r="A19" s="2" t="s">
        <v>374</v>
      </c>
      <c r="B19" s="376">
        <v>1</v>
      </c>
      <c r="C19" s="379"/>
      <c r="D19" s="382"/>
      <c r="E19" s="382"/>
      <c r="F19" s="382"/>
      <c r="G19" s="382">
        <v>1</v>
      </c>
      <c r="H19" s="382"/>
      <c r="I19" s="382"/>
      <c r="J19" s="382"/>
      <c r="K19" s="382"/>
      <c r="L19" s="382"/>
      <c r="M19" s="382">
        <v>1</v>
      </c>
      <c r="N19" s="382"/>
      <c r="O19" s="382"/>
      <c r="P19" s="382"/>
      <c r="Q19" s="382"/>
      <c r="W19" s="385"/>
      <c r="X19" s="385"/>
      <c r="Y19" s="385"/>
      <c r="Z19" s="385"/>
    </row>
    <row r="20" spans="1:28" s="2" customFormat="1" x14ac:dyDescent="0.25">
      <c r="A20" s="2" t="s">
        <v>375</v>
      </c>
      <c r="B20" s="376"/>
      <c r="C20" s="379">
        <v>1</v>
      </c>
      <c r="D20" s="382"/>
      <c r="E20" s="382"/>
      <c r="F20" s="382"/>
      <c r="G20" s="382"/>
      <c r="H20" s="382"/>
      <c r="I20" s="382"/>
      <c r="J20" s="382">
        <v>1</v>
      </c>
      <c r="K20" s="382">
        <v>1</v>
      </c>
      <c r="L20" s="382">
        <v>3</v>
      </c>
      <c r="M20" s="382"/>
      <c r="N20" s="382">
        <v>1</v>
      </c>
      <c r="O20" s="382"/>
      <c r="P20" s="382"/>
      <c r="Q20" s="382">
        <v>1</v>
      </c>
      <c r="W20" s="385"/>
      <c r="X20" s="385"/>
      <c r="Y20" s="385"/>
      <c r="Z20" s="385"/>
    </row>
    <row r="21" spans="1:28" s="2" customFormat="1" x14ac:dyDescent="0.25">
      <c r="A21" s="2" t="s">
        <v>376</v>
      </c>
      <c r="B21" s="376"/>
      <c r="C21" s="379">
        <v>1</v>
      </c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W21" s="385"/>
      <c r="X21" s="385"/>
      <c r="Y21" s="385"/>
      <c r="Z21" s="385"/>
    </row>
    <row r="22" spans="1:28" s="2" customFormat="1" x14ac:dyDescent="0.25">
      <c r="A22" s="2" t="s">
        <v>377</v>
      </c>
      <c r="B22" s="376"/>
      <c r="C22" s="379">
        <v>1</v>
      </c>
      <c r="D22" s="382">
        <v>2</v>
      </c>
      <c r="E22" s="382"/>
      <c r="F22" s="382"/>
      <c r="G22" s="382"/>
      <c r="H22" s="382"/>
      <c r="I22" s="382"/>
      <c r="J22" s="382"/>
      <c r="K22" s="382"/>
      <c r="L22" s="382"/>
      <c r="M22" s="382">
        <v>1</v>
      </c>
      <c r="N22" s="382"/>
      <c r="O22" s="382"/>
      <c r="P22" s="382"/>
      <c r="Q22" s="382"/>
      <c r="W22" s="385"/>
      <c r="X22" s="385"/>
      <c r="Y22" s="385"/>
      <c r="Z22" s="385"/>
    </row>
    <row r="23" spans="1:28" s="2" customFormat="1" x14ac:dyDescent="0.25">
      <c r="A23" s="2" t="s">
        <v>383</v>
      </c>
      <c r="B23" s="376">
        <v>1</v>
      </c>
      <c r="C23" s="379">
        <v>1</v>
      </c>
      <c r="D23" s="382"/>
      <c r="E23" s="382">
        <v>1</v>
      </c>
      <c r="F23" s="382"/>
      <c r="G23" s="382"/>
      <c r="H23" s="382"/>
      <c r="I23" s="382"/>
      <c r="J23" s="382"/>
      <c r="K23" s="382"/>
      <c r="L23" s="382"/>
      <c r="M23" s="382">
        <v>2</v>
      </c>
      <c r="N23" s="382"/>
      <c r="O23" s="382"/>
      <c r="P23" s="382"/>
      <c r="Q23" s="382">
        <v>3</v>
      </c>
      <c r="W23" s="385"/>
      <c r="X23" s="385"/>
      <c r="Y23" s="385"/>
      <c r="Z23" s="385"/>
    </row>
    <row r="24" spans="1:28" s="2" customFormat="1" x14ac:dyDescent="0.25">
      <c r="A24" s="2" t="s">
        <v>378</v>
      </c>
      <c r="B24" s="376"/>
      <c r="C24" s="379" t="s">
        <v>762</v>
      </c>
      <c r="D24" s="382" t="s">
        <v>254</v>
      </c>
      <c r="E24" s="382"/>
      <c r="F24" s="382"/>
      <c r="G24" s="382"/>
      <c r="H24" s="382"/>
      <c r="I24" s="382"/>
      <c r="J24" s="382"/>
      <c r="K24" s="382"/>
      <c r="L24" s="382"/>
      <c r="M24" s="382"/>
      <c r="N24" s="382" t="s">
        <v>763</v>
      </c>
      <c r="O24" s="382"/>
      <c r="P24" s="382"/>
      <c r="Q24" s="382"/>
      <c r="W24" s="385"/>
      <c r="X24" s="385"/>
      <c r="Y24" s="385"/>
      <c r="Z24" s="385"/>
    </row>
    <row r="25" spans="1:28" s="377" customFormat="1" x14ac:dyDescent="0.25">
      <c r="A25" s="377" t="s">
        <v>379</v>
      </c>
      <c r="C25" s="380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W25" s="386"/>
      <c r="X25" s="386"/>
      <c r="Y25" s="386"/>
      <c r="Z25" s="386"/>
    </row>
    <row r="26" spans="1:28" s="337" customFormat="1" x14ac:dyDescent="0.25">
      <c r="A26" s="337" t="s">
        <v>380</v>
      </c>
      <c r="B26" s="378">
        <v>109</v>
      </c>
      <c r="C26" s="381">
        <v>174</v>
      </c>
      <c r="D26" s="384">
        <v>118</v>
      </c>
      <c r="E26" s="387">
        <v>71</v>
      </c>
      <c r="F26" s="387">
        <v>68</v>
      </c>
      <c r="G26" s="387">
        <v>184</v>
      </c>
      <c r="H26" s="387">
        <v>92</v>
      </c>
      <c r="I26" s="387">
        <v>63</v>
      </c>
      <c r="J26" s="387">
        <v>168</v>
      </c>
      <c r="K26" s="387">
        <v>95</v>
      </c>
      <c r="L26" s="387">
        <v>58</v>
      </c>
      <c r="M26" s="387">
        <v>126</v>
      </c>
      <c r="N26" s="387">
        <v>111</v>
      </c>
      <c r="O26" s="387">
        <v>56</v>
      </c>
      <c r="P26" s="387">
        <v>72</v>
      </c>
      <c r="Q26" s="387">
        <v>69</v>
      </c>
      <c r="W26" s="387"/>
      <c r="X26" s="387"/>
      <c r="Y26" s="387"/>
      <c r="Z26" s="387"/>
    </row>
    <row r="27" spans="1:28" s="2" customFormat="1" x14ac:dyDescent="0.25">
      <c r="A27" s="2" t="s">
        <v>382</v>
      </c>
      <c r="B27" s="376">
        <v>1</v>
      </c>
      <c r="C27" s="379"/>
      <c r="D27" s="382">
        <v>1</v>
      </c>
      <c r="E27" s="382"/>
      <c r="F27" s="382"/>
      <c r="G27" s="382">
        <v>2</v>
      </c>
      <c r="H27" s="382"/>
      <c r="I27" s="382"/>
      <c r="J27" s="382">
        <v>1</v>
      </c>
      <c r="K27" s="382">
        <v>1</v>
      </c>
      <c r="L27" s="382"/>
      <c r="M27" s="387">
        <v>2</v>
      </c>
      <c r="N27" s="382"/>
      <c r="O27" s="382"/>
      <c r="P27" s="382"/>
      <c r="Q27" s="382"/>
      <c r="W27" s="385"/>
      <c r="X27" s="385"/>
      <c r="Y27" s="387"/>
      <c r="Z27" s="385"/>
    </row>
    <row r="28" spans="1:28" ht="15" customHeight="1" x14ac:dyDescent="0.25">
      <c r="A28" s="248" t="s">
        <v>123</v>
      </c>
      <c r="B28" s="519" t="s">
        <v>770</v>
      </c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19"/>
      <c r="AB28" s="519"/>
    </row>
    <row r="29" spans="1:28" x14ac:dyDescent="0.25">
      <c r="B29" s="520" t="s">
        <v>771</v>
      </c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  <c r="AA29" s="520"/>
      <c r="AB29" s="520"/>
    </row>
    <row r="30" spans="1:28" x14ac:dyDescent="0.25">
      <c r="A30" s="2" t="s">
        <v>221</v>
      </c>
      <c r="B30" s="2">
        <v>105.8</v>
      </c>
      <c r="C30" s="2"/>
      <c r="D30" s="2"/>
      <c r="E30" s="2"/>
      <c r="F30" s="2"/>
      <c r="G30" s="2"/>
      <c r="H30" s="2"/>
    </row>
    <row r="31" spans="1:28" x14ac:dyDescent="0.25">
      <c r="A31" s="2" t="s">
        <v>222</v>
      </c>
      <c r="B31" s="2">
        <v>1000.5940000000001</v>
      </c>
    </row>
    <row r="32" spans="1:28" x14ac:dyDescent="0.25">
      <c r="A32" s="2" t="s">
        <v>309</v>
      </c>
      <c r="B32">
        <v>850</v>
      </c>
    </row>
    <row r="33" spans="1:3" x14ac:dyDescent="0.25">
      <c r="A33" s="2" t="s">
        <v>310</v>
      </c>
      <c r="B33">
        <v>600</v>
      </c>
    </row>
    <row r="34" spans="1:3" x14ac:dyDescent="0.25">
      <c r="A34" s="2" t="s">
        <v>753</v>
      </c>
      <c r="B34" s="2">
        <v>6</v>
      </c>
      <c r="C34" t="s">
        <v>760</v>
      </c>
    </row>
    <row r="35" spans="1:3" x14ac:dyDescent="0.25">
      <c r="B35">
        <v>1</v>
      </c>
      <c r="C35" t="s">
        <v>759</v>
      </c>
    </row>
    <row r="36" spans="1:3" x14ac:dyDescent="0.25">
      <c r="B36">
        <v>1</v>
      </c>
      <c r="C36" s="385" t="s">
        <v>754</v>
      </c>
    </row>
    <row r="37" spans="1:3" x14ac:dyDescent="0.25">
      <c r="B37">
        <v>1</v>
      </c>
      <c r="C37" s="385" t="s">
        <v>756</v>
      </c>
    </row>
    <row r="38" spans="1:3" x14ac:dyDescent="0.25">
      <c r="B38">
        <v>1</v>
      </c>
      <c r="C38" s="385" t="s">
        <v>757</v>
      </c>
    </row>
    <row r="39" spans="1:3" x14ac:dyDescent="0.25">
      <c r="B39">
        <v>1</v>
      </c>
      <c r="C39" s="385" t="s">
        <v>758</v>
      </c>
    </row>
    <row r="40" spans="1:3" x14ac:dyDescent="0.25">
      <c r="B40">
        <v>1</v>
      </c>
      <c r="C40" s="385" t="s">
        <v>755</v>
      </c>
    </row>
    <row r="41" spans="1:3" x14ac:dyDescent="0.25">
      <c r="B41" t="s">
        <v>761</v>
      </c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84</v>
      </c>
      <c r="C1" s="2" t="s">
        <v>83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33</v>
      </c>
      <c r="D2" s="2">
        <v>0</v>
      </c>
      <c r="E2" s="2">
        <v>0.46938775510204067</v>
      </c>
      <c r="F2" s="2">
        <v>0.80272108843537371</v>
      </c>
      <c r="G2" s="2">
        <v>2.0884353741496593</v>
      </c>
      <c r="H2" s="2">
        <v>2.2312925170068021</v>
      </c>
      <c r="I2" s="2">
        <v>2.6190476190476186</v>
      </c>
      <c r="J2" s="2">
        <v>3.2108843537414966</v>
      </c>
      <c r="K2" s="2">
        <v>3.4965986394557822</v>
      </c>
      <c r="L2" s="2">
        <v>3.5986394557823127</v>
      </c>
      <c r="M2" s="2">
        <v>4.0476190476190474</v>
      </c>
      <c r="N2" s="2">
        <v>4.8639455782312924</v>
      </c>
      <c r="O2" s="2">
        <v>4.8027210884353746</v>
      </c>
      <c r="P2" s="2">
        <v>5.8231292517006805</v>
      </c>
      <c r="Q2" s="2">
        <v>6.0884353741496602</v>
      </c>
      <c r="R2" s="2">
        <v>6.4761904761904763</v>
      </c>
      <c r="S2" s="2">
        <v>7.3129251700680271</v>
      </c>
      <c r="T2" s="2">
        <v>7.5170068027210881</v>
      </c>
      <c r="U2" s="2">
        <v>7.9753401360544212</v>
      </c>
      <c r="V2" s="2">
        <v>8.6211734693877542</v>
      </c>
      <c r="W2" s="2">
        <v>9.8086734693877542</v>
      </c>
      <c r="X2" s="2">
        <v>9.8295068027210881</v>
      </c>
      <c r="Y2" s="2">
        <v>10.142006802721088</v>
      </c>
      <c r="Z2" s="2">
        <v>10.610091909104067</v>
      </c>
      <c r="AA2" s="2">
        <v>11.005925242437401</v>
      </c>
      <c r="AB2" s="2">
        <v>11.110091909104067</v>
      </c>
      <c r="AC2" s="2">
        <v>11.818425242437399</v>
      </c>
      <c r="AD2" s="2">
        <v>12.526758575770733</v>
      </c>
      <c r="AE2" s="2">
        <v>12.693425242437399</v>
      </c>
      <c r="AF2" s="2">
        <v>14.276758575770732</v>
      </c>
      <c r="AG2" s="2">
        <v>14.735091909104064</v>
      </c>
      <c r="AH2" s="2">
        <v>15.08925857577073</v>
      </c>
      <c r="AI2" s="2">
        <v>15.77675857577073</v>
      </c>
      <c r="AJ2" s="2">
        <v>15.90175857577073</v>
      </c>
      <c r="AK2" s="2">
        <v>16.906758575770731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82</v>
      </c>
      <c r="B3" s="2">
        <v>58</v>
      </c>
      <c r="C3" s="2">
        <v>33</v>
      </c>
      <c r="D3" s="2">
        <v>0</v>
      </c>
      <c r="E3" s="2">
        <v>1.5714285714285712</v>
      </c>
      <c r="F3" s="2">
        <v>2.4285714285714279</v>
      </c>
      <c r="G3" s="2">
        <v>4.4285714285714279</v>
      </c>
      <c r="H3" s="2">
        <v>5.4285714285714279</v>
      </c>
      <c r="I3" s="2">
        <v>6.4285714285714279</v>
      </c>
      <c r="J3" s="2">
        <v>8.2857142857142847</v>
      </c>
      <c r="K3" s="2">
        <v>9.2857142857142847</v>
      </c>
      <c r="L3" s="2">
        <v>9.5714285714285694</v>
      </c>
      <c r="M3" s="2">
        <v>10.714285714285712</v>
      </c>
      <c r="N3" s="2">
        <v>12.142857142857141</v>
      </c>
      <c r="O3" s="2">
        <v>12.428571428571427</v>
      </c>
      <c r="P3" s="2">
        <v>13.999999999999998</v>
      </c>
      <c r="Q3" s="2">
        <v>15.142857142857142</v>
      </c>
      <c r="R3" s="2">
        <v>15.714285714285714</v>
      </c>
      <c r="S3" s="2">
        <v>17.571428571428569</v>
      </c>
      <c r="T3" s="2">
        <v>18.285714285714285</v>
      </c>
      <c r="U3" s="2">
        <v>20</v>
      </c>
      <c r="V3" s="2">
        <v>20.714285714285715</v>
      </c>
      <c r="W3" s="2">
        <v>22</v>
      </c>
      <c r="X3" s="2">
        <v>22.428571428571427</v>
      </c>
      <c r="Y3" s="2">
        <v>23.285714285714285</v>
      </c>
      <c r="Z3" s="2">
        <v>24.857142857142854</v>
      </c>
      <c r="AA3" s="2">
        <v>25.857142857142854</v>
      </c>
      <c r="AB3" s="2">
        <v>26.285714285714281</v>
      </c>
      <c r="AC3" s="2">
        <v>28.142857142857139</v>
      </c>
      <c r="AD3" s="2">
        <v>29.142857142857139</v>
      </c>
      <c r="AE3" s="2">
        <v>29.428571428571423</v>
      </c>
      <c r="AF3" s="2">
        <v>32.142857142857139</v>
      </c>
      <c r="AG3" s="2">
        <v>32.999999999999993</v>
      </c>
      <c r="AH3" s="2">
        <v>33.857142857142847</v>
      </c>
      <c r="AI3" s="2">
        <v>35.285714285714278</v>
      </c>
      <c r="AJ3" s="2">
        <v>35.857142857142847</v>
      </c>
      <c r="AK3" s="2">
        <v>36.86214285714285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79</v>
      </c>
      <c r="B4" s="2">
        <v>55</v>
      </c>
      <c r="C4" s="2">
        <v>32</v>
      </c>
      <c r="D4" s="2">
        <v>0</v>
      </c>
      <c r="E4" s="2">
        <v>0.28571428571428559</v>
      </c>
      <c r="F4" s="2">
        <v>0.52961672473867605</v>
      </c>
      <c r="G4" s="2">
        <v>1.696283391405343</v>
      </c>
      <c r="H4" s="2">
        <v>1.696283391405343</v>
      </c>
      <c r="I4" s="2">
        <v>1.9819976771196286</v>
      </c>
      <c r="J4" s="2">
        <v>2.36295005807201</v>
      </c>
      <c r="K4" s="2">
        <v>2.5296167247386765</v>
      </c>
      <c r="L4" s="2">
        <v>2.6010452961672481</v>
      </c>
      <c r="M4" s="2">
        <v>2.9343786295005811</v>
      </c>
      <c r="N4" s="2">
        <v>3.6486643437862956</v>
      </c>
      <c r="O4" s="2">
        <v>3.5296167247386765</v>
      </c>
      <c r="P4" s="2">
        <v>4.4581881533101058</v>
      </c>
      <c r="Q4" s="2">
        <v>4.5772357723577244</v>
      </c>
      <c r="R4" s="2">
        <v>4.934378629500582</v>
      </c>
      <c r="S4" s="2">
        <v>5.6010452961672481</v>
      </c>
      <c r="T4" s="2">
        <v>5.7200929152148667</v>
      </c>
      <c r="U4" s="2">
        <v>5.9639953542392572</v>
      </c>
      <c r="V4" s="2">
        <v>6.5981416957026715</v>
      </c>
      <c r="W4" s="2">
        <v>7.7688734030197448</v>
      </c>
      <c r="X4" s="2">
        <v>7.7200929152148667</v>
      </c>
      <c r="Y4" s="2">
        <v>7.9396051103368182</v>
      </c>
      <c r="Z4" s="2">
        <v>8.2146051103368194</v>
      </c>
      <c r="AA4" s="2">
        <v>8.5072880371660879</v>
      </c>
      <c r="AB4" s="2">
        <v>8.556068524970966</v>
      </c>
      <c r="AC4" s="2">
        <v>9.0682636469221851</v>
      </c>
      <c r="AD4" s="2">
        <v>9.7268002322880385</v>
      </c>
      <c r="AE4" s="2">
        <v>9.8731416957026727</v>
      </c>
      <c r="AF4" s="2">
        <v>11.263385598141697</v>
      </c>
      <c r="AG4" s="2">
        <v>11.653629500580722</v>
      </c>
      <c r="AH4" s="2">
        <v>11.921922183507551</v>
      </c>
      <c r="AI4" s="2">
        <v>12.482897793263648</v>
      </c>
      <c r="AJ4" s="2">
        <v>12.531678281068526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144</v>
      </c>
      <c r="B5" s="2">
        <v>82</v>
      </c>
      <c r="C5" s="2">
        <v>33</v>
      </c>
      <c r="D5" s="2">
        <v>0</v>
      </c>
      <c r="E5" s="2">
        <v>1.5714285714285712</v>
      </c>
      <c r="F5" s="2">
        <v>2.4285714285714279</v>
      </c>
      <c r="G5" s="2">
        <v>4.4285714285714279</v>
      </c>
      <c r="H5" s="2">
        <v>5.4285714285714279</v>
      </c>
      <c r="I5" s="2">
        <v>6.4285714285714279</v>
      </c>
      <c r="J5" s="2">
        <v>8.2857142857142847</v>
      </c>
      <c r="K5" s="2">
        <v>9.2857142857142847</v>
      </c>
      <c r="L5" s="2">
        <v>9.5714285714285694</v>
      </c>
      <c r="M5" s="2">
        <v>10.714285714285712</v>
      </c>
      <c r="N5" s="2">
        <v>12.142857142857141</v>
      </c>
      <c r="O5" s="2">
        <v>12.428571428571427</v>
      </c>
      <c r="P5" s="2">
        <v>13.999999999999998</v>
      </c>
      <c r="Q5" s="2">
        <v>15.142857142857142</v>
      </c>
      <c r="R5" s="2">
        <v>15.714285714285714</v>
      </c>
      <c r="S5" s="2">
        <v>17.571428571428569</v>
      </c>
      <c r="T5" s="2">
        <v>18.285714285714285</v>
      </c>
      <c r="U5" s="2">
        <v>20</v>
      </c>
      <c r="V5" s="2">
        <v>20.714285714285715</v>
      </c>
      <c r="W5" s="2">
        <v>22</v>
      </c>
      <c r="X5" s="2">
        <v>22.428571428571427</v>
      </c>
      <c r="Y5" s="2">
        <v>23.285714285714285</v>
      </c>
      <c r="Z5" s="2">
        <v>24.857142857142854</v>
      </c>
      <c r="AA5" s="2">
        <v>25.857142857142854</v>
      </c>
      <c r="AB5" s="2">
        <v>26.285714285714281</v>
      </c>
      <c r="AC5" s="2">
        <v>28.142857142857139</v>
      </c>
      <c r="AD5" s="2">
        <v>29.142857142857139</v>
      </c>
      <c r="AE5" s="2">
        <v>29.428571428571423</v>
      </c>
      <c r="AF5" s="2">
        <v>32.142857142857139</v>
      </c>
      <c r="AG5" s="2">
        <v>32.999999999999993</v>
      </c>
      <c r="AH5" s="2">
        <v>33.857142857142847</v>
      </c>
      <c r="AI5" s="2">
        <v>35.285714285714278</v>
      </c>
      <c r="AJ5" s="2">
        <v>35.857142857142847</v>
      </c>
      <c r="AK5" s="2">
        <v>36.86214285714285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135</v>
      </c>
      <c r="B6" s="2">
        <v>67</v>
      </c>
      <c r="C6" s="2">
        <v>32</v>
      </c>
      <c r="D6" s="2">
        <v>0</v>
      </c>
      <c r="E6" s="2">
        <v>-0.60000000000000009</v>
      </c>
      <c r="F6" s="2">
        <v>-1.4</v>
      </c>
      <c r="G6" s="2">
        <v>-0.80000000000000027</v>
      </c>
      <c r="H6" s="2">
        <v>-1.1000000000000001</v>
      </c>
      <c r="I6" s="2">
        <v>-1.2000000000000002</v>
      </c>
      <c r="J6" s="2">
        <v>-1.4000000000000004</v>
      </c>
      <c r="K6" s="2">
        <v>-2.0000000000000004</v>
      </c>
      <c r="L6" s="2">
        <v>-2.2000000000000006</v>
      </c>
      <c r="M6" s="2">
        <v>-2.8000000000000007</v>
      </c>
      <c r="N6" s="2">
        <v>-2.6000000000000005</v>
      </c>
      <c r="O6" s="2">
        <v>-2.7000000000000006</v>
      </c>
      <c r="P6" s="2">
        <v>-2.2000000000000006</v>
      </c>
      <c r="Q6" s="2">
        <v>-2.7000000000000006</v>
      </c>
      <c r="R6" s="2">
        <v>-3.2000000000000006</v>
      </c>
      <c r="S6" s="2">
        <v>-3.0000000000000004</v>
      </c>
      <c r="T6" s="2">
        <v>-3.6000000000000005</v>
      </c>
      <c r="U6" s="2">
        <v>-4.1000000000000005</v>
      </c>
      <c r="V6" s="2">
        <v>-4.0000000000000009</v>
      </c>
      <c r="W6" s="2">
        <v>-3.3000000000000007</v>
      </c>
      <c r="X6" s="2">
        <v>-3.7000000000000006</v>
      </c>
      <c r="Y6" s="2">
        <v>-3.8000000000000007</v>
      </c>
      <c r="Z6" s="2">
        <v>-4.4000000000000004</v>
      </c>
      <c r="AA6" s="2">
        <v>-4.6000000000000005</v>
      </c>
      <c r="AB6" s="2">
        <v>-4.7000000000000011</v>
      </c>
      <c r="AC6" s="2">
        <v>-5.0000000000000009</v>
      </c>
      <c r="AD6" s="2">
        <v>-4.6000000000000014</v>
      </c>
      <c r="AE6" s="2">
        <v>-4.6000000000000014</v>
      </c>
      <c r="AF6" s="2">
        <v>-4.2000000000000011</v>
      </c>
      <c r="AG6" s="2">
        <v>-4.4000000000000012</v>
      </c>
      <c r="AH6" s="2">
        <v>-4.2000000000000011</v>
      </c>
      <c r="AI6" s="2">
        <v>-4.1000000000000014</v>
      </c>
      <c r="AJ6" s="2">
        <v>-4.0000000000000018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147</v>
      </c>
      <c r="B7" s="2">
        <v>85</v>
      </c>
      <c r="C7" s="2">
        <v>33</v>
      </c>
      <c r="D7" s="2">
        <v>0</v>
      </c>
      <c r="E7" s="2">
        <v>1.5714285714285712</v>
      </c>
      <c r="F7" s="2">
        <v>2.4285714285714279</v>
      </c>
      <c r="G7" s="2">
        <v>4.4285714285714279</v>
      </c>
      <c r="H7" s="2">
        <v>5.4285714285714279</v>
      </c>
      <c r="I7" s="2">
        <v>6.4285714285714279</v>
      </c>
      <c r="J7" s="2">
        <v>8.2857142857142847</v>
      </c>
      <c r="K7" s="2">
        <v>9.2857142857142847</v>
      </c>
      <c r="L7" s="2">
        <v>9.5714285714285694</v>
      </c>
      <c r="M7" s="2">
        <v>10.714285714285712</v>
      </c>
      <c r="N7" s="2">
        <v>12.142857142857141</v>
      </c>
      <c r="O7" s="2">
        <v>12.428571428571427</v>
      </c>
      <c r="P7" s="2">
        <v>13.999999999999998</v>
      </c>
      <c r="Q7" s="2">
        <v>15.142857142857142</v>
      </c>
      <c r="R7" s="2">
        <v>15.714285714285714</v>
      </c>
      <c r="S7" s="2">
        <v>17.571428571428569</v>
      </c>
      <c r="T7" s="2">
        <v>18.285714285714285</v>
      </c>
      <c r="U7" s="2">
        <v>20</v>
      </c>
      <c r="V7" s="2">
        <v>20.714285714285715</v>
      </c>
      <c r="W7" s="2">
        <v>22</v>
      </c>
      <c r="X7" s="2">
        <v>22.428571428571427</v>
      </c>
      <c r="Y7" s="2">
        <v>23.285714285714285</v>
      </c>
      <c r="Z7" s="2">
        <v>24.857142857142854</v>
      </c>
      <c r="AA7" s="2">
        <v>25.857142857142854</v>
      </c>
      <c r="AB7" s="2">
        <v>26.285714285714281</v>
      </c>
      <c r="AC7" s="2">
        <v>28.142857142857139</v>
      </c>
      <c r="AD7" s="2">
        <v>29.142857142857139</v>
      </c>
      <c r="AE7" s="2">
        <v>29.428571428571423</v>
      </c>
      <c r="AF7" s="2">
        <v>32.142857142857139</v>
      </c>
      <c r="AG7" s="2">
        <v>32.999999999999993</v>
      </c>
      <c r="AH7" s="2">
        <v>33.857142857142847</v>
      </c>
      <c r="AI7" s="2">
        <v>35.285714285714278</v>
      </c>
      <c r="AJ7" s="2">
        <v>35.857142857142847</v>
      </c>
      <c r="AK7" s="2">
        <v>36.86214285714285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138</v>
      </c>
      <c r="B8" s="2">
        <v>70</v>
      </c>
      <c r="C8" s="2">
        <v>32</v>
      </c>
      <c r="D8" s="2">
        <v>0</v>
      </c>
      <c r="E8" s="2">
        <v>-9.5238095238095344E-2</v>
      </c>
      <c r="F8" s="2">
        <v>-0.42857142857142883</v>
      </c>
      <c r="G8" s="2">
        <v>0.1904761904761898</v>
      </c>
      <c r="H8" s="2">
        <v>-9.5238095238095788E-2</v>
      </c>
      <c r="I8" s="2">
        <v>4.7619047619047006E-2</v>
      </c>
      <c r="J8" s="2">
        <v>-4.7619047619047894E-2</v>
      </c>
      <c r="K8" s="2">
        <v>-0.23809523809523858</v>
      </c>
      <c r="L8" s="2">
        <v>-0.28571428571428603</v>
      </c>
      <c r="M8" s="2">
        <v>-0.57142857142857162</v>
      </c>
      <c r="N8" s="2">
        <v>-4.7619047619047894E-2</v>
      </c>
      <c r="O8" s="2">
        <v>-0.14285714285714324</v>
      </c>
      <c r="P8" s="2">
        <v>0.38095238095238049</v>
      </c>
      <c r="Q8" s="2">
        <v>9.52380952380949E-2</v>
      </c>
      <c r="R8" s="2">
        <v>-4.7619047619047894E-2</v>
      </c>
      <c r="S8" s="2">
        <v>0.47619047619047583</v>
      </c>
      <c r="T8" s="2">
        <v>0.28571428571428514</v>
      </c>
      <c r="U8" s="2">
        <v>-4.4408920985006262E-16</v>
      </c>
      <c r="V8" s="2">
        <v>0.14285714285714279</v>
      </c>
      <c r="W8" s="2">
        <v>0.66666666666666652</v>
      </c>
      <c r="X8" s="2">
        <v>0.38095238095238093</v>
      </c>
      <c r="Y8" s="2">
        <v>0.33333333333333348</v>
      </c>
      <c r="Z8" s="2">
        <v>4.4408920985006262E-16</v>
      </c>
      <c r="AA8" s="2">
        <v>-4.7619047619047006E-2</v>
      </c>
      <c r="AB8" s="2">
        <v>-0.28571428571428514</v>
      </c>
      <c r="AC8" s="2">
        <v>-0.28571428571428514</v>
      </c>
      <c r="AD8" s="2">
        <v>4.4408920985006262E-16</v>
      </c>
      <c r="AE8" s="2">
        <v>-9.52380952380949E-2</v>
      </c>
      <c r="AF8" s="2">
        <v>0.52380952380952372</v>
      </c>
      <c r="AG8" s="2">
        <v>0.47619047619047628</v>
      </c>
      <c r="AH8" s="2">
        <v>0.71428571428571441</v>
      </c>
      <c r="AI8" s="2">
        <v>0.9047619047619051</v>
      </c>
      <c r="AJ8" s="2">
        <v>0.95238095238095255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150</v>
      </c>
      <c r="B9" s="2">
        <v>88</v>
      </c>
      <c r="C9" s="2">
        <v>33</v>
      </c>
      <c r="D9" s="2">
        <v>0</v>
      </c>
      <c r="E9" s="2">
        <v>1.5714285714285712</v>
      </c>
      <c r="F9" s="2">
        <v>2.4285714285714279</v>
      </c>
      <c r="G9" s="2">
        <v>4.4285714285714279</v>
      </c>
      <c r="H9" s="2">
        <v>5.4285714285714279</v>
      </c>
      <c r="I9" s="2">
        <v>6.4285714285714279</v>
      </c>
      <c r="J9" s="2">
        <v>8.2857142857142847</v>
      </c>
      <c r="K9" s="2">
        <v>9.2857142857142847</v>
      </c>
      <c r="L9" s="2">
        <v>9.5714285714285694</v>
      </c>
      <c r="M9" s="2">
        <v>10.714285714285712</v>
      </c>
      <c r="N9" s="2">
        <v>12.142857142857141</v>
      </c>
      <c r="O9" s="2">
        <v>12.428571428571427</v>
      </c>
      <c r="P9" s="2">
        <v>13.999999999999998</v>
      </c>
      <c r="Q9" s="2">
        <v>15.142857142857142</v>
      </c>
      <c r="R9" s="2">
        <v>15.714285714285714</v>
      </c>
      <c r="S9" s="2">
        <v>17.571428571428569</v>
      </c>
      <c r="T9" s="2">
        <v>18.285714285714285</v>
      </c>
      <c r="U9" s="2">
        <v>20</v>
      </c>
      <c r="V9" s="2">
        <v>20.714285714285715</v>
      </c>
      <c r="W9" s="2">
        <v>22</v>
      </c>
      <c r="X9" s="2">
        <v>22.428571428571427</v>
      </c>
      <c r="Y9" s="2">
        <v>23.285714285714285</v>
      </c>
      <c r="Z9" s="2">
        <v>24.857142857142854</v>
      </c>
      <c r="AA9" s="2">
        <v>25.857142857142854</v>
      </c>
      <c r="AB9" s="2">
        <v>26.285714285714281</v>
      </c>
      <c r="AC9" s="2">
        <v>28.142857142857139</v>
      </c>
      <c r="AD9" s="2">
        <v>29.142857142857139</v>
      </c>
      <c r="AE9" s="2">
        <v>29.428571428571423</v>
      </c>
      <c r="AF9" s="2">
        <v>32.142857142857139</v>
      </c>
      <c r="AG9" s="2">
        <v>32.999999999999993</v>
      </c>
      <c r="AH9" s="2">
        <v>33.857142857142847</v>
      </c>
      <c r="AI9" s="2">
        <v>35.285714285714278</v>
      </c>
      <c r="AJ9" s="2">
        <v>35.857142857142847</v>
      </c>
      <c r="AK9" s="2">
        <v>36.86214285714285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141</v>
      </c>
      <c r="B10" s="2">
        <v>73</v>
      </c>
      <c r="C10" s="2">
        <v>32</v>
      </c>
      <c r="D10" s="2">
        <v>0</v>
      </c>
      <c r="E10" s="2">
        <v>-3.3333333333333215E-2</v>
      </c>
      <c r="F10" s="2">
        <v>-0.23333333333333339</v>
      </c>
      <c r="G10" s="2">
        <v>0.56666666666666643</v>
      </c>
      <c r="H10" s="2">
        <v>0.43333333333333313</v>
      </c>
      <c r="I10" s="2">
        <v>0.59999999999999964</v>
      </c>
      <c r="J10" s="2">
        <v>0.5</v>
      </c>
      <c r="K10" s="2">
        <v>0.5</v>
      </c>
      <c r="L10" s="2">
        <v>0.53333333333333321</v>
      </c>
      <c r="M10" s="2">
        <v>0.59999999999999964</v>
      </c>
      <c r="N10" s="2">
        <v>1.0666666666666664</v>
      </c>
      <c r="O10" s="2">
        <v>0.96666666666666634</v>
      </c>
      <c r="P10" s="2">
        <v>1.6999999999999997</v>
      </c>
      <c r="Q10" s="2">
        <v>1.6333333333333329</v>
      </c>
      <c r="R10" s="2">
        <v>1.7333333333333329</v>
      </c>
      <c r="S10" s="2">
        <v>2.2666666666666662</v>
      </c>
      <c r="T10" s="2">
        <v>2.2666666666666662</v>
      </c>
      <c r="U10" s="2">
        <v>2.066666666666666</v>
      </c>
      <c r="V10" s="2">
        <v>2.4333333333333322</v>
      </c>
      <c r="W10" s="2">
        <v>3.0999999999999992</v>
      </c>
      <c r="X10" s="2">
        <v>2.9333333333333327</v>
      </c>
      <c r="Y10" s="2">
        <v>2.9666666666666659</v>
      </c>
      <c r="Z10" s="2">
        <v>2.8999999999999995</v>
      </c>
      <c r="AA10" s="2">
        <v>3.1333333333333329</v>
      </c>
      <c r="AB10" s="2">
        <v>3.0333333333333328</v>
      </c>
      <c r="AC10" s="2">
        <v>3.2333333333333329</v>
      </c>
      <c r="AD10" s="2">
        <v>3.6333333333333329</v>
      </c>
      <c r="AE10" s="2">
        <v>3.5333333333333328</v>
      </c>
      <c r="AF10" s="2">
        <v>4.3666666666666654</v>
      </c>
      <c r="AG10" s="2">
        <v>4.4333333333333318</v>
      </c>
      <c r="AH10" s="2">
        <v>4.6666666666666652</v>
      </c>
      <c r="AI10" s="2">
        <v>5.0666666666666647</v>
      </c>
      <c r="AJ10" s="2">
        <v>5.0666666666666647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33</v>
      </c>
      <c r="D11" s="2">
        <v>0</v>
      </c>
      <c r="E11" s="2">
        <v>1.2000000000000002</v>
      </c>
      <c r="F11" s="2">
        <v>1.7999999999999998</v>
      </c>
      <c r="G11" s="2">
        <v>3.2</v>
      </c>
      <c r="H11" s="2">
        <v>4.2</v>
      </c>
      <c r="I11" s="2">
        <v>5</v>
      </c>
      <c r="J11" s="2">
        <v>6.6</v>
      </c>
      <c r="K11" s="2">
        <v>7.3999999999999995</v>
      </c>
      <c r="L11" s="2">
        <v>7.3999999999999995</v>
      </c>
      <c r="M11" s="2">
        <v>8.3999999999999986</v>
      </c>
      <c r="N11" s="2">
        <v>9.5999999999999979</v>
      </c>
      <c r="O11" s="2">
        <v>9.7999999999999972</v>
      </c>
      <c r="P11" s="2">
        <v>10.999999999999996</v>
      </c>
      <c r="Q11" s="2">
        <v>12.199999999999996</v>
      </c>
      <c r="R11" s="2">
        <v>12.399999999999995</v>
      </c>
      <c r="S11" s="2">
        <v>13.799999999999995</v>
      </c>
      <c r="T11" s="2">
        <v>14.199999999999996</v>
      </c>
      <c r="U11" s="2">
        <v>14.999999999999996</v>
      </c>
      <c r="V11" s="2">
        <v>15.199999999999996</v>
      </c>
      <c r="W11" s="2">
        <v>16.399999999999995</v>
      </c>
      <c r="X11" s="2">
        <v>16.599999999999994</v>
      </c>
      <c r="Y11" s="2">
        <v>17.599999999999994</v>
      </c>
      <c r="Z11" s="2">
        <v>18.999999999999993</v>
      </c>
      <c r="AA11" s="2">
        <v>19.799999999999994</v>
      </c>
      <c r="AB11" s="2">
        <v>19.999999999999993</v>
      </c>
      <c r="AC11" s="2">
        <v>21.199999999999992</v>
      </c>
      <c r="AD11" s="2">
        <v>21.999999999999993</v>
      </c>
      <c r="AE11" s="2">
        <v>21.999999999999993</v>
      </c>
      <c r="AF11" s="2">
        <v>23.999999999999993</v>
      </c>
      <c r="AG11" s="2">
        <v>24.199999999999992</v>
      </c>
      <c r="AH11" s="2">
        <v>24.999999999999993</v>
      </c>
      <c r="AI11" s="2">
        <v>25.999999999999993</v>
      </c>
      <c r="AJ11" s="2">
        <v>26.399999999999991</v>
      </c>
      <c r="AK11" s="2">
        <v>27.40499999999999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32</v>
      </c>
      <c r="D12" s="2">
        <v>0</v>
      </c>
      <c r="E12" s="2">
        <v>-0.60000000000000009</v>
      </c>
      <c r="F12" s="2">
        <v>-1.6</v>
      </c>
      <c r="G12" s="2">
        <v>-1.0000000000000004</v>
      </c>
      <c r="H12" s="2">
        <v>-1.4000000000000004</v>
      </c>
      <c r="I12" s="2">
        <v>-1.8000000000000003</v>
      </c>
      <c r="J12" s="2">
        <v>-2.0000000000000004</v>
      </c>
      <c r="K12" s="2">
        <v>-2.6000000000000005</v>
      </c>
      <c r="L12" s="2">
        <v>-3.0000000000000004</v>
      </c>
      <c r="M12" s="2">
        <v>-3.4000000000000004</v>
      </c>
      <c r="N12" s="2">
        <v>-3.4000000000000004</v>
      </c>
      <c r="O12" s="2">
        <v>-3.2</v>
      </c>
      <c r="P12" s="2">
        <v>-2.8</v>
      </c>
      <c r="Q12" s="2">
        <v>-3.5999999999999996</v>
      </c>
      <c r="R12" s="2">
        <v>-4.1999999999999993</v>
      </c>
      <c r="S12" s="2">
        <v>-3.5999999999999992</v>
      </c>
      <c r="T12" s="2">
        <v>-3.9999999999999991</v>
      </c>
      <c r="U12" s="2">
        <v>-4.5999999999999996</v>
      </c>
      <c r="V12" s="2">
        <v>-4.1999999999999993</v>
      </c>
      <c r="W12" s="2">
        <v>-3.5999999999999996</v>
      </c>
      <c r="X12" s="2">
        <v>-3.9999999999999996</v>
      </c>
      <c r="Y12" s="2">
        <v>-4.3999999999999995</v>
      </c>
      <c r="Z12" s="2">
        <v>-5.1999999999999993</v>
      </c>
      <c r="AA12" s="2">
        <v>-5.6</v>
      </c>
      <c r="AB12" s="2">
        <v>-5.6</v>
      </c>
      <c r="AC12" s="2">
        <v>-5.8</v>
      </c>
      <c r="AD12" s="2">
        <v>-5.4</v>
      </c>
      <c r="AE12" s="2">
        <v>-5.6000000000000005</v>
      </c>
      <c r="AF12" s="2">
        <v>-5.6000000000000005</v>
      </c>
      <c r="AG12" s="2">
        <v>-6</v>
      </c>
      <c r="AH12" s="2">
        <v>-5.8</v>
      </c>
      <c r="AI12" s="2">
        <v>-5.8</v>
      </c>
      <c r="AJ12" s="2">
        <v>-6.1999999999999993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189</v>
      </c>
      <c r="B13" s="2">
        <v>76</v>
      </c>
      <c r="C13" s="2">
        <v>33</v>
      </c>
      <c r="D13" s="2">
        <v>0</v>
      </c>
      <c r="E13" s="2">
        <v>0</v>
      </c>
      <c r="F13" s="2">
        <v>0</v>
      </c>
      <c r="G13" s="2">
        <v>1</v>
      </c>
      <c r="H13" s="2">
        <v>2</v>
      </c>
      <c r="I13" s="2">
        <v>3</v>
      </c>
      <c r="J13" s="2">
        <v>4</v>
      </c>
      <c r="K13" s="2">
        <v>5</v>
      </c>
      <c r="L13" s="2">
        <v>5</v>
      </c>
      <c r="M13" s="2">
        <v>8</v>
      </c>
      <c r="N13" s="2">
        <v>9</v>
      </c>
      <c r="O13" s="2">
        <v>9</v>
      </c>
      <c r="P13" s="2">
        <v>11</v>
      </c>
      <c r="Q13" s="2">
        <v>11</v>
      </c>
      <c r="R13" s="2">
        <v>11</v>
      </c>
      <c r="S13" s="2">
        <v>11</v>
      </c>
      <c r="T13" s="2">
        <v>11</v>
      </c>
      <c r="U13" s="2">
        <v>11</v>
      </c>
      <c r="V13" s="2">
        <v>11</v>
      </c>
      <c r="W13" s="2">
        <v>12</v>
      </c>
      <c r="X13" s="2">
        <v>12</v>
      </c>
      <c r="Y13" s="2">
        <v>14</v>
      </c>
      <c r="Z13" s="2">
        <v>15</v>
      </c>
      <c r="AA13" s="2">
        <v>15</v>
      </c>
      <c r="AB13" s="2">
        <v>15</v>
      </c>
      <c r="AC13" s="2">
        <v>16</v>
      </c>
      <c r="AD13" s="2">
        <v>17</v>
      </c>
      <c r="AE13" s="2">
        <v>17</v>
      </c>
      <c r="AF13" s="2">
        <v>18</v>
      </c>
      <c r="AG13" s="2">
        <v>18</v>
      </c>
      <c r="AH13" s="2">
        <v>17</v>
      </c>
      <c r="AI13" s="2">
        <v>17</v>
      </c>
      <c r="AJ13" s="2">
        <v>17</v>
      </c>
      <c r="AK13" s="2">
        <v>18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188</v>
      </c>
      <c r="B14" s="2">
        <v>61</v>
      </c>
      <c r="C14" s="2">
        <v>32</v>
      </c>
      <c r="D14" s="2">
        <v>0</v>
      </c>
      <c r="E14" s="2">
        <v>-1</v>
      </c>
      <c r="F14" s="2">
        <v>-2</v>
      </c>
      <c r="G14" s="2">
        <v>-1</v>
      </c>
      <c r="H14" s="2">
        <v>-2</v>
      </c>
      <c r="I14" s="2">
        <v>-3</v>
      </c>
      <c r="J14" s="2">
        <v>-2</v>
      </c>
      <c r="K14" s="2">
        <v>-2</v>
      </c>
      <c r="L14" s="2">
        <v>-2</v>
      </c>
      <c r="M14" s="2">
        <v>-2</v>
      </c>
      <c r="N14" s="2">
        <v>-2</v>
      </c>
      <c r="O14" s="2">
        <v>-2</v>
      </c>
      <c r="P14" s="2">
        <v>-3</v>
      </c>
      <c r="Q14" s="2">
        <v>-5</v>
      </c>
      <c r="R14" s="2">
        <v>-6</v>
      </c>
      <c r="S14" s="2">
        <v>-6</v>
      </c>
      <c r="T14" s="2">
        <v>-7</v>
      </c>
      <c r="U14" s="2">
        <v>-8</v>
      </c>
      <c r="V14" s="2">
        <v>-7</v>
      </c>
      <c r="W14" s="2">
        <v>-6</v>
      </c>
      <c r="X14" s="2">
        <v>-7</v>
      </c>
      <c r="Y14" s="2">
        <v>-8</v>
      </c>
      <c r="Z14" s="2">
        <v>-9</v>
      </c>
      <c r="AA14" s="2">
        <v>-10</v>
      </c>
      <c r="AB14" s="2">
        <v>-10</v>
      </c>
      <c r="AC14" s="2">
        <v>-10</v>
      </c>
      <c r="AD14" s="2">
        <v>-9</v>
      </c>
      <c r="AE14" s="2">
        <v>-9</v>
      </c>
      <c r="AF14" s="2">
        <v>-9</v>
      </c>
      <c r="AG14" s="2">
        <v>-10</v>
      </c>
      <c r="AH14" s="2">
        <v>-9</v>
      </c>
      <c r="AI14" s="2">
        <v>-8</v>
      </c>
      <c r="AJ14" s="2">
        <v>-8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764</v>
      </c>
      <c r="B15" s="2">
        <v>91</v>
      </c>
      <c r="C15">
        <v>32</v>
      </c>
      <c r="D15" s="2">
        <v>0</v>
      </c>
      <c r="E15" s="2">
        <v>-1</v>
      </c>
      <c r="F15" s="2">
        <v>-2</v>
      </c>
      <c r="G15" s="2">
        <v>-1</v>
      </c>
      <c r="H15" s="2">
        <v>-2</v>
      </c>
      <c r="I15" s="2">
        <v>-3</v>
      </c>
      <c r="J15" s="2">
        <v>-2</v>
      </c>
      <c r="K15" s="2">
        <v>-2</v>
      </c>
      <c r="L15" s="2">
        <v>-2</v>
      </c>
      <c r="M15" s="2">
        <v>-2</v>
      </c>
      <c r="N15" s="2">
        <v>-2</v>
      </c>
      <c r="O15" s="2">
        <v>-2</v>
      </c>
      <c r="P15" s="2">
        <v>-3</v>
      </c>
      <c r="Q15" s="2">
        <v>-5</v>
      </c>
      <c r="R15" s="2">
        <v>-6</v>
      </c>
      <c r="S15" s="2">
        <v>-6</v>
      </c>
      <c r="T15" s="2">
        <v>-7</v>
      </c>
      <c r="U15" s="2">
        <v>-8</v>
      </c>
      <c r="V15" s="2">
        <v>-7</v>
      </c>
      <c r="W15" s="2">
        <v>-6</v>
      </c>
      <c r="X15" s="2">
        <v>-7</v>
      </c>
      <c r="Y15" s="2">
        <v>-8</v>
      </c>
      <c r="Z15" s="2">
        <v>-9</v>
      </c>
      <c r="AA15" s="2">
        <v>-10</v>
      </c>
      <c r="AB15" s="2">
        <v>-10</v>
      </c>
      <c r="AC15" s="2">
        <v>-10</v>
      </c>
      <c r="AD15" s="2">
        <v>-9</v>
      </c>
      <c r="AE15" s="2">
        <v>-9</v>
      </c>
      <c r="AF15" s="2">
        <v>-9</v>
      </c>
      <c r="AG15" s="2">
        <v>-10</v>
      </c>
      <c r="AH15" s="2">
        <v>-9</v>
      </c>
      <c r="AI15" s="2">
        <v>-8</v>
      </c>
      <c r="AJ15" s="2">
        <v>-8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772</v>
      </c>
      <c r="B16" s="2">
        <v>92</v>
      </c>
      <c r="C16" s="2">
        <v>32</v>
      </c>
      <c r="D16" s="2">
        <v>0</v>
      </c>
      <c r="E16" s="2">
        <v>-1</v>
      </c>
      <c r="F16" s="2">
        <v>-1</v>
      </c>
      <c r="G16" s="2">
        <v>0</v>
      </c>
      <c r="H16" s="2">
        <v>-1</v>
      </c>
      <c r="I16" s="2">
        <v>-1</v>
      </c>
      <c r="J16" s="2">
        <v>-1</v>
      </c>
      <c r="K16" s="2">
        <v>-2</v>
      </c>
      <c r="L16" s="2">
        <v>-2</v>
      </c>
      <c r="M16" s="2">
        <v>-2</v>
      </c>
      <c r="N16" s="2">
        <v>-1</v>
      </c>
      <c r="O16" s="2">
        <v>-2</v>
      </c>
      <c r="P16" s="2">
        <v>-2</v>
      </c>
      <c r="Q16" s="2">
        <v>-2</v>
      </c>
      <c r="R16" s="2">
        <v>-3</v>
      </c>
      <c r="S16" s="2">
        <v>-3</v>
      </c>
      <c r="T16" s="2">
        <v>-4</v>
      </c>
      <c r="U16" s="2">
        <v>-5</v>
      </c>
      <c r="V16" s="2">
        <v>-5</v>
      </c>
      <c r="W16" s="2">
        <v>-4</v>
      </c>
      <c r="X16" s="2">
        <v>-4</v>
      </c>
      <c r="Y16" s="2">
        <v>-4</v>
      </c>
      <c r="Z16" s="2">
        <v>-4</v>
      </c>
      <c r="AA16" s="2">
        <v>-4</v>
      </c>
      <c r="AB16" s="2">
        <v>-4</v>
      </c>
      <c r="AC16" s="2">
        <v>-5</v>
      </c>
      <c r="AD16" s="2">
        <v>-5</v>
      </c>
      <c r="AE16" s="2">
        <v>-5</v>
      </c>
      <c r="AF16" s="2">
        <v>-2</v>
      </c>
      <c r="AG16" s="2">
        <v>-2</v>
      </c>
      <c r="AH16" s="2">
        <v>-1</v>
      </c>
      <c r="AI16" s="2">
        <v>0</v>
      </c>
      <c r="AJ16" s="2">
        <v>0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588</v>
      </c>
      <c r="B17" s="2">
        <v>93</v>
      </c>
      <c r="C17" s="2">
        <v>32</v>
      </c>
      <c r="D17" s="2">
        <v>0</v>
      </c>
      <c r="E17" s="2">
        <v>-1</v>
      </c>
      <c r="F17" s="2">
        <v>0</v>
      </c>
      <c r="G17" s="2">
        <v>1</v>
      </c>
      <c r="H17" s="2">
        <v>1</v>
      </c>
      <c r="I17" s="2">
        <v>1</v>
      </c>
      <c r="J17" s="2">
        <v>1</v>
      </c>
      <c r="K17" s="2">
        <v>1</v>
      </c>
      <c r="L17" s="2">
        <v>1</v>
      </c>
      <c r="M17" s="2">
        <v>1</v>
      </c>
      <c r="N17" s="2">
        <v>1</v>
      </c>
      <c r="O17" s="2">
        <v>0</v>
      </c>
      <c r="P17" s="2">
        <v>0</v>
      </c>
      <c r="Q17" s="2">
        <v>1</v>
      </c>
      <c r="R17" s="2">
        <v>1</v>
      </c>
      <c r="S17" s="2">
        <v>1</v>
      </c>
      <c r="T17" s="2">
        <v>2</v>
      </c>
      <c r="U17" s="2">
        <v>1</v>
      </c>
      <c r="V17" s="2">
        <v>3</v>
      </c>
      <c r="W17" s="2">
        <v>4</v>
      </c>
      <c r="X17" s="2">
        <v>6</v>
      </c>
      <c r="Y17" s="2">
        <v>6</v>
      </c>
      <c r="Z17" s="2">
        <v>7</v>
      </c>
      <c r="AA17" s="2">
        <v>9</v>
      </c>
      <c r="AB17" s="2">
        <v>10</v>
      </c>
      <c r="AC17" s="2">
        <v>11</v>
      </c>
      <c r="AD17" s="2">
        <v>13</v>
      </c>
      <c r="AE17" s="2">
        <v>13</v>
      </c>
      <c r="AF17" s="2">
        <v>13</v>
      </c>
      <c r="AG17" s="2">
        <v>13</v>
      </c>
      <c r="AH17" s="2">
        <v>12</v>
      </c>
      <c r="AI17" s="2">
        <v>13</v>
      </c>
      <c r="AJ17" s="2">
        <v>12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773</v>
      </c>
      <c r="B18" s="2">
        <v>94</v>
      </c>
      <c r="C18" s="2">
        <v>32</v>
      </c>
      <c r="D18" s="2">
        <v>0</v>
      </c>
      <c r="E18" s="2">
        <v>0</v>
      </c>
      <c r="F18" s="2">
        <v>1</v>
      </c>
      <c r="G18" s="2">
        <v>4</v>
      </c>
      <c r="H18" s="2">
        <v>4</v>
      </c>
      <c r="I18" s="2">
        <v>5</v>
      </c>
      <c r="J18" s="2">
        <v>5</v>
      </c>
      <c r="K18" s="2">
        <v>6</v>
      </c>
      <c r="L18" s="2">
        <v>6</v>
      </c>
      <c r="M18" s="2">
        <v>7</v>
      </c>
      <c r="N18" s="2">
        <v>9</v>
      </c>
      <c r="O18" s="2">
        <v>10</v>
      </c>
      <c r="P18" s="2">
        <v>12</v>
      </c>
      <c r="Q18" s="2">
        <v>13</v>
      </c>
      <c r="R18" s="2">
        <v>15</v>
      </c>
      <c r="S18" s="2">
        <v>18</v>
      </c>
      <c r="T18" s="2">
        <v>20</v>
      </c>
      <c r="U18" s="2">
        <v>22</v>
      </c>
      <c r="V18" s="2">
        <v>24</v>
      </c>
      <c r="W18" s="2">
        <v>25</v>
      </c>
      <c r="X18" s="2">
        <v>26</v>
      </c>
      <c r="Y18" s="2">
        <v>26</v>
      </c>
      <c r="Z18" s="2">
        <v>28</v>
      </c>
      <c r="AA18" s="2">
        <v>30</v>
      </c>
      <c r="AB18" s="2">
        <v>31</v>
      </c>
      <c r="AC18" s="2">
        <v>34</v>
      </c>
      <c r="AD18" s="2">
        <v>35</v>
      </c>
      <c r="AE18" s="2">
        <v>35</v>
      </c>
      <c r="AF18" s="2">
        <v>39</v>
      </c>
      <c r="AG18" s="2">
        <v>42</v>
      </c>
      <c r="AH18" s="2">
        <v>42</v>
      </c>
      <c r="AI18" s="2">
        <v>44</v>
      </c>
      <c r="AJ18" s="2">
        <v>45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0</v>
      </c>
      <c r="B19" s="2">
        <v>95</v>
      </c>
      <c r="C19" s="2">
        <v>32</v>
      </c>
      <c r="D19" s="2">
        <v>0</v>
      </c>
      <c r="E19" s="2">
        <v>-1</v>
      </c>
      <c r="F19" s="2">
        <v>-2</v>
      </c>
      <c r="G19" s="2">
        <v>-1</v>
      </c>
      <c r="H19" s="2">
        <v>-1</v>
      </c>
      <c r="I19" s="2">
        <v>-2</v>
      </c>
      <c r="J19" s="2">
        <v>-3</v>
      </c>
      <c r="K19" s="2">
        <v>-4</v>
      </c>
      <c r="L19" s="2">
        <v>-5</v>
      </c>
      <c r="M19" s="2">
        <v>-6</v>
      </c>
      <c r="N19" s="2">
        <v>-5</v>
      </c>
      <c r="O19" s="2">
        <v>-4</v>
      </c>
      <c r="P19" s="2">
        <v>-3</v>
      </c>
      <c r="Q19" s="2">
        <v>-3</v>
      </c>
      <c r="R19" s="2">
        <v>-4</v>
      </c>
      <c r="S19" s="2">
        <v>-3</v>
      </c>
      <c r="T19" s="2">
        <v>-3</v>
      </c>
      <c r="U19" s="2">
        <v>-4</v>
      </c>
      <c r="V19" s="2">
        <v>-4</v>
      </c>
      <c r="W19" s="2">
        <v>-4</v>
      </c>
      <c r="X19" s="2">
        <v>-4</v>
      </c>
      <c r="Y19" s="2">
        <v>-4</v>
      </c>
      <c r="Z19" s="2">
        <v>-5</v>
      </c>
      <c r="AA19" s="2">
        <v>-5</v>
      </c>
      <c r="AB19" s="2">
        <v>-5</v>
      </c>
      <c r="AC19" s="2">
        <v>-5</v>
      </c>
      <c r="AD19" s="2">
        <v>-5</v>
      </c>
      <c r="AE19" s="2">
        <v>-5</v>
      </c>
      <c r="AF19" s="2">
        <v>-4</v>
      </c>
      <c r="AG19" s="2">
        <v>-5</v>
      </c>
      <c r="AH19" s="2">
        <v>-4</v>
      </c>
      <c r="AI19" s="2">
        <v>-4</v>
      </c>
      <c r="AJ19" s="2">
        <v>-5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428</v>
      </c>
      <c r="B20" s="2">
        <v>96</v>
      </c>
      <c r="C20" s="2">
        <v>32</v>
      </c>
      <c r="D20" s="2">
        <v>0</v>
      </c>
      <c r="E20" s="2">
        <v>0</v>
      </c>
      <c r="F20" s="2">
        <v>0</v>
      </c>
      <c r="G20" s="2">
        <v>1</v>
      </c>
      <c r="H20" s="2">
        <v>1</v>
      </c>
      <c r="I20" s="2">
        <v>0</v>
      </c>
      <c r="J20" s="2">
        <v>1</v>
      </c>
      <c r="K20" s="2">
        <v>1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0</v>
      </c>
      <c r="R20" s="2">
        <v>1</v>
      </c>
      <c r="S20" s="2">
        <v>1</v>
      </c>
      <c r="T20" s="2">
        <v>2</v>
      </c>
      <c r="U20" s="2">
        <v>1</v>
      </c>
      <c r="V20" s="2">
        <v>1</v>
      </c>
      <c r="W20" s="2">
        <v>2</v>
      </c>
      <c r="X20" s="2">
        <v>1</v>
      </c>
      <c r="Y20" s="2">
        <v>1</v>
      </c>
      <c r="Z20" s="2">
        <v>0</v>
      </c>
      <c r="AA20" s="2">
        <v>0</v>
      </c>
      <c r="AB20" s="2">
        <v>1</v>
      </c>
      <c r="AC20" s="2">
        <v>1</v>
      </c>
      <c r="AD20" s="2">
        <v>1</v>
      </c>
      <c r="AE20" s="2">
        <v>1</v>
      </c>
      <c r="AF20" s="2">
        <v>2</v>
      </c>
      <c r="AG20" s="2">
        <v>2</v>
      </c>
      <c r="AH20" s="2">
        <v>3</v>
      </c>
      <c r="AI20" s="2">
        <v>2</v>
      </c>
      <c r="AJ20" s="2">
        <v>2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206</v>
      </c>
      <c r="B21" s="2">
        <v>97</v>
      </c>
      <c r="C21" s="2">
        <v>33</v>
      </c>
      <c r="D21" s="2">
        <v>0</v>
      </c>
      <c r="E21" s="2">
        <v>2</v>
      </c>
      <c r="F21" s="2">
        <v>2</v>
      </c>
      <c r="G21" s="2">
        <v>3</v>
      </c>
      <c r="H21" s="2">
        <v>3</v>
      </c>
      <c r="I21" s="2">
        <v>3</v>
      </c>
      <c r="J21" s="2">
        <v>4</v>
      </c>
      <c r="K21" s="2">
        <v>4</v>
      </c>
      <c r="L21" s="2">
        <v>5</v>
      </c>
      <c r="M21" s="2">
        <v>6</v>
      </c>
      <c r="N21" s="2">
        <v>7</v>
      </c>
      <c r="O21" s="2">
        <v>7</v>
      </c>
      <c r="P21" s="2">
        <v>7</v>
      </c>
      <c r="Q21" s="2">
        <v>9</v>
      </c>
      <c r="R21" s="2">
        <v>9</v>
      </c>
      <c r="S21" s="2">
        <v>12</v>
      </c>
      <c r="T21" s="2">
        <v>11</v>
      </c>
      <c r="U21" s="2">
        <v>11</v>
      </c>
      <c r="V21" s="2">
        <v>12</v>
      </c>
      <c r="W21" s="2">
        <v>12</v>
      </c>
      <c r="X21" s="2">
        <v>12</v>
      </c>
      <c r="Y21" s="2">
        <v>12</v>
      </c>
      <c r="Z21" s="2">
        <v>12</v>
      </c>
      <c r="AA21" s="2">
        <v>12</v>
      </c>
      <c r="AB21" s="2">
        <v>12</v>
      </c>
      <c r="AC21" s="2">
        <v>12</v>
      </c>
      <c r="AD21" s="2">
        <v>13</v>
      </c>
      <c r="AE21" s="2">
        <v>13</v>
      </c>
      <c r="AF21" s="2">
        <v>14</v>
      </c>
      <c r="AG21" s="2">
        <v>15</v>
      </c>
      <c r="AH21" s="2">
        <v>16</v>
      </c>
      <c r="AI21" s="2">
        <v>17</v>
      </c>
      <c r="AJ21" s="2">
        <v>17</v>
      </c>
      <c r="AK21" s="2">
        <v>18.009999999999998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591</v>
      </c>
      <c r="B22" s="2">
        <v>98</v>
      </c>
      <c r="C22" s="2">
        <v>32</v>
      </c>
      <c r="D22" s="2">
        <v>0</v>
      </c>
      <c r="E22" s="2">
        <v>0</v>
      </c>
      <c r="F22" s="2">
        <v>0</v>
      </c>
      <c r="G22" s="2">
        <v>2</v>
      </c>
      <c r="H22" s="2">
        <v>2</v>
      </c>
      <c r="I22" s="2">
        <v>3</v>
      </c>
      <c r="J22" s="2">
        <v>7</v>
      </c>
      <c r="K22" s="2">
        <v>8</v>
      </c>
      <c r="L22" s="2">
        <v>8</v>
      </c>
      <c r="M22" s="2">
        <v>9</v>
      </c>
      <c r="N22" s="2">
        <v>10</v>
      </c>
      <c r="O22" s="2">
        <v>10</v>
      </c>
      <c r="P22" s="2">
        <v>10</v>
      </c>
      <c r="Q22" s="2">
        <v>12</v>
      </c>
      <c r="R22" s="2">
        <v>13</v>
      </c>
      <c r="S22" s="2">
        <v>13</v>
      </c>
      <c r="T22" s="2">
        <v>13</v>
      </c>
      <c r="U22" s="2">
        <v>13</v>
      </c>
      <c r="V22" s="2">
        <v>13</v>
      </c>
      <c r="W22" s="2">
        <v>15</v>
      </c>
      <c r="X22" s="2">
        <v>15</v>
      </c>
      <c r="Y22" s="2">
        <v>16</v>
      </c>
      <c r="Z22" s="2">
        <v>17</v>
      </c>
      <c r="AA22" s="2">
        <v>19</v>
      </c>
      <c r="AB22" s="2">
        <v>20</v>
      </c>
      <c r="AC22" s="2">
        <v>23</v>
      </c>
      <c r="AD22" s="2">
        <v>23</v>
      </c>
      <c r="AE22" s="2">
        <v>23</v>
      </c>
      <c r="AF22" s="2">
        <v>25</v>
      </c>
      <c r="AG22" s="2">
        <v>26</v>
      </c>
      <c r="AH22" s="2">
        <v>25</v>
      </c>
      <c r="AI22" s="2">
        <v>26</v>
      </c>
      <c r="AJ22" s="2">
        <v>27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331</v>
      </c>
      <c r="B23" s="2">
        <v>99</v>
      </c>
      <c r="C23" s="2">
        <v>15</v>
      </c>
      <c r="D23" s="2">
        <v>0</v>
      </c>
      <c r="E23" s="2">
        <v>-1</v>
      </c>
      <c r="F23" s="2" t="e">
        <v>#N/A</v>
      </c>
      <c r="G23" s="2">
        <v>1</v>
      </c>
      <c r="H23" s="2">
        <v>0</v>
      </c>
      <c r="I23" s="2">
        <v>0</v>
      </c>
      <c r="J23" s="2">
        <v>0</v>
      </c>
      <c r="K23" s="2">
        <v>1</v>
      </c>
      <c r="L23" s="2">
        <v>1</v>
      </c>
      <c r="M23" s="2">
        <v>2</v>
      </c>
      <c r="N23" s="2">
        <v>4</v>
      </c>
      <c r="O23" s="2">
        <v>3</v>
      </c>
      <c r="P23" s="2">
        <v>5</v>
      </c>
      <c r="Q23" s="2">
        <v>4</v>
      </c>
      <c r="R23" s="2">
        <v>5</v>
      </c>
      <c r="S23" s="2">
        <v>5</v>
      </c>
      <c r="T23" s="2">
        <v>5</v>
      </c>
      <c r="U23" s="2" t="e">
        <v>#N/A</v>
      </c>
      <c r="V23" s="2" t="e">
        <v>#N/A</v>
      </c>
      <c r="W23" s="2" t="e">
        <v>#N/A</v>
      </c>
      <c r="X23" s="2" t="e">
        <v>#N/A</v>
      </c>
      <c r="Y23" s="2" t="e">
        <v>#N/A</v>
      </c>
      <c r="Z23" s="2" t="e">
        <v>#N/A</v>
      </c>
      <c r="AA23" s="2" t="e">
        <v>#N/A</v>
      </c>
      <c r="AB23" s="2" t="e">
        <v>#N/A</v>
      </c>
      <c r="AC23" s="2" t="e">
        <v>#N/A</v>
      </c>
      <c r="AD23" s="2" t="e">
        <v>#N/A</v>
      </c>
      <c r="AE23" s="2" t="e">
        <v>#N/A</v>
      </c>
      <c r="AF23" s="2" t="e">
        <v>#N/A</v>
      </c>
      <c r="AG23" s="2" t="e">
        <v>#N/A</v>
      </c>
      <c r="AH23" s="2" t="e">
        <v>#N/A</v>
      </c>
      <c r="AI23" s="2" t="e">
        <v>#N/A</v>
      </c>
      <c r="AJ23" s="2" t="e">
        <v>#N/A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767</v>
      </c>
      <c r="B24" s="2">
        <v>100</v>
      </c>
      <c r="C24" s="2">
        <v>32</v>
      </c>
      <c r="D24" s="2">
        <v>0</v>
      </c>
      <c r="E24" s="2">
        <v>-1</v>
      </c>
      <c r="F24" s="2">
        <v>-2</v>
      </c>
      <c r="G24" s="2">
        <v>-2</v>
      </c>
      <c r="H24" s="2">
        <v>-2</v>
      </c>
      <c r="I24" s="2">
        <v>-1</v>
      </c>
      <c r="J24" s="2">
        <v>-2</v>
      </c>
      <c r="K24" s="2">
        <v>-2</v>
      </c>
      <c r="L24" s="2">
        <v>-3</v>
      </c>
      <c r="M24" s="2">
        <v>-4</v>
      </c>
      <c r="N24" s="2">
        <v>-3</v>
      </c>
      <c r="O24" s="2">
        <v>-3</v>
      </c>
      <c r="P24" s="2">
        <v>0</v>
      </c>
      <c r="Q24" s="2">
        <v>1</v>
      </c>
      <c r="R24" s="2">
        <v>1</v>
      </c>
      <c r="S24" s="2">
        <v>1</v>
      </c>
      <c r="T24" s="2">
        <v>0</v>
      </c>
      <c r="U24" s="2">
        <v>-1</v>
      </c>
      <c r="V24" s="2">
        <v>-2</v>
      </c>
      <c r="W24" s="2">
        <v>-1</v>
      </c>
      <c r="X24" s="2">
        <v>-1</v>
      </c>
      <c r="Y24" s="2">
        <v>-1</v>
      </c>
      <c r="Z24" s="2">
        <v>-1</v>
      </c>
      <c r="AA24" s="2">
        <v>-1</v>
      </c>
      <c r="AB24" s="2">
        <v>-1</v>
      </c>
      <c r="AC24" s="2">
        <v>-1</v>
      </c>
      <c r="AD24" s="2">
        <v>-1</v>
      </c>
      <c r="AE24" s="2">
        <v>-1</v>
      </c>
      <c r="AF24" s="2">
        <v>-2</v>
      </c>
      <c r="AG24" s="2">
        <v>-2</v>
      </c>
      <c r="AH24" s="2">
        <v>-2</v>
      </c>
      <c r="AI24" s="2">
        <v>-2</v>
      </c>
      <c r="AJ24" s="2">
        <v>-2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769</v>
      </c>
      <c r="B25" s="2">
        <v>101</v>
      </c>
      <c r="C25" s="2">
        <v>33</v>
      </c>
      <c r="D25" s="2">
        <v>0</v>
      </c>
      <c r="E25" s="2">
        <v>0</v>
      </c>
      <c r="F25" s="2">
        <v>0</v>
      </c>
      <c r="G25" s="2">
        <v>1</v>
      </c>
      <c r="H25" s="2">
        <v>2</v>
      </c>
      <c r="I25" s="2">
        <v>3</v>
      </c>
      <c r="J25" s="2">
        <v>4</v>
      </c>
      <c r="K25" s="2">
        <v>5</v>
      </c>
      <c r="L25" s="2">
        <v>5</v>
      </c>
      <c r="M25" s="2">
        <v>8</v>
      </c>
      <c r="N25" s="2">
        <v>9</v>
      </c>
      <c r="O25" s="2">
        <v>9</v>
      </c>
      <c r="P25" s="2">
        <v>11</v>
      </c>
      <c r="Q25" s="2">
        <v>11</v>
      </c>
      <c r="R25" s="2">
        <v>11</v>
      </c>
      <c r="S25" s="2">
        <v>11</v>
      </c>
      <c r="T25" s="2">
        <v>11</v>
      </c>
      <c r="U25" s="2">
        <v>11</v>
      </c>
      <c r="V25" s="2">
        <v>11</v>
      </c>
      <c r="W25" s="2">
        <v>12</v>
      </c>
      <c r="X25" s="2">
        <v>12</v>
      </c>
      <c r="Y25" s="2">
        <v>14</v>
      </c>
      <c r="Z25" s="2">
        <v>15</v>
      </c>
      <c r="AA25" s="2">
        <v>15</v>
      </c>
      <c r="AB25" s="2">
        <v>15</v>
      </c>
      <c r="AC25" s="2">
        <v>16</v>
      </c>
      <c r="AD25" s="2">
        <v>17</v>
      </c>
      <c r="AE25" s="2">
        <v>17</v>
      </c>
      <c r="AF25" s="2">
        <v>18</v>
      </c>
      <c r="AG25" s="2">
        <v>18</v>
      </c>
      <c r="AH25" s="2">
        <v>17</v>
      </c>
      <c r="AI25" s="2">
        <v>17</v>
      </c>
      <c r="AJ25" s="2">
        <v>17</v>
      </c>
      <c r="AK25" s="2">
        <v>18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774</v>
      </c>
      <c r="B26" s="2">
        <v>102</v>
      </c>
      <c r="C26" s="2">
        <v>32</v>
      </c>
      <c r="D26" s="2">
        <v>0</v>
      </c>
      <c r="E26" s="2">
        <v>0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2</v>
      </c>
      <c r="N26" s="2">
        <v>3</v>
      </c>
      <c r="O26" s="2">
        <v>3</v>
      </c>
      <c r="P26" s="2">
        <v>4</v>
      </c>
      <c r="Q26" s="2">
        <v>4</v>
      </c>
      <c r="R26" s="2">
        <v>5</v>
      </c>
      <c r="S26" s="2">
        <v>5</v>
      </c>
      <c r="T26" s="2">
        <v>6</v>
      </c>
      <c r="U26" s="2">
        <v>8</v>
      </c>
      <c r="V26" s="2">
        <v>8</v>
      </c>
      <c r="W26" s="2">
        <v>10</v>
      </c>
      <c r="X26" s="2">
        <v>10</v>
      </c>
      <c r="Y26" s="2">
        <v>11</v>
      </c>
      <c r="Z26" s="2">
        <v>13</v>
      </c>
      <c r="AA26" s="2">
        <v>14</v>
      </c>
      <c r="AB26" s="2">
        <v>14</v>
      </c>
      <c r="AC26" s="2">
        <v>15</v>
      </c>
      <c r="AD26" s="2">
        <v>15</v>
      </c>
      <c r="AE26" s="2">
        <v>15</v>
      </c>
      <c r="AF26" s="2">
        <v>15</v>
      </c>
      <c r="AG26" s="2">
        <v>16</v>
      </c>
      <c r="AH26" s="2">
        <v>15</v>
      </c>
      <c r="AI26" s="2">
        <v>15</v>
      </c>
      <c r="AJ26" s="2">
        <v>15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13</v>
      </c>
      <c r="B27" s="2">
        <v>103</v>
      </c>
      <c r="C27" s="2">
        <v>32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-1</v>
      </c>
      <c r="L27" s="2">
        <v>-1</v>
      </c>
      <c r="M27" s="2">
        <v>-2</v>
      </c>
      <c r="N27" s="2">
        <v>-2</v>
      </c>
      <c r="O27" s="2">
        <v>-3</v>
      </c>
      <c r="P27" s="2">
        <v>-3</v>
      </c>
      <c r="Q27" s="2">
        <v>-4</v>
      </c>
      <c r="R27" s="2">
        <v>-3</v>
      </c>
      <c r="S27" s="2">
        <v>-3</v>
      </c>
      <c r="T27" s="2">
        <v>-4</v>
      </c>
      <c r="U27" s="2">
        <v>-4</v>
      </c>
      <c r="V27" s="2">
        <v>-4</v>
      </c>
      <c r="W27" s="2">
        <v>-3</v>
      </c>
      <c r="X27" s="2">
        <v>-4</v>
      </c>
      <c r="Y27" s="2">
        <v>-2</v>
      </c>
      <c r="Z27" s="2">
        <v>-2</v>
      </c>
      <c r="AA27" s="2">
        <v>-2</v>
      </c>
      <c r="AB27" s="2">
        <v>-3</v>
      </c>
      <c r="AC27" s="2">
        <v>-3</v>
      </c>
      <c r="AD27" s="2">
        <v>-2</v>
      </c>
      <c r="AE27" s="2">
        <v>-2</v>
      </c>
      <c r="AF27" s="2">
        <v>-2</v>
      </c>
      <c r="AG27" s="2">
        <v>-3</v>
      </c>
      <c r="AH27" s="2">
        <v>-3</v>
      </c>
      <c r="AI27" s="2">
        <v>-3</v>
      </c>
      <c r="AJ27" s="2">
        <v>-2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15</v>
      </c>
      <c r="B28" s="2">
        <v>104</v>
      </c>
      <c r="C28" s="2">
        <v>32</v>
      </c>
      <c r="D28" s="2">
        <v>0</v>
      </c>
      <c r="E28" s="2">
        <v>0</v>
      </c>
      <c r="F28" s="2">
        <v>0</v>
      </c>
      <c r="G28" s="2">
        <v>2</v>
      </c>
      <c r="H28" s="2">
        <v>2</v>
      </c>
      <c r="I28" s="2">
        <v>2</v>
      </c>
      <c r="J28" s="2">
        <v>3</v>
      </c>
      <c r="K28" s="2">
        <v>4</v>
      </c>
      <c r="L28" s="2">
        <v>3</v>
      </c>
      <c r="M28" s="2">
        <v>5</v>
      </c>
      <c r="N28" s="2">
        <v>5</v>
      </c>
      <c r="O28" s="2">
        <v>5</v>
      </c>
      <c r="P28" s="2">
        <v>5</v>
      </c>
      <c r="Q28" s="2">
        <v>6</v>
      </c>
      <c r="R28" s="2">
        <v>5</v>
      </c>
      <c r="S28" s="2">
        <v>6</v>
      </c>
      <c r="T28" s="2">
        <v>7</v>
      </c>
      <c r="U28" s="2">
        <v>7</v>
      </c>
      <c r="V28" s="2">
        <v>7</v>
      </c>
      <c r="W28" s="2">
        <v>7</v>
      </c>
      <c r="X28" s="2">
        <v>7</v>
      </c>
      <c r="Y28" s="2">
        <v>7</v>
      </c>
      <c r="Z28" s="2">
        <v>7</v>
      </c>
      <c r="AA28" s="2">
        <v>7</v>
      </c>
      <c r="AB28" s="2">
        <v>7</v>
      </c>
      <c r="AC28" s="2">
        <v>8</v>
      </c>
      <c r="AD28" s="2">
        <v>9</v>
      </c>
      <c r="AE28" s="2">
        <v>9</v>
      </c>
      <c r="AF28" s="2">
        <v>10</v>
      </c>
      <c r="AG28" s="2">
        <v>9</v>
      </c>
      <c r="AH28" s="2">
        <v>10</v>
      </c>
      <c r="AI28" s="2">
        <v>11</v>
      </c>
      <c r="AJ28" s="2">
        <v>12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775</v>
      </c>
      <c r="B29" s="2">
        <v>105</v>
      </c>
      <c r="C29" s="2">
        <v>32</v>
      </c>
      <c r="D29" s="2">
        <v>0</v>
      </c>
      <c r="E29" s="2">
        <v>2</v>
      </c>
      <c r="F29" s="2">
        <v>4</v>
      </c>
      <c r="G29" s="2">
        <v>5</v>
      </c>
      <c r="H29" s="2">
        <v>5</v>
      </c>
      <c r="I29" s="2">
        <v>5</v>
      </c>
      <c r="J29" s="2">
        <v>7</v>
      </c>
      <c r="K29" s="2">
        <v>7</v>
      </c>
      <c r="L29" s="2">
        <v>8</v>
      </c>
      <c r="M29" s="2">
        <v>8</v>
      </c>
      <c r="N29" s="2">
        <v>9</v>
      </c>
      <c r="O29" s="2">
        <v>8</v>
      </c>
      <c r="P29" s="2">
        <v>11</v>
      </c>
      <c r="Q29" s="2">
        <v>14</v>
      </c>
      <c r="R29" s="2">
        <v>15</v>
      </c>
      <c r="S29" s="2">
        <v>15</v>
      </c>
      <c r="T29" s="2">
        <v>15</v>
      </c>
      <c r="U29" s="2">
        <v>17</v>
      </c>
      <c r="V29" s="2">
        <v>17</v>
      </c>
      <c r="W29" s="2">
        <v>21</v>
      </c>
      <c r="X29" s="2">
        <v>21</v>
      </c>
      <c r="Y29" s="2">
        <v>22</v>
      </c>
      <c r="Z29" s="2">
        <v>23</v>
      </c>
      <c r="AA29" s="2">
        <v>23</v>
      </c>
      <c r="AB29" s="2">
        <v>23</v>
      </c>
      <c r="AC29" s="2">
        <v>24</v>
      </c>
      <c r="AD29" s="2">
        <v>24</v>
      </c>
      <c r="AE29" s="2">
        <v>24</v>
      </c>
      <c r="AF29" s="2">
        <v>26</v>
      </c>
      <c r="AG29" s="2">
        <v>26</v>
      </c>
      <c r="AH29" s="2">
        <v>27</v>
      </c>
      <c r="AI29" s="2">
        <v>28</v>
      </c>
      <c r="AJ29" s="2">
        <v>28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634</v>
      </c>
      <c r="B30" s="2">
        <v>106</v>
      </c>
      <c r="C30" s="2">
        <v>32</v>
      </c>
      <c r="D30" s="2">
        <v>0</v>
      </c>
      <c r="E30" s="2">
        <v>1</v>
      </c>
      <c r="F30" s="2">
        <v>4</v>
      </c>
      <c r="G30" s="2">
        <v>6</v>
      </c>
      <c r="H30" s="2">
        <v>8</v>
      </c>
      <c r="I30" s="2">
        <v>9</v>
      </c>
      <c r="J30" s="2">
        <v>10</v>
      </c>
      <c r="K30" s="2">
        <v>11</v>
      </c>
      <c r="L30" s="2">
        <v>11</v>
      </c>
      <c r="M30" s="2">
        <v>12</v>
      </c>
      <c r="N30" s="2">
        <v>13</v>
      </c>
      <c r="O30" s="2">
        <v>13</v>
      </c>
      <c r="P30" s="2">
        <v>14</v>
      </c>
      <c r="Q30" s="2">
        <v>14</v>
      </c>
      <c r="R30" s="2">
        <v>15</v>
      </c>
      <c r="S30" s="2">
        <v>19</v>
      </c>
      <c r="T30" s="2">
        <v>19</v>
      </c>
      <c r="U30" s="2">
        <v>20</v>
      </c>
      <c r="V30" s="2">
        <v>21</v>
      </c>
      <c r="W30" s="2">
        <v>26</v>
      </c>
      <c r="X30" s="2">
        <v>27</v>
      </c>
      <c r="Y30" s="2">
        <v>29</v>
      </c>
      <c r="Z30" s="2">
        <v>31</v>
      </c>
      <c r="AA30" s="2">
        <v>31</v>
      </c>
      <c r="AB30" s="2">
        <v>32</v>
      </c>
      <c r="AC30" s="2">
        <v>33</v>
      </c>
      <c r="AD30" s="2">
        <v>35</v>
      </c>
      <c r="AE30" s="2">
        <v>36</v>
      </c>
      <c r="AF30" s="2">
        <v>38</v>
      </c>
      <c r="AG30" s="2">
        <v>39</v>
      </c>
      <c r="AH30" s="2">
        <v>40</v>
      </c>
      <c r="AI30" s="2">
        <v>41</v>
      </c>
      <c r="AJ30" s="2">
        <v>41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518</v>
      </c>
      <c r="B31" s="2">
        <v>107</v>
      </c>
      <c r="C31" s="2">
        <v>32</v>
      </c>
      <c r="D31" s="2">
        <v>0</v>
      </c>
      <c r="E31" s="2">
        <v>1</v>
      </c>
      <c r="F31" s="2">
        <v>2</v>
      </c>
      <c r="G31" s="2">
        <v>3</v>
      </c>
      <c r="H31" s="2">
        <v>3</v>
      </c>
      <c r="I31" s="2">
        <v>4</v>
      </c>
      <c r="J31" s="2">
        <v>3</v>
      </c>
      <c r="K31" s="2">
        <v>3</v>
      </c>
      <c r="L31" s="2">
        <v>4</v>
      </c>
      <c r="M31" s="2">
        <v>4</v>
      </c>
      <c r="N31" s="2">
        <v>5</v>
      </c>
      <c r="O31" s="2">
        <v>5</v>
      </c>
      <c r="P31" s="2">
        <v>4</v>
      </c>
      <c r="Q31" s="2">
        <v>4</v>
      </c>
      <c r="R31" s="2">
        <v>5</v>
      </c>
      <c r="S31" s="2">
        <v>7</v>
      </c>
      <c r="T31" s="2">
        <v>6</v>
      </c>
      <c r="U31" s="2">
        <v>5</v>
      </c>
      <c r="V31" s="2">
        <v>5</v>
      </c>
      <c r="W31" s="2">
        <v>5</v>
      </c>
      <c r="X31" s="2">
        <v>4</v>
      </c>
      <c r="Y31" s="2">
        <v>3</v>
      </c>
      <c r="Z31" s="2">
        <v>3</v>
      </c>
      <c r="AA31" s="2">
        <v>3</v>
      </c>
      <c r="AB31" s="2">
        <v>2</v>
      </c>
      <c r="AC31" s="2">
        <v>2</v>
      </c>
      <c r="AD31" s="2">
        <v>2</v>
      </c>
      <c r="AE31" s="2">
        <v>2</v>
      </c>
      <c r="AF31" s="2">
        <v>2</v>
      </c>
      <c r="AG31" s="2">
        <v>2</v>
      </c>
      <c r="AH31" s="2">
        <v>3</v>
      </c>
      <c r="AI31" s="2">
        <v>3</v>
      </c>
      <c r="AJ31" s="2">
        <v>4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766</v>
      </c>
      <c r="B32" s="2">
        <v>108</v>
      </c>
      <c r="C32" s="2">
        <v>32</v>
      </c>
      <c r="D32" s="2">
        <v>0</v>
      </c>
      <c r="E32" s="2">
        <v>1</v>
      </c>
      <c r="F32" s="2">
        <v>2</v>
      </c>
      <c r="G32" s="2">
        <v>4</v>
      </c>
      <c r="H32" s="2">
        <v>4</v>
      </c>
      <c r="I32" s="2">
        <v>5</v>
      </c>
      <c r="J32" s="2">
        <v>5</v>
      </c>
      <c r="K32" s="2">
        <v>5</v>
      </c>
      <c r="L32" s="2">
        <v>8</v>
      </c>
      <c r="M32" s="2">
        <v>9</v>
      </c>
      <c r="N32" s="2">
        <v>10</v>
      </c>
      <c r="O32" s="2">
        <v>10</v>
      </c>
      <c r="P32" s="2">
        <v>10</v>
      </c>
      <c r="Q32" s="2">
        <v>10</v>
      </c>
      <c r="R32" s="2">
        <v>11</v>
      </c>
      <c r="S32" s="2">
        <v>12</v>
      </c>
      <c r="T32" s="2">
        <v>11</v>
      </c>
      <c r="U32" s="2">
        <v>9</v>
      </c>
      <c r="V32" s="2">
        <v>11</v>
      </c>
      <c r="W32" s="2">
        <v>12</v>
      </c>
      <c r="X32" s="2">
        <v>13</v>
      </c>
      <c r="Y32" s="2">
        <v>13</v>
      </c>
      <c r="Z32" s="2">
        <v>13</v>
      </c>
      <c r="AA32" s="2">
        <v>15</v>
      </c>
      <c r="AB32" s="2">
        <v>15</v>
      </c>
      <c r="AC32" s="2">
        <v>16</v>
      </c>
      <c r="AD32" s="2">
        <v>17</v>
      </c>
      <c r="AE32" s="2">
        <v>17</v>
      </c>
      <c r="AF32" s="2">
        <v>18</v>
      </c>
      <c r="AG32" s="2">
        <v>18</v>
      </c>
      <c r="AH32" s="2">
        <v>17</v>
      </c>
      <c r="AI32" s="2">
        <v>18</v>
      </c>
      <c r="AJ32" s="2">
        <v>18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776</v>
      </c>
      <c r="B33" s="2">
        <v>109</v>
      </c>
      <c r="C33" s="2">
        <v>32</v>
      </c>
      <c r="D33" s="2">
        <v>0</v>
      </c>
      <c r="E33" s="2">
        <v>0</v>
      </c>
      <c r="F33" s="2">
        <v>1</v>
      </c>
      <c r="G33" s="2">
        <v>2</v>
      </c>
      <c r="H33" s="2">
        <v>3</v>
      </c>
      <c r="I33" s="2">
        <v>3</v>
      </c>
      <c r="J33" s="2">
        <v>6</v>
      </c>
      <c r="K33" s="2">
        <v>7</v>
      </c>
      <c r="L33" s="2">
        <v>6</v>
      </c>
      <c r="M33" s="2">
        <v>6</v>
      </c>
      <c r="N33" s="2">
        <v>7</v>
      </c>
      <c r="O33" s="2">
        <v>7</v>
      </c>
      <c r="P33" s="2">
        <v>7</v>
      </c>
      <c r="Q33" s="2">
        <v>7</v>
      </c>
      <c r="R33" s="2">
        <v>7</v>
      </c>
      <c r="S33" s="2">
        <v>9</v>
      </c>
      <c r="T33" s="2">
        <v>10</v>
      </c>
      <c r="U33" s="2">
        <v>10</v>
      </c>
      <c r="V33" s="2">
        <v>9</v>
      </c>
      <c r="W33" s="2">
        <v>10</v>
      </c>
      <c r="X33" s="2">
        <v>10</v>
      </c>
      <c r="Y33" s="2">
        <v>12</v>
      </c>
      <c r="Z33" s="2">
        <v>14</v>
      </c>
      <c r="AA33" s="2">
        <v>15</v>
      </c>
      <c r="AB33" s="2">
        <v>15</v>
      </c>
      <c r="AC33" s="2">
        <v>15</v>
      </c>
      <c r="AD33" s="2">
        <v>16</v>
      </c>
      <c r="AE33" s="2">
        <v>16</v>
      </c>
      <c r="AF33" s="2">
        <v>19</v>
      </c>
      <c r="AG33" s="2">
        <v>18</v>
      </c>
      <c r="AH33" s="2">
        <v>19</v>
      </c>
      <c r="AI33" s="2">
        <v>20</v>
      </c>
      <c r="AJ33" s="2">
        <v>21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765</v>
      </c>
      <c r="B34" s="2">
        <v>110</v>
      </c>
      <c r="C34" s="2">
        <v>32</v>
      </c>
      <c r="D34" s="2">
        <v>0</v>
      </c>
      <c r="E34" s="2">
        <v>0</v>
      </c>
      <c r="F34" s="2">
        <v>-1</v>
      </c>
      <c r="G34" s="2">
        <v>0</v>
      </c>
      <c r="H34" s="2">
        <v>0</v>
      </c>
      <c r="I34" s="2">
        <v>1</v>
      </c>
      <c r="J34" s="2">
        <v>2</v>
      </c>
      <c r="K34" s="2">
        <v>2</v>
      </c>
      <c r="L34" s="2">
        <v>2</v>
      </c>
      <c r="M34" s="2">
        <v>2</v>
      </c>
      <c r="N34" s="2">
        <v>3</v>
      </c>
      <c r="O34" s="2">
        <v>3</v>
      </c>
      <c r="P34" s="2">
        <v>3</v>
      </c>
      <c r="Q34" s="2">
        <v>3</v>
      </c>
      <c r="R34" s="2">
        <v>3</v>
      </c>
      <c r="S34" s="2">
        <v>3</v>
      </c>
      <c r="T34" s="2">
        <v>3</v>
      </c>
      <c r="U34" s="2">
        <v>3</v>
      </c>
      <c r="V34" s="2">
        <v>3</v>
      </c>
      <c r="W34" s="2">
        <v>3</v>
      </c>
      <c r="X34" s="2">
        <v>3</v>
      </c>
      <c r="Y34" s="2">
        <v>2</v>
      </c>
      <c r="Z34" s="2">
        <v>2</v>
      </c>
      <c r="AA34" s="2">
        <v>2</v>
      </c>
      <c r="AB34" s="2">
        <v>2</v>
      </c>
      <c r="AC34" s="2">
        <v>2</v>
      </c>
      <c r="AD34" s="2">
        <v>2</v>
      </c>
      <c r="AE34" s="2">
        <v>2</v>
      </c>
      <c r="AF34" s="2">
        <v>2</v>
      </c>
      <c r="AG34" s="2">
        <v>2</v>
      </c>
      <c r="AH34" s="2">
        <v>3</v>
      </c>
      <c r="AI34" s="2">
        <v>3</v>
      </c>
      <c r="AJ34" s="2">
        <v>2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392</v>
      </c>
      <c r="B35" s="2">
        <v>111</v>
      </c>
      <c r="C35" s="2">
        <v>32</v>
      </c>
      <c r="D35" s="2">
        <v>0</v>
      </c>
      <c r="E35" s="2">
        <v>-1</v>
      </c>
      <c r="F35" s="2">
        <v>-2</v>
      </c>
      <c r="G35" s="2">
        <v>-1</v>
      </c>
      <c r="H35" s="2">
        <v>-1</v>
      </c>
      <c r="I35" s="2">
        <v>-1</v>
      </c>
      <c r="J35" s="2">
        <v>-1</v>
      </c>
      <c r="K35" s="2">
        <v>-1</v>
      </c>
      <c r="L35" s="2">
        <v>1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-1</v>
      </c>
      <c r="S35" s="2">
        <v>-1</v>
      </c>
      <c r="T35" s="2">
        <v>-2</v>
      </c>
      <c r="U35" s="2">
        <v>-2</v>
      </c>
      <c r="V35" s="2">
        <v>-1</v>
      </c>
      <c r="W35" s="2">
        <v>-1</v>
      </c>
      <c r="X35" s="2">
        <v>-2</v>
      </c>
      <c r="Y35" s="2">
        <v>-3</v>
      </c>
      <c r="Z35" s="2">
        <v>-4</v>
      </c>
      <c r="AA35" s="2">
        <v>-4</v>
      </c>
      <c r="AB35" s="2">
        <v>-4</v>
      </c>
      <c r="AC35" s="2">
        <v>-4</v>
      </c>
      <c r="AD35" s="2">
        <v>-4</v>
      </c>
      <c r="AE35" s="2">
        <v>-4</v>
      </c>
      <c r="AF35" s="2">
        <v>-2</v>
      </c>
      <c r="AG35" s="2">
        <v>-2</v>
      </c>
      <c r="AH35" s="2">
        <v>-3</v>
      </c>
      <c r="AI35" s="2">
        <v>-3</v>
      </c>
      <c r="AJ35" s="2">
        <v>-2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394</v>
      </c>
      <c r="B36" s="2">
        <v>112</v>
      </c>
      <c r="C36" s="2">
        <v>32</v>
      </c>
      <c r="D36" s="2">
        <v>0</v>
      </c>
      <c r="E36" s="2">
        <v>0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v>3</v>
      </c>
      <c r="O36" s="2">
        <v>3</v>
      </c>
      <c r="P36" s="2">
        <v>5</v>
      </c>
      <c r="Q36" s="2">
        <v>5</v>
      </c>
      <c r="R36" s="2">
        <v>4</v>
      </c>
      <c r="S36" s="2">
        <v>5</v>
      </c>
      <c r="T36" s="2">
        <v>6</v>
      </c>
      <c r="U36" s="2">
        <v>6</v>
      </c>
      <c r="V36" s="2">
        <v>6</v>
      </c>
      <c r="W36" s="2">
        <v>7</v>
      </c>
      <c r="X36" s="2">
        <v>7</v>
      </c>
      <c r="Y36" s="2">
        <v>8</v>
      </c>
      <c r="Z36" s="2">
        <v>8</v>
      </c>
      <c r="AA36" s="2">
        <v>8</v>
      </c>
      <c r="AB36" s="2">
        <v>7</v>
      </c>
      <c r="AC36" s="2">
        <v>7</v>
      </c>
      <c r="AD36" s="2">
        <v>7</v>
      </c>
      <c r="AE36" s="2">
        <v>8</v>
      </c>
      <c r="AF36" s="2">
        <v>8</v>
      </c>
      <c r="AG36" s="2">
        <v>9</v>
      </c>
      <c r="AH36" s="2">
        <v>10</v>
      </c>
      <c r="AI36" s="2">
        <v>11</v>
      </c>
      <c r="AJ36" s="2">
        <v>10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500</v>
      </c>
      <c r="B37" s="2">
        <v>113</v>
      </c>
      <c r="C37" s="2">
        <v>32</v>
      </c>
      <c r="D37" s="2">
        <v>0</v>
      </c>
      <c r="E37" s="2">
        <v>2</v>
      </c>
      <c r="F37" s="2">
        <v>3</v>
      </c>
      <c r="G37" s="2">
        <v>3</v>
      </c>
      <c r="H37" s="2">
        <v>3</v>
      </c>
      <c r="I37" s="2">
        <v>2</v>
      </c>
      <c r="J37" s="2">
        <v>2</v>
      </c>
      <c r="K37" s="2">
        <v>2</v>
      </c>
      <c r="L37" s="2">
        <v>2</v>
      </c>
      <c r="M37" s="2">
        <v>3</v>
      </c>
      <c r="N37" s="2">
        <v>4</v>
      </c>
      <c r="O37" s="2">
        <v>4</v>
      </c>
      <c r="P37" s="2">
        <v>4</v>
      </c>
      <c r="Q37" s="2">
        <v>4</v>
      </c>
      <c r="R37" s="2">
        <v>3</v>
      </c>
      <c r="S37" s="2">
        <v>3</v>
      </c>
      <c r="T37" s="2">
        <v>4</v>
      </c>
      <c r="U37" s="2">
        <v>4</v>
      </c>
      <c r="V37" s="2">
        <v>6</v>
      </c>
      <c r="W37" s="2">
        <v>6</v>
      </c>
      <c r="X37" s="2">
        <v>6</v>
      </c>
      <c r="Y37" s="2">
        <v>6</v>
      </c>
      <c r="Z37" s="2">
        <v>6</v>
      </c>
      <c r="AA37" s="2">
        <v>6</v>
      </c>
      <c r="AB37" s="2">
        <v>5</v>
      </c>
      <c r="AC37" s="2">
        <v>5</v>
      </c>
      <c r="AD37" s="2">
        <v>5</v>
      </c>
      <c r="AE37" s="2">
        <v>5</v>
      </c>
      <c r="AF37" s="2">
        <v>5</v>
      </c>
      <c r="AG37" s="2">
        <v>6</v>
      </c>
      <c r="AH37" s="2">
        <v>7</v>
      </c>
      <c r="AI37" s="2">
        <v>9</v>
      </c>
      <c r="AJ37" s="2">
        <v>9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777</v>
      </c>
      <c r="B38" s="2">
        <v>114</v>
      </c>
      <c r="C38" s="2">
        <v>32</v>
      </c>
      <c r="D38" s="2">
        <v>0</v>
      </c>
      <c r="E38" s="2">
        <v>5</v>
      </c>
      <c r="F38" s="2">
        <v>7</v>
      </c>
      <c r="G38" s="2">
        <v>11</v>
      </c>
      <c r="H38" s="2">
        <v>13</v>
      </c>
      <c r="I38" s="2">
        <v>15</v>
      </c>
      <c r="J38" s="2">
        <v>20</v>
      </c>
      <c r="K38" s="2">
        <v>22</v>
      </c>
      <c r="L38" s="2">
        <v>24</v>
      </c>
      <c r="M38" s="2">
        <v>26</v>
      </c>
      <c r="N38" s="2">
        <v>28</v>
      </c>
      <c r="O38" s="2">
        <v>28</v>
      </c>
      <c r="P38" s="2">
        <v>31</v>
      </c>
      <c r="Q38" s="2">
        <v>32</v>
      </c>
      <c r="R38" s="2">
        <v>33</v>
      </c>
      <c r="S38" s="2">
        <v>36</v>
      </c>
      <c r="T38" s="2">
        <v>37</v>
      </c>
      <c r="U38" s="2">
        <v>43</v>
      </c>
      <c r="V38" s="2">
        <v>45</v>
      </c>
      <c r="W38" s="2">
        <v>47</v>
      </c>
      <c r="X38" s="2">
        <v>48</v>
      </c>
      <c r="Y38" s="2">
        <v>49</v>
      </c>
      <c r="Z38" s="2">
        <v>51</v>
      </c>
      <c r="AA38" s="2">
        <v>52</v>
      </c>
      <c r="AB38" s="2">
        <v>53</v>
      </c>
      <c r="AC38" s="2">
        <v>57</v>
      </c>
      <c r="AD38" s="2">
        <v>59</v>
      </c>
      <c r="AE38" s="2">
        <v>61</v>
      </c>
      <c r="AF38" s="2">
        <v>66</v>
      </c>
      <c r="AG38" s="2">
        <v>68</v>
      </c>
      <c r="AH38" s="2">
        <v>70</v>
      </c>
      <c r="AI38" s="2">
        <v>73</v>
      </c>
      <c r="AJ38" s="2">
        <v>74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4</v>
      </c>
      <c r="B39" s="2">
        <v>115</v>
      </c>
      <c r="C39" s="2">
        <v>32</v>
      </c>
      <c r="D39" s="2">
        <v>0</v>
      </c>
      <c r="E39" s="2">
        <v>-1</v>
      </c>
      <c r="F39" s="2">
        <v>-2</v>
      </c>
      <c r="G39" s="2">
        <v>-1</v>
      </c>
      <c r="H39" s="2">
        <v>-1</v>
      </c>
      <c r="I39" s="2">
        <v>-1</v>
      </c>
      <c r="J39" s="2">
        <v>-1</v>
      </c>
      <c r="K39" s="2">
        <v>-1</v>
      </c>
      <c r="L39" s="2">
        <v>-1</v>
      </c>
      <c r="M39" s="2">
        <v>-1</v>
      </c>
      <c r="N39" s="2">
        <v>-1</v>
      </c>
      <c r="O39" s="2">
        <v>-1</v>
      </c>
      <c r="P39" s="2">
        <v>-1</v>
      </c>
      <c r="Q39" s="2">
        <v>-1</v>
      </c>
      <c r="R39" s="2">
        <v>-2</v>
      </c>
      <c r="S39" s="2">
        <v>-2</v>
      </c>
      <c r="T39" s="2">
        <v>-2</v>
      </c>
      <c r="U39" s="2">
        <v>-1</v>
      </c>
      <c r="V39" s="2">
        <v>-1</v>
      </c>
      <c r="W39" s="2">
        <v>-1</v>
      </c>
      <c r="X39" s="2">
        <v>-1</v>
      </c>
      <c r="Y39" s="2">
        <v>-1</v>
      </c>
      <c r="Z39" s="2">
        <v>-2</v>
      </c>
      <c r="AA39" s="2">
        <v>-3</v>
      </c>
      <c r="AB39" s="2">
        <v>-3</v>
      </c>
      <c r="AC39" s="2">
        <v>-3</v>
      </c>
      <c r="AD39" s="2">
        <v>-3</v>
      </c>
      <c r="AE39" s="2">
        <v>-3</v>
      </c>
      <c r="AF39" s="2">
        <v>-3</v>
      </c>
      <c r="AG39" s="2">
        <v>-3</v>
      </c>
      <c r="AH39" s="2">
        <v>-4</v>
      </c>
      <c r="AI39" s="2">
        <v>-5</v>
      </c>
      <c r="AJ39" s="2">
        <v>-6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778</v>
      </c>
      <c r="B40" s="2">
        <v>116</v>
      </c>
      <c r="C40" s="2">
        <v>32</v>
      </c>
      <c r="D40" s="2">
        <v>0</v>
      </c>
      <c r="E40" s="2">
        <v>0</v>
      </c>
      <c r="F40" s="2">
        <v>-1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1</v>
      </c>
      <c r="M40" s="2">
        <v>1</v>
      </c>
      <c r="N40" s="2">
        <v>1</v>
      </c>
      <c r="O40" s="2">
        <v>1</v>
      </c>
      <c r="P40" s="2">
        <v>2</v>
      </c>
      <c r="Q40" s="2">
        <v>2</v>
      </c>
      <c r="R40" s="2">
        <v>4</v>
      </c>
      <c r="S40" s="2">
        <v>6</v>
      </c>
      <c r="T40" s="2">
        <v>5</v>
      </c>
      <c r="U40" s="2">
        <v>6</v>
      </c>
      <c r="V40" s="2">
        <v>6</v>
      </c>
      <c r="W40" s="2">
        <v>7</v>
      </c>
      <c r="X40" s="2">
        <v>6</v>
      </c>
      <c r="Y40" s="2">
        <v>7</v>
      </c>
      <c r="Z40" s="2">
        <v>7</v>
      </c>
      <c r="AA40" s="2">
        <v>7</v>
      </c>
      <c r="AB40" s="2">
        <v>7</v>
      </c>
      <c r="AC40" s="2">
        <v>7</v>
      </c>
      <c r="AD40" s="2">
        <v>7</v>
      </c>
      <c r="AE40" s="2">
        <v>7</v>
      </c>
      <c r="AF40" s="2">
        <v>8</v>
      </c>
      <c r="AG40" s="2">
        <v>9</v>
      </c>
      <c r="AH40" s="2">
        <v>10</v>
      </c>
      <c r="AI40" s="2">
        <v>12</v>
      </c>
      <c r="AJ40" s="2">
        <v>12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398</v>
      </c>
      <c r="B41" s="2">
        <v>117</v>
      </c>
      <c r="C41" s="2">
        <v>31</v>
      </c>
      <c r="D41" s="2">
        <v>0</v>
      </c>
      <c r="E41" s="2">
        <v>0</v>
      </c>
      <c r="F41" s="2">
        <v>0</v>
      </c>
      <c r="G41" s="2">
        <v>1</v>
      </c>
      <c r="H41" s="2">
        <v>1</v>
      </c>
      <c r="I41" s="2">
        <v>1</v>
      </c>
      <c r="J41" s="2">
        <v>2</v>
      </c>
      <c r="K41" s="2">
        <v>2</v>
      </c>
      <c r="L41" s="2">
        <v>2</v>
      </c>
      <c r="M41" s="2">
        <v>3</v>
      </c>
      <c r="N41" s="2">
        <v>4</v>
      </c>
      <c r="O41" s="2">
        <v>3</v>
      </c>
      <c r="P41" s="2">
        <v>4</v>
      </c>
      <c r="Q41" s="2">
        <v>4</v>
      </c>
      <c r="R41" s="2">
        <v>5</v>
      </c>
      <c r="S41" s="2">
        <v>7</v>
      </c>
      <c r="T41" s="2">
        <v>7</v>
      </c>
      <c r="U41" s="2">
        <v>7</v>
      </c>
      <c r="V41" s="2">
        <v>8</v>
      </c>
      <c r="W41" s="2">
        <v>11</v>
      </c>
      <c r="X41" s="2">
        <v>12</v>
      </c>
      <c r="Y41" s="2">
        <v>13</v>
      </c>
      <c r="Z41" s="2" t="e">
        <v>#N/A</v>
      </c>
      <c r="AA41" s="2">
        <v>13</v>
      </c>
      <c r="AB41" s="2">
        <v>13</v>
      </c>
      <c r="AC41" s="2">
        <v>15</v>
      </c>
      <c r="AD41" s="2">
        <v>18</v>
      </c>
      <c r="AE41" s="2">
        <v>20</v>
      </c>
      <c r="AF41" s="2">
        <v>27</v>
      </c>
      <c r="AG41" s="2">
        <v>30</v>
      </c>
      <c r="AH41" s="2">
        <v>31</v>
      </c>
      <c r="AI41" s="2">
        <v>32</v>
      </c>
      <c r="AJ41" s="2">
        <v>32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779</v>
      </c>
      <c r="B42" s="2">
        <v>118</v>
      </c>
      <c r="C42" s="2">
        <v>32</v>
      </c>
      <c r="D42" s="2">
        <v>0</v>
      </c>
      <c r="E42" s="2">
        <v>1</v>
      </c>
      <c r="F42" s="2">
        <v>2</v>
      </c>
      <c r="G42" s="2">
        <v>3</v>
      </c>
      <c r="H42" s="2">
        <v>3</v>
      </c>
      <c r="I42" s="2">
        <v>3</v>
      </c>
      <c r="J42" s="2">
        <v>3</v>
      </c>
      <c r="K42" s="2">
        <v>4</v>
      </c>
      <c r="L42" s="2">
        <v>4</v>
      </c>
      <c r="M42" s="2">
        <v>5</v>
      </c>
      <c r="N42" s="2">
        <v>5</v>
      </c>
      <c r="O42" s="2">
        <v>5</v>
      </c>
      <c r="P42" s="2">
        <v>7</v>
      </c>
      <c r="Q42" s="2">
        <v>7</v>
      </c>
      <c r="R42" s="2">
        <v>8</v>
      </c>
      <c r="S42" s="2">
        <v>9</v>
      </c>
      <c r="T42" s="2">
        <v>8</v>
      </c>
      <c r="U42" s="2">
        <v>9</v>
      </c>
      <c r="V42" s="2">
        <v>11</v>
      </c>
      <c r="W42" s="2">
        <v>12</v>
      </c>
      <c r="X42" s="2">
        <v>12</v>
      </c>
      <c r="Y42" s="2">
        <v>13</v>
      </c>
      <c r="Z42" s="2">
        <v>13</v>
      </c>
      <c r="AA42" s="2">
        <v>12</v>
      </c>
      <c r="AB42" s="2">
        <v>12</v>
      </c>
      <c r="AC42" s="2">
        <v>13</v>
      </c>
      <c r="AD42" s="2">
        <v>13</v>
      </c>
      <c r="AE42" s="2">
        <v>14</v>
      </c>
      <c r="AF42" s="2">
        <v>18</v>
      </c>
      <c r="AG42" s="2">
        <v>19</v>
      </c>
      <c r="AH42" s="2">
        <v>19</v>
      </c>
      <c r="AI42" s="2">
        <v>21</v>
      </c>
      <c r="AJ42" s="2">
        <v>21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323</v>
      </c>
      <c r="B43" s="2">
        <v>119</v>
      </c>
      <c r="C43" s="2">
        <v>32</v>
      </c>
      <c r="D43" s="2">
        <v>0</v>
      </c>
      <c r="E43" s="2">
        <v>0</v>
      </c>
      <c r="F43" s="2">
        <v>-1</v>
      </c>
      <c r="G43" s="2">
        <v>-2</v>
      </c>
      <c r="H43" s="2">
        <v>-2</v>
      </c>
      <c r="I43" s="2">
        <v>-3</v>
      </c>
      <c r="J43" s="2">
        <v>-4</v>
      </c>
      <c r="K43" s="2">
        <v>-4</v>
      </c>
      <c r="L43" s="2">
        <v>-5</v>
      </c>
      <c r="M43" s="2">
        <v>-6</v>
      </c>
      <c r="N43" s="2">
        <v>-6</v>
      </c>
      <c r="O43" s="2">
        <v>-6</v>
      </c>
      <c r="P43" s="2">
        <v>-5</v>
      </c>
      <c r="Q43" s="2">
        <v>-5</v>
      </c>
      <c r="R43" s="2">
        <v>-5</v>
      </c>
      <c r="S43" s="2">
        <v>-4</v>
      </c>
      <c r="T43" s="2">
        <v>-4</v>
      </c>
      <c r="U43" s="2">
        <v>-2</v>
      </c>
      <c r="V43" s="2">
        <v>-2</v>
      </c>
      <c r="W43" s="2">
        <v>-2</v>
      </c>
      <c r="X43" s="2">
        <v>-2</v>
      </c>
      <c r="Y43" s="2">
        <v>-1</v>
      </c>
      <c r="Z43" s="2">
        <v>-1</v>
      </c>
      <c r="AA43" s="2">
        <v>-1</v>
      </c>
      <c r="AB43" s="2">
        <v>-1</v>
      </c>
      <c r="AC43" s="2">
        <v>1</v>
      </c>
      <c r="AD43" s="2">
        <v>2</v>
      </c>
      <c r="AE43" s="2">
        <v>2</v>
      </c>
      <c r="AF43" s="2">
        <v>2</v>
      </c>
      <c r="AG43" s="2">
        <v>3</v>
      </c>
      <c r="AH43" s="2">
        <v>2</v>
      </c>
      <c r="AI43" s="2">
        <v>3</v>
      </c>
      <c r="AJ43" s="2">
        <v>4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780</v>
      </c>
      <c r="B44" s="2">
        <v>120</v>
      </c>
      <c r="C44" s="2">
        <v>32</v>
      </c>
      <c r="D44" s="2">
        <v>0</v>
      </c>
      <c r="E44" s="2">
        <v>0</v>
      </c>
      <c r="F44" s="2">
        <v>0</v>
      </c>
      <c r="G44" s="2">
        <v>1</v>
      </c>
      <c r="H44" s="2">
        <v>2</v>
      </c>
      <c r="I44" s="2">
        <v>2</v>
      </c>
      <c r="J44" s="2">
        <v>2</v>
      </c>
      <c r="K44" s="2">
        <v>3</v>
      </c>
      <c r="L44" s="2">
        <v>3</v>
      </c>
      <c r="M44" s="2">
        <v>4</v>
      </c>
      <c r="N44" s="2">
        <v>4</v>
      </c>
      <c r="O44" s="2">
        <v>4</v>
      </c>
      <c r="P44" s="2">
        <v>6</v>
      </c>
      <c r="Q44" s="2">
        <v>8</v>
      </c>
      <c r="R44" s="2">
        <v>7</v>
      </c>
      <c r="S44" s="2">
        <v>8</v>
      </c>
      <c r="T44" s="2">
        <v>8</v>
      </c>
      <c r="U44" s="2">
        <v>8</v>
      </c>
      <c r="V44" s="2">
        <v>8</v>
      </c>
      <c r="W44" s="2">
        <v>9</v>
      </c>
      <c r="X44" s="2">
        <v>10</v>
      </c>
      <c r="Y44" s="2">
        <v>10</v>
      </c>
      <c r="Z44" s="2">
        <v>11</v>
      </c>
      <c r="AA44" s="2">
        <v>11</v>
      </c>
      <c r="AB44" s="2">
        <v>11</v>
      </c>
      <c r="AC44" s="2">
        <v>12</v>
      </c>
      <c r="AD44" s="2">
        <v>12</v>
      </c>
      <c r="AE44" s="2">
        <v>12</v>
      </c>
      <c r="AF44" s="2">
        <v>15</v>
      </c>
      <c r="AG44" s="2">
        <v>16</v>
      </c>
      <c r="AH44" s="2">
        <v>17</v>
      </c>
      <c r="AI44" s="2">
        <v>17</v>
      </c>
      <c r="AJ44" s="2">
        <v>17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781</v>
      </c>
      <c r="B45" s="2">
        <v>121</v>
      </c>
      <c r="C45" s="2">
        <v>32</v>
      </c>
      <c r="D45" s="2">
        <v>0</v>
      </c>
      <c r="E45" s="2">
        <v>0</v>
      </c>
      <c r="F45" s="2">
        <v>0</v>
      </c>
      <c r="G45" s="2">
        <v>3</v>
      </c>
      <c r="H45" s="2">
        <v>3</v>
      </c>
      <c r="I45" s="2">
        <v>3</v>
      </c>
      <c r="J45" s="2">
        <v>3</v>
      </c>
      <c r="K45" s="2">
        <v>4</v>
      </c>
      <c r="L45" s="2">
        <v>4</v>
      </c>
      <c r="M45" s="2">
        <v>5</v>
      </c>
      <c r="N45" s="2">
        <v>6</v>
      </c>
      <c r="O45" s="2">
        <v>6</v>
      </c>
      <c r="P45" s="2">
        <v>8</v>
      </c>
      <c r="Q45" s="2">
        <v>9</v>
      </c>
      <c r="R45" s="2">
        <v>10</v>
      </c>
      <c r="S45" s="2">
        <v>10</v>
      </c>
      <c r="T45" s="2">
        <v>11</v>
      </c>
      <c r="U45" s="2">
        <v>11</v>
      </c>
      <c r="V45" s="2">
        <v>12</v>
      </c>
      <c r="W45" s="2">
        <v>14</v>
      </c>
      <c r="X45" s="2">
        <v>14</v>
      </c>
      <c r="Y45" s="2">
        <v>15</v>
      </c>
      <c r="Z45" s="2">
        <v>15</v>
      </c>
      <c r="AA45" s="2">
        <v>16</v>
      </c>
      <c r="AB45" s="2">
        <v>16</v>
      </c>
      <c r="AC45" s="2">
        <v>17</v>
      </c>
      <c r="AD45" s="2">
        <v>17</v>
      </c>
      <c r="AE45" s="2">
        <v>18</v>
      </c>
      <c r="AF45" s="2">
        <v>19</v>
      </c>
      <c r="AG45" s="2">
        <v>21</v>
      </c>
      <c r="AH45" s="2">
        <v>21</v>
      </c>
      <c r="AI45" s="2">
        <v>21</v>
      </c>
      <c r="AJ45" s="2">
        <v>21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782</v>
      </c>
      <c r="B46" s="2">
        <v>122</v>
      </c>
      <c r="C46" s="2">
        <v>32</v>
      </c>
      <c r="D46" s="2">
        <v>0</v>
      </c>
      <c r="E46" s="2">
        <v>2</v>
      </c>
      <c r="F46" s="2">
        <v>1</v>
      </c>
      <c r="G46" s="2">
        <v>3</v>
      </c>
      <c r="H46" s="2">
        <v>3</v>
      </c>
      <c r="I46" s="2">
        <v>3</v>
      </c>
      <c r="J46" s="2">
        <v>2</v>
      </c>
      <c r="K46" s="2">
        <v>2</v>
      </c>
      <c r="L46" s="2">
        <v>2</v>
      </c>
      <c r="M46" s="2">
        <v>3</v>
      </c>
      <c r="N46" s="2">
        <v>3</v>
      </c>
      <c r="O46" s="2">
        <v>3</v>
      </c>
      <c r="P46" s="2">
        <v>4</v>
      </c>
      <c r="Q46" s="2">
        <v>4</v>
      </c>
      <c r="R46" s="2">
        <v>6</v>
      </c>
      <c r="S46" s="2">
        <v>6</v>
      </c>
      <c r="T46" s="2">
        <v>6</v>
      </c>
      <c r="U46" s="2">
        <v>7</v>
      </c>
      <c r="V46" s="2">
        <v>10</v>
      </c>
      <c r="W46" s="2">
        <v>12</v>
      </c>
      <c r="X46" s="2">
        <v>11</v>
      </c>
      <c r="Y46" s="2">
        <v>11</v>
      </c>
      <c r="Z46" s="2">
        <v>11</v>
      </c>
      <c r="AA46" s="2">
        <v>12</v>
      </c>
      <c r="AB46" s="2">
        <v>13</v>
      </c>
      <c r="AC46" s="2">
        <v>14</v>
      </c>
      <c r="AD46" s="2">
        <v>15</v>
      </c>
      <c r="AE46" s="2">
        <v>15</v>
      </c>
      <c r="AF46" s="2">
        <v>15</v>
      </c>
      <c r="AG46" s="2">
        <v>14</v>
      </c>
      <c r="AH46" s="2">
        <v>15</v>
      </c>
      <c r="AI46" s="2">
        <v>16</v>
      </c>
      <c r="AJ46" s="2">
        <v>16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494</v>
      </c>
      <c r="B47" s="2">
        <v>123</v>
      </c>
      <c r="C47" s="2">
        <v>32</v>
      </c>
      <c r="D47" s="2">
        <v>0</v>
      </c>
      <c r="E47" s="2">
        <v>-1</v>
      </c>
      <c r="F47" s="2">
        <v>1</v>
      </c>
      <c r="G47" s="2">
        <v>1</v>
      </c>
      <c r="H47" s="2">
        <v>0</v>
      </c>
      <c r="I47" s="2">
        <v>0</v>
      </c>
      <c r="J47" s="2">
        <v>-1</v>
      </c>
      <c r="K47" s="2">
        <v>0</v>
      </c>
      <c r="L47" s="2">
        <v>-1</v>
      </c>
      <c r="M47" s="2">
        <v>-2</v>
      </c>
      <c r="N47" s="2">
        <v>-1</v>
      </c>
      <c r="O47" s="2">
        <v>-1</v>
      </c>
      <c r="P47" s="2">
        <v>-1</v>
      </c>
      <c r="Q47" s="2">
        <v>-1</v>
      </c>
      <c r="R47" s="2">
        <v>-1</v>
      </c>
      <c r="S47" s="2">
        <v>1</v>
      </c>
      <c r="T47" s="2">
        <v>1</v>
      </c>
      <c r="U47" s="2">
        <v>0</v>
      </c>
      <c r="V47" s="2">
        <v>1</v>
      </c>
      <c r="W47" s="2">
        <v>2</v>
      </c>
      <c r="X47" s="2">
        <v>2</v>
      </c>
      <c r="Y47" s="2">
        <v>2</v>
      </c>
      <c r="Z47" s="2">
        <v>1</v>
      </c>
      <c r="AA47" s="2">
        <v>1</v>
      </c>
      <c r="AB47" s="2">
        <v>0</v>
      </c>
      <c r="AC47" s="2">
        <v>-1</v>
      </c>
      <c r="AD47" s="2">
        <v>-1</v>
      </c>
      <c r="AE47" s="2">
        <v>-2</v>
      </c>
      <c r="AF47" s="2">
        <v>0</v>
      </c>
      <c r="AG47" s="2">
        <v>-1</v>
      </c>
      <c r="AH47" s="2">
        <v>0</v>
      </c>
      <c r="AI47" s="2">
        <v>0</v>
      </c>
      <c r="AJ47" s="2">
        <v>1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611</v>
      </c>
      <c r="B48" s="2">
        <v>124</v>
      </c>
      <c r="C48" s="2">
        <v>32</v>
      </c>
      <c r="D48" s="2">
        <v>0</v>
      </c>
      <c r="E48" s="2">
        <v>1</v>
      </c>
      <c r="F48" s="2">
        <v>0</v>
      </c>
      <c r="G48" s="2">
        <v>1</v>
      </c>
      <c r="H48" s="2">
        <v>1</v>
      </c>
      <c r="I48" s="2">
        <v>4</v>
      </c>
      <c r="J48" s="2">
        <v>5</v>
      </c>
      <c r="K48" s="2">
        <v>5</v>
      </c>
      <c r="L48" s="2">
        <v>6</v>
      </c>
      <c r="M48" s="2">
        <v>6</v>
      </c>
      <c r="N48" s="2">
        <v>6</v>
      </c>
      <c r="O48" s="2">
        <v>5</v>
      </c>
      <c r="P48" s="2">
        <v>7</v>
      </c>
      <c r="Q48" s="2">
        <v>7</v>
      </c>
      <c r="R48" s="2">
        <v>7</v>
      </c>
      <c r="S48" s="2">
        <v>8</v>
      </c>
      <c r="T48" s="2">
        <v>7</v>
      </c>
      <c r="U48" s="2">
        <v>7</v>
      </c>
      <c r="V48" s="2">
        <v>6</v>
      </c>
      <c r="W48" s="2">
        <v>6</v>
      </c>
      <c r="X48" s="2">
        <v>7</v>
      </c>
      <c r="Y48" s="2">
        <v>7</v>
      </c>
      <c r="Z48" s="2">
        <v>8</v>
      </c>
      <c r="AA48" s="2">
        <v>10</v>
      </c>
      <c r="AB48" s="2">
        <v>9</v>
      </c>
      <c r="AC48" s="2">
        <v>9</v>
      </c>
      <c r="AD48" s="2">
        <v>10</v>
      </c>
      <c r="AE48" s="2">
        <v>10</v>
      </c>
      <c r="AF48" s="2">
        <v>11</v>
      </c>
      <c r="AG48" s="2">
        <v>10</v>
      </c>
      <c r="AH48" s="2">
        <v>10</v>
      </c>
      <c r="AI48" s="2">
        <v>10</v>
      </c>
      <c r="AJ48" s="2">
        <v>9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208</v>
      </c>
      <c r="B49" s="2">
        <v>125</v>
      </c>
      <c r="C49" s="2">
        <v>32</v>
      </c>
      <c r="D49" s="2">
        <v>0</v>
      </c>
      <c r="E49" s="2">
        <v>2</v>
      </c>
      <c r="F49" s="2">
        <v>3</v>
      </c>
      <c r="G49" s="2">
        <v>4</v>
      </c>
      <c r="H49" s="2">
        <v>6</v>
      </c>
      <c r="I49" s="2">
        <v>7</v>
      </c>
      <c r="J49" s="2">
        <v>9</v>
      </c>
      <c r="K49" s="2">
        <v>10</v>
      </c>
      <c r="L49" s="2">
        <v>10</v>
      </c>
      <c r="M49" s="2">
        <v>10</v>
      </c>
      <c r="N49" s="2">
        <v>12</v>
      </c>
      <c r="O49" s="2">
        <v>13</v>
      </c>
      <c r="P49" s="2">
        <v>16</v>
      </c>
      <c r="Q49" s="2">
        <v>19</v>
      </c>
      <c r="R49" s="2">
        <v>19</v>
      </c>
      <c r="S49" s="2">
        <v>20</v>
      </c>
      <c r="T49" s="2">
        <v>21</v>
      </c>
      <c r="U49" s="2">
        <v>21</v>
      </c>
      <c r="V49" s="2">
        <v>21</v>
      </c>
      <c r="W49" s="2">
        <v>23</v>
      </c>
      <c r="X49" s="2">
        <v>24</v>
      </c>
      <c r="Y49" s="2">
        <v>25</v>
      </c>
      <c r="Z49" s="2">
        <v>27</v>
      </c>
      <c r="AA49" s="2">
        <v>29</v>
      </c>
      <c r="AB49" s="2">
        <v>30</v>
      </c>
      <c r="AC49" s="2">
        <v>32</v>
      </c>
      <c r="AD49" s="2">
        <v>33</v>
      </c>
      <c r="AE49" s="2">
        <v>34</v>
      </c>
      <c r="AF49" s="2">
        <v>38</v>
      </c>
      <c r="AG49" s="2">
        <v>39</v>
      </c>
      <c r="AH49" s="2">
        <v>40</v>
      </c>
      <c r="AI49" s="2">
        <v>42</v>
      </c>
      <c r="AJ49" s="2">
        <v>43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623</v>
      </c>
      <c r="B50" s="2">
        <v>126</v>
      </c>
      <c r="C50" s="2">
        <v>32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1</v>
      </c>
      <c r="J50" s="2">
        <v>1</v>
      </c>
      <c r="K50" s="2">
        <v>1</v>
      </c>
      <c r="L50" s="2">
        <v>1</v>
      </c>
      <c r="M50" s="2">
        <v>2</v>
      </c>
      <c r="N50" s="2">
        <v>2</v>
      </c>
      <c r="O50" s="2">
        <v>2</v>
      </c>
      <c r="P50" s="2">
        <v>5</v>
      </c>
      <c r="Q50" s="2">
        <v>5</v>
      </c>
      <c r="R50" s="2">
        <v>5</v>
      </c>
      <c r="S50" s="2">
        <v>5</v>
      </c>
      <c r="T50" s="2">
        <v>7</v>
      </c>
      <c r="U50" s="2">
        <v>7</v>
      </c>
      <c r="V50" s="2">
        <v>8</v>
      </c>
      <c r="W50" s="2">
        <v>10</v>
      </c>
      <c r="X50" s="2">
        <v>10</v>
      </c>
      <c r="Y50" s="2">
        <v>10</v>
      </c>
      <c r="Z50" s="2">
        <v>11</v>
      </c>
      <c r="AA50" s="2">
        <v>11</v>
      </c>
      <c r="AB50" s="2">
        <v>11</v>
      </c>
      <c r="AC50" s="2">
        <v>12</v>
      </c>
      <c r="AD50" s="2">
        <v>13</v>
      </c>
      <c r="AE50" s="2">
        <v>13</v>
      </c>
      <c r="AF50" s="2">
        <v>15</v>
      </c>
      <c r="AG50" s="2">
        <v>15</v>
      </c>
      <c r="AH50" s="2">
        <v>15</v>
      </c>
      <c r="AI50" s="2">
        <v>15</v>
      </c>
      <c r="AJ50" s="2">
        <v>15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10</v>
      </c>
      <c r="B51" s="2">
        <v>127</v>
      </c>
      <c r="C51" s="2">
        <v>32</v>
      </c>
      <c r="D51" s="2">
        <v>0</v>
      </c>
      <c r="E51" s="2">
        <v>1</v>
      </c>
      <c r="F51" s="2">
        <v>0</v>
      </c>
      <c r="G51" s="2">
        <v>1</v>
      </c>
      <c r="H51" s="2">
        <v>1</v>
      </c>
      <c r="I51" s="2">
        <v>1</v>
      </c>
      <c r="J51" s="2">
        <v>0</v>
      </c>
      <c r="K51" s="2">
        <v>-1</v>
      </c>
      <c r="L51" s="2">
        <v>-2</v>
      </c>
      <c r="M51" s="2">
        <v>-3</v>
      </c>
      <c r="N51" s="2">
        <v>-4</v>
      </c>
      <c r="O51" s="2">
        <v>-5</v>
      </c>
      <c r="P51" s="2">
        <v>-3</v>
      </c>
      <c r="Q51" s="2">
        <v>-4</v>
      </c>
      <c r="R51" s="2">
        <v>-5</v>
      </c>
      <c r="S51" s="2">
        <v>-3</v>
      </c>
      <c r="T51" s="2">
        <v>-3</v>
      </c>
      <c r="U51" s="2">
        <v>-4</v>
      </c>
      <c r="V51" s="2">
        <v>-4</v>
      </c>
      <c r="W51" s="2">
        <v>-3</v>
      </c>
      <c r="X51" s="2">
        <v>-3</v>
      </c>
      <c r="Y51" s="2">
        <v>-4</v>
      </c>
      <c r="Z51" s="2">
        <v>-4</v>
      </c>
      <c r="AA51" s="2">
        <v>-4</v>
      </c>
      <c r="AB51" s="2">
        <v>-4</v>
      </c>
      <c r="AC51" s="2">
        <v>-5</v>
      </c>
      <c r="AD51" s="2">
        <v>-4</v>
      </c>
      <c r="AE51" s="2">
        <v>-4</v>
      </c>
      <c r="AF51" s="2">
        <v>-4</v>
      </c>
      <c r="AG51" s="2">
        <v>-4</v>
      </c>
      <c r="AH51" s="2">
        <v>-5</v>
      </c>
      <c r="AI51" s="2">
        <v>-5</v>
      </c>
      <c r="AJ51" s="2">
        <v>-6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420</v>
      </c>
      <c r="B52" s="2">
        <v>128</v>
      </c>
      <c r="C52" s="2">
        <v>0</v>
      </c>
      <c r="D52" s="2">
        <v>0</v>
      </c>
      <c r="E52" s="2" t="e">
        <v>#N/A</v>
      </c>
      <c r="F52" s="2" t="e">
        <v>#N/A</v>
      </c>
      <c r="G52" s="2" t="e">
        <v>#N/A</v>
      </c>
      <c r="H52" s="2" t="e">
        <v>#N/A</v>
      </c>
      <c r="I52" s="2" t="e">
        <v>#N/A</v>
      </c>
      <c r="J52" s="2" t="e">
        <v>#N/A</v>
      </c>
      <c r="K52" s="2" t="e">
        <v>#N/A</v>
      </c>
      <c r="L52" s="2" t="e">
        <v>#N/A</v>
      </c>
      <c r="M52" s="2" t="e">
        <v>#N/A</v>
      </c>
      <c r="N52" s="2" t="e">
        <v>#N/A</v>
      </c>
      <c r="O52" s="2" t="e">
        <v>#N/A</v>
      </c>
      <c r="P52" s="2" t="e">
        <v>#N/A</v>
      </c>
      <c r="Q52" s="2" t="e">
        <v>#N/A</v>
      </c>
      <c r="R52" s="2" t="e">
        <v>#N/A</v>
      </c>
      <c r="S52" s="2" t="e">
        <v>#N/A</v>
      </c>
      <c r="T52" s="2" t="e">
        <v>#N/A</v>
      </c>
      <c r="U52" s="2" t="e">
        <v>#N/A</v>
      </c>
      <c r="V52" s="2" t="e">
        <v>#N/A</v>
      </c>
      <c r="W52" s="2" t="e">
        <v>#N/A</v>
      </c>
      <c r="X52" s="2" t="e">
        <v>#N/A</v>
      </c>
      <c r="Y52" s="2" t="e">
        <v>#N/A</v>
      </c>
      <c r="Z52" s="2" t="e">
        <v>#N/A</v>
      </c>
      <c r="AA52" s="2" t="e">
        <v>#N/A</v>
      </c>
      <c r="AB52" s="2" t="e">
        <v>#N/A</v>
      </c>
      <c r="AC52" s="2" t="e">
        <v>#N/A</v>
      </c>
      <c r="AD52" s="2" t="e">
        <v>#N/A</v>
      </c>
      <c r="AE52" s="2" t="e">
        <v>#N/A</v>
      </c>
      <c r="AF52" s="2" t="e">
        <v>#N/A</v>
      </c>
      <c r="AG52" s="2" t="e">
        <v>#N/A</v>
      </c>
      <c r="AH52" s="2" t="e">
        <v>#N/A</v>
      </c>
      <c r="AI52" s="2" t="e">
        <v>#N/A</v>
      </c>
      <c r="AJ52" s="2" t="e">
        <v>#N/A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768</v>
      </c>
      <c r="B53" s="2">
        <v>129</v>
      </c>
      <c r="C53" s="2">
        <v>32</v>
      </c>
      <c r="D53" s="2">
        <v>0</v>
      </c>
      <c r="E53" s="2">
        <v>4</v>
      </c>
      <c r="F53" s="2">
        <v>6</v>
      </c>
      <c r="G53" s="2">
        <v>8</v>
      </c>
      <c r="H53" s="2">
        <v>8</v>
      </c>
      <c r="I53" s="2">
        <v>9</v>
      </c>
      <c r="J53" s="2">
        <v>11</v>
      </c>
      <c r="K53" s="2">
        <v>11</v>
      </c>
      <c r="L53" s="2">
        <v>12</v>
      </c>
      <c r="M53" s="2">
        <v>13</v>
      </c>
      <c r="N53" s="2">
        <v>14</v>
      </c>
      <c r="O53" s="2">
        <v>15</v>
      </c>
      <c r="P53" s="2">
        <v>17</v>
      </c>
      <c r="Q53" s="2">
        <v>17</v>
      </c>
      <c r="R53" s="2">
        <v>18</v>
      </c>
      <c r="S53" s="2">
        <v>20</v>
      </c>
      <c r="T53" s="2">
        <v>22</v>
      </c>
      <c r="U53" s="2">
        <v>25</v>
      </c>
      <c r="V53" s="2">
        <v>26</v>
      </c>
      <c r="W53" s="2">
        <v>28</v>
      </c>
      <c r="X53" s="2">
        <v>28</v>
      </c>
      <c r="Y53" s="2">
        <v>28</v>
      </c>
      <c r="Z53" s="2">
        <v>31</v>
      </c>
      <c r="AA53" s="2">
        <v>32</v>
      </c>
      <c r="AB53" s="2">
        <v>33</v>
      </c>
      <c r="AC53" s="2">
        <v>34</v>
      </c>
      <c r="AD53" s="2">
        <v>36</v>
      </c>
      <c r="AE53" s="2">
        <v>37</v>
      </c>
      <c r="AF53" s="2">
        <v>40</v>
      </c>
      <c r="AG53" s="2">
        <v>41</v>
      </c>
      <c r="AH53" s="2">
        <v>42</v>
      </c>
      <c r="AI53" s="2">
        <v>43</v>
      </c>
      <c r="AJ53" s="2">
        <v>44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783</v>
      </c>
      <c r="B54" s="2">
        <v>130</v>
      </c>
      <c r="C54" s="2">
        <v>32</v>
      </c>
      <c r="D54" s="2">
        <v>0</v>
      </c>
      <c r="E54" s="2">
        <v>-1</v>
      </c>
      <c r="F54" s="2">
        <v>-2</v>
      </c>
      <c r="G54" s="2">
        <v>-3</v>
      </c>
      <c r="H54" s="2">
        <v>-4</v>
      </c>
      <c r="I54" s="2">
        <v>-4</v>
      </c>
      <c r="J54" s="2">
        <v>-4</v>
      </c>
      <c r="K54" s="2">
        <v>-5</v>
      </c>
      <c r="L54" s="2">
        <v>-5</v>
      </c>
      <c r="M54" s="2">
        <v>-5</v>
      </c>
      <c r="N54" s="2">
        <v>-5</v>
      </c>
      <c r="O54" s="2">
        <v>-4</v>
      </c>
      <c r="P54" s="2">
        <v>-4</v>
      </c>
      <c r="Q54" s="2">
        <v>-5</v>
      </c>
      <c r="R54" s="2">
        <v>-4</v>
      </c>
      <c r="S54" s="2">
        <v>-4</v>
      </c>
      <c r="T54" s="2">
        <v>-5</v>
      </c>
      <c r="U54" s="2">
        <v>-6</v>
      </c>
      <c r="V54" s="2">
        <v>-5</v>
      </c>
      <c r="W54" s="2">
        <v>-4</v>
      </c>
      <c r="X54" s="2">
        <v>-5</v>
      </c>
      <c r="Y54" s="2">
        <v>-5</v>
      </c>
      <c r="Z54" s="2">
        <v>-6</v>
      </c>
      <c r="AA54" s="2">
        <v>-6</v>
      </c>
      <c r="AB54" s="2">
        <v>-6</v>
      </c>
      <c r="AC54" s="2">
        <v>-6</v>
      </c>
      <c r="AD54" s="2">
        <v>-6</v>
      </c>
      <c r="AE54" s="2">
        <v>-7</v>
      </c>
      <c r="AF54" s="2">
        <v>-8</v>
      </c>
      <c r="AG54" s="2">
        <v>-8</v>
      </c>
      <c r="AH54" s="2">
        <v>-7</v>
      </c>
      <c r="AI54" s="2">
        <v>-7</v>
      </c>
      <c r="AJ54" s="2">
        <v>-6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784</v>
      </c>
      <c r="B55" s="2">
        <v>131</v>
      </c>
      <c r="C55" s="2">
        <v>32</v>
      </c>
      <c r="D55" s="2">
        <v>0</v>
      </c>
      <c r="E55" s="2">
        <v>0</v>
      </c>
      <c r="F55" s="2">
        <v>0</v>
      </c>
      <c r="G55" s="2">
        <v>1</v>
      </c>
      <c r="H55" s="2">
        <v>1</v>
      </c>
      <c r="I55" s="2">
        <v>1</v>
      </c>
      <c r="J55" s="2">
        <v>2</v>
      </c>
      <c r="K55" s="2">
        <v>2</v>
      </c>
      <c r="L55" s="2">
        <v>2</v>
      </c>
      <c r="M55" s="2">
        <v>2</v>
      </c>
      <c r="N55" s="2">
        <v>4</v>
      </c>
      <c r="O55" s="2">
        <v>4</v>
      </c>
      <c r="P55" s="2">
        <v>4</v>
      </c>
      <c r="Q55" s="2">
        <v>5</v>
      </c>
      <c r="R55" s="2">
        <v>7</v>
      </c>
      <c r="S55" s="2">
        <v>8</v>
      </c>
      <c r="T55" s="2">
        <v>8</v>
      </c>
      <c r="U55" s="2">
        <v>8</v>
      </c>
      <c r="V55" s="2">
        <v>9</v>
      </c>
      <c r="W55" s="2">
        <v>9</v>
      </c>
      <c r="X55" s="2">
        <v>9</v>
      </c>
      <c r="Y55" s="2">
        <v>9</v>
      </c>
      <c r="Z55" s="2">
        <v>9</v>
      </c>
      <c r="AA55" s="2">
        <v>8</v>
      </c>
      <c r="AB55" s="2">
        <v>7</v>
      </c>
      <c r="AC55" s="2">
        <v>8</v>
      </c>
      <c r="AD55" s="2">
        <v>8</v>
      </c>
      <c r="AE55" s="2">
        <v>7</v>
      </c>
      <c r="AF55" s="2">
        <v>11</v>
      </c>
      <c r="AG55" s="2">
        <v>11</v>
      </c>
      <c r="AH55" s="2">
        <v>10</v>
      </c>
      <c r="AI55" s="2">
        <v>10</v>
      </c>
      <c r="AJ55" s="2">
        <v>10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400</v>
      </c>
      <c r="B56" s="2">
        <v>132</v>
      </c>
      <c r="C56" s="2">
        <v>32</v>
      </c>
      <c r="D56" s="2">
        <v>0</v>
      </c>
      <c r="E56" s="2">
        <v>2</v>
      </c>
      <c r="F56" s="2">
        <v>3</v>
      </c>
      <c r="G56" s="2">
        <v>5</v>
      </c>
      <c r="H56" s="2">
        <v>5</v>
      </c>
      <c r="I56" s="2">
        <v>6</v>
      </c>
      <c r="J56" s="2">
        <v>9</v>
      </c>
      <c r="K56" s="2">
        <v>9</v>
      </c>
      <c r="L56" s="2">
        <v>9</v>
      </c>
      <c r="M56" s="2">
        <v>11</v>
      </c>
      <c r="N56" s="2">
        <v>13</v>
      </c>
      <c r="O56" s="2">
        <v>13</v>
      </c>
      <c r="P56" s="2">
        <v>13</v>
      </c>
      <c r="Q56" s="2">
        <v>14</v>
      </c>
      <c r="R56" s="2">
        <v>15</v>
      </c>
      <c r="S56" s="2">
        <v>17</v>
      </c>
      <c r="T56" s="2">
        <v>18</v>
      </c>
      <c r="U56" s="2">
        <v>21</v>
      </c>
      <c r="V56" s="2">
        <v>23</v>
      </c>
      <c r="W56" s="2">
        <v>25</v>
      </c>
      <c r="X56" s="2">
        <v>25</v>
      </c>
      <c r="Y56" s="2">
        <v>25</v>
      </c>
      <c r="Z56" s="2">
        <v>27</v>
      </c>
      <c r="AA56" s="2">
        <v>28</v>
      </c>
      <c r="AB56" s="2">
        <v>28</v>
      </c>
      <c r="AC56" s="2">
        <v>29</v>
      </c>
      <c r="AD56" s="2">
        <v>32</v>
      </c>
      <c r="AE56" s="2">
        <v>32</v>
      </c>
      <c r="AF56" s="2">
        <v>34</v>
      </c>
      <c r="AG56" s="2">
        <v>35</v>
      </c>
      <c r="AH56" s="2">
        <v>36</v>
      </c>
      <c r="AI56" s="2">
        <v>37</v>
      </c>
      <c r="AJ56" s="2">
        <v>37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785</v>
      </c>
      <c r="B57" s="2">
        <v>133</v>
      </c>
      <c r="C57" s="2">
        <v>32</v>
      </c>
      <c r="D57" s="2">
        <v>0</v>
      </c>
      <c r="E57" s="2">
        <v>0</v>
      </c>
      <c r="F57" s="2">
        <v>-1</v>
      </c>
      <c r="G57" s="2">
        <v>0</v>
      </c>
      <c r="H57" s="2">
        <v>-1</v>
      </c>
      <c r="I57" s="2">
        <v>0</v>
      </c>
      <c r="J57" s="2">
        <v>-1</v>
      </c>
      <c r="K57" s="2">
        <v>-1</v>
      </c>
      <c r="L57" s="2">
        <v>-1</v>
      </c>
      <c r="M57" s="2">
        <v>0</v>
      </c>
      <c r="N57" s="2">
        <v>0</v>
      </c>
      <c r="O57" s="2">
        <v>0</v>
      </c>
      <c r="P57" s="2">
        <v>1</v>
      </c>
      <c r="Q57" s="2">
        <v>0</v>
      </c>
      <c r="R57" s="2">
        <v>0</v>
      </c>
      <c r="S57" s="2">
        <v>1</v>
      </c>
      <c r="T57" s="2">
        <v>1</v>
      </c>
      <c r="U57" s="2">
        <v>1</v>
      </c>
      <c r="V57" s="2">
        <v>1</v>
      </c>
      <c r="W57" s="2">
        <v>2</v>
      </c>
      <c r="X57" s="2">
        <v>2</v>
      </c>
      <c r="Y57" s="2">
        <v>2</v>
      </c>
      <c r="Z57" s="2">
        <v>1</v>
      </c>
      <c r="AA57" s="2">
        <v>2</v>
      </c>
      <c r="AB57" s="2">
        <v>3</v>
      </c>
      <c r="AC57" s="2">
        <v>3</v>
      </c>
      <c r="AD57" s="2">
        <v>3</v>
      </c>
      <c r="AE57" s="2">
        <v>2</v>
      </c>
      <c r="AF57" s="2">
        <v>3</v>
      </c>
      <c r="AG57" s="2">
        <v>2</v>
      </c>
      <c r="AH57" s="2">
        <v>1</v>
      </c>
      <c r="AI57" s="2">
        <v>1</v>
      </c>
      <c r="AJ57" s="2">
        <v>1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615</v>
      </c>
      <c r="B58" s="2">
        <v>134</v>
      </c>
      <c r="C58" s="2">
        <v>32</v>
      </c>
      <c r="D58" s="2">
        <v>0</v>
      </c>
      <c r="E58" s="2">
        <v>2</v>
      </c>
      <c r="F58" s="2">
        <v>5</v>
      </c>
      <c r="G58" s="2">
        <v>7</v>
      </c>
      <c r="H58" s="2">
        <v>7</v>
      </c>
      <c r="I58" s="2">
        <v>8</v>
      </c>
      <c r="J58" s="2">
        <v>11</v>
      </c>
      <c r="K58" s="2">
        <v>12</v>
      </c>
      <c r="L58" s="2">
        <v>12</v>
      </c>
      <c r="M58" s="2">
        <v>12</v>
      </c>
      <c r="N58" s="2">
        <v>14</v>
      </c>
      <c r="O58" s="2">
        <v>14</v>
      </c>
      <c r="P58" s="2">
        <v>15</v>
      </c>
      <c r="Q58" s="2">
        <v>15</v>
      </c>
      <c r="R58" s="2">
        <v>16</v>
      </c>
      <c r="S58" s="2">
        <v>16</v>
      </c>
      <c r="T58" s="2">
        <v>17</v>
      </c>
      <c r="U58" s="2">
        <v>20</v>
      </c>
      <c r="V58" s="2">
        <v>22</v>
      </c>
      <c r="W58" s="2">
        <v>23</v>
      </c>
      <c r="X58" s="2">
        <v>24</v>
      </c>
      <c r="Y58" s="2">
        <v>24</v>
      </c>
      <c r="Z58" s="2">
        <v>25</v>
      </c>
      <c r="AA58" s="2">
        <v>26</v>
      </c>
      <c r="AB58" s="2">
        <v>26</v>
      </c>
      <c r="AC58" s="2">
        <v>28</v>
      </c>
      <c r="AD58" s="2">
        <v>30</v>
      </c>
      <c r="AE58" s="2">
        <v>31</v>
      </c>
      <c r="AF58" s="2">
        <v>34</v>
      </c>
      <c r="AG58" s="2">
        <v>36</v>
      </c>
      <c r="AH58" s="2">
        <v>36</v>
      </c>
      <c r="AI58" s="2">
        <v>38</v>
      </c>
      <c r="AJ58" s="2">
        <v>38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631</v>
      </c>
      <c r="B59" s="2">
        <v>135</v>
      </c>
      <c r="C59" s="2">
        <v>32</v>
      </c>
      <c r="D59" s="2">
        <v>0</v>
      </c>
      <c r="E59" s="2">
        <v>1</v>
      </c>
      <c r="F59" s="2">
        <v>4</v>
      </c>
      <c r="G59" s="2">
        <v>8</v>
      </c>
      <c r="H59" s="2">
        <v>9</v>
      </c>
      <c r="I59" s="2">
        <v>10</v>
      </c>
      <c r="J59" s="2">
        <v>12</v>
      </c>
      <c r="K59" s="2">
        <v>13</v>
      </c>
      <c r="L59" s="2">
        <v>13</v>
      </c>
      <c r="M59" s="2">
        <v>15</v>
      </c>
      <c r="N59" s="2">
        <v>16</v>
      </c>
      <c r="O59" s="2">
        <v>16</v>
      </c>
      <c r="P59" s="2">
        <v>17</v>
      </c>
      <c r="Q59" s="2">
        <v>17</v>
      </c>
      <c r="R59" s="2">
        <v>18</v>
      </c>
      <c r="S59" s="2">
        <v>18</v>
      </c>
      <c r="T59" s="2">
        <v>18</v>
      </c>
      <c r="U59" s="2">
        <v>21</v>
      </c>
      <c r="V59" s="2">
        <v>24</v>
      </c>
      <c r="W59" s="2">
        <v>27</v>
      </c>
      <c r="X59" s="2">
        <v>27</v>
      </c>
      <c r="Y59" s="2">
        <v>27</v>
      </c>
      <c r="Z59" s="2">
        <v>29</v>
      </c>
      <c r="AA59" s="2">
        <v>29</v>
      </c>
      <c r="AB59" s="2">
        <v>31</v>
      </c>
      <c r="AC59" s="2">
        <v>32</v>
      </c>
      <c r="AD59" s="2">
        <v>35</v>
      </c>
      <c r="AE59" s="2">
        <v>37</v>
      </c>
      <c r="AF59" s="2">
        <v>41</v>
      </c>
      <c r="AG59" s="2">
        <v>42</v>
      </c>
      <c r="AH59" s="2">
        <v>43</v>
      </c>
      <c r="AI59" s="2">
        <v>43</v>
      </c>
      <c r="AJ59" s="2">
        <v>43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404</v>
      </c>
      <c r="B60" s="2">
        <v>136</v>
      </c>
      <c r="C60" s="2">
        <v>32</v>
      </c>
      <c r="D60" s="2">
        <v>0</v>
      </c>
      <c r="E60" s="2">
        <v>1</v>
      </c>
      <c r="F60" s="2">
        <v>1</v>
      </c>
      <c r="G60" s="2">
        <v>3</v>
      </c>
      <c r="H60" s="2">
        <v>2</v>
      </c>
      <c r="I60" s="2">
        <v>3</v>
      </c>
      <c r="J60" s="2">
        <v>3</v>
      </c>
      <c r="K60" s="2">
        <v>4</v>
      </c>
      <c r="L60" s="2">
        <v>5</v>
      </c>
      <c r="M60" s="2">
        <v>5</v>
      </c>
      <c r="N60" s="2">
        <v>6</v>
      </c>
      <c r="O60" s="2">
        <v>6</v>
      </c>
      <c r="P60" s="2">
        <v>7</v>
      </c>
      <c r="Q60" s="2">
        <v>7</v>
      </c>
      <c r="R60" s="2">
        <v>7</v>
      </c>
      <c r="S60" s="2">
        <v>7</v>
      </c>
      <c r="T60" s="2">
        <v>8</v>
      </c>
      <c r="U60" s="2">
        <v>8</v>
      </c>
      <c r="V60" s="2">
        <v>7</v>
      </c>
      <c r="W60" s="2">
        <v>7</v>
      </c>
      <c r="X60" s="2">
        <v>6</v>
      </c>
      <c r="Y60" s="2">
        <v>6</v>
      </c>
      <c r="Z60" s="2">
        <v>7</v>
      </c>
      <c r="AA60" s="2">
        <v>6</v>
      </c>
      <c r="AB60" s="2">
        <v>6</v>
      </c>
      <c r="AC60" s="2">
        <v>7</v>
      </c>
      <c r="AD60" s="2">
        <v>7</v>
      </c>
      <c r="AE60" s="2">
        <v>7</v>
      </c>
      <c r="AF60" s="2">
        <v>7</v>
      </c>
      <c r="AG60" s="2">
        <v>8</v>
      </c>
      <c r="AH60" s="2">
        <v>8</v>
      </c>
      <c r="AI60" s="2">
        <v>8</v>
      </c>
      <c r="AJ60" s="2">
        <v>8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474</v>
      </c>
      <c r="B61" s="2">
        <v>137</v>
      </c>
      <c r="C61" s="2">
        <v>0</v>
      </c>
      <c r="D61" s="2">
        <v>0</v>
      </c>
      <c r="E61" s="2" t="e">
        <v>#N/A</v>
      </c>
      <c r="F61" s="2" t="e">
        <v>#N/A</v>
      </c>
      <c r="G61" s="2" t="e">
        <v>#N/A</v>
      </c>
      <c r="H61" s="2" t="e">
        <v>#N/A</v>
      </c>
      <c r="I61" s="2" t="e">
        <v>#N/A</v>
      </c>
      <c r="J61" s="2" t="e">
        <v>#N/A</v>
      </c>
      <c r="K61" s="2" t="e">
        <v>#N/A</v>
      </c>
      <c r="L61" s="2" t="e">
        <v>#N/A</v>
      </c>
      <c r="M61" s="2" t="e">
        <v>#N/A</v>
      </c>
      <c r="N61" s="2" t="e">
        <v>#N/A</v>
      </c>
      <c r="O61" s="2" t="e">
        <v>#N/A</v>
      </c>
      <c r="P61" s="2" t="e">
        <v>#N/A</v>
      </c>
      <c r="Q61" s="2" t="e">
        <v>#N/A</v>
      </c>
      <c r="R61" s="2" t="e">
        <v>#N/A</v>
      </c>
      <c r="S61" s="2" t="e">
        <v>#N/A</v>
      </c>
      <c r="T61" s="2" t="e">
        <v>#N/A</v>
      </c>
      <c r="U61" s="2" t="e">
        <v>#N/A</v>
      </c>
      <c r="V61" s="2" t="e">
        <v>#N/A</v>
      </c>
      <c r="W61" s="2" t="e">
        <v>#N/A</v>
      </c>
      <c r="X61" s="2" t="e">
        <v>#N/A</v>
      </c>
      <c r="Y61" s="2" t="e">
        <v>#N/A</v>
      </c>
      <c r="Z61" s="2" t="e">
        <v>#N/A</v>
      </c>
      <c r="AA61" s="2" t="e">
        <v>#N/A</v>
      </c>
      <c r="AB61" s="2" t="e">
        <v>#N/A</v>
      </c>
      <c r="AC61" s="2" t="e">
        <v>#N/A</v>
      </c>
      <c r="AD61" s="2" t="e">
        <v>#N/A</v>
      </c>
      <c r="AE61" s="2" t="e">
        <v>#N/A</v>
      </c>
      <c r="AF61" s="2" t="e">
        <v>#N/A</v>
      </c>
      <c r="AG61" s="2" t="e">
        <v>#N/A</v>
      </c>
      <c r="AH61" s="2" t="e">
        <v>#N/A</v>
      </c>
      <c r="AI61" s="2" t="e">
        <v>#N/A</v>
      </c>
      <c r="AJ61" s="2" t="e">
        <v>#N/A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786</v>
      </c>
      <c r="B62" s="2">
        <v>138</v>
      </c>
      <c r="C62" s="2">
        <v>32</v>
      </c>
      <c r="D62" s="2">
        <v>0</v>
      </c>
      <c r="E62" s="2">
        <v>2</v>
      </c>
      <c r="F62" s="2">
        <v>3</v>
      </c>
      <c r="G62" s="2">
        <v>6</v>
      </c>
      <c r="H62" s="2">
        <v>7</v>
      </c>
      <c r="I62" s="2">
        <v>9</v>
      </c>
      <c r="J62" s="2">
        <v>10</v>
      </c>
      <c r="K62" s="2">
        <v>11</v>
      </c>
      <c r="L62" s="2">
        <v>11</v>
      </c>
      <c r="M62" s="2">
        <v>12</v>
      </c>
      <c r="N62" s="2">
        <v>13</v>
      </c>
      <c r="O62" s="2">
        <v>13</v>
      </c>
      <c r="P62" s="2">
        <v>14</v>
      </c>
      <c r="Q62" s="2">
        <v>15</v>
      </c>
      <c r="R62" s="2">
        <v>16</v>
      </c>
      <c r="S62" s="2">
        <v>17</v>
      </c>
      <c r="T62" s="2">
        <v>18</v>
      </c>
      <c r="U62" s="2">
        <v>22</v>
      </c>
      <c r="V62" s="2">
        <v>23</v>
      </c>
      <c r="W62" s="2">
        <v>25</v>
      </c>
      <c r="X62" s="2">
        <v>25</v>
      </c>
      <c r="Y62" s="2">
        <v>25</v>
      </c>
      <c r="Z62" s="2">
        <v>27</v>
      </c>
      <c r="AA62" s="2">
        <v>28</v>
      </c>
      <c r="AB62" s="2">
        <v>28</v>
      </c>
      <c r="AC62" s="2">
        <v>31</v>
      </c>
      <c r="AD62" s="2">
        <v>31</v>
      </c>
      <c r="AE62" s="2">
        <v>30</v>
      </c>
      <c r="AF62" s="2">
        <v>31</v>
      </c>
      <c r="AG62" s="2">
        <v>31</v>
      </c>
      <c r="AH62" s="2">
        <v>33</v>
      </c>
      <c r="AI62" s="2">
        <v>34</v>
      </c>
      <c r="AJ62" s="2">
        <v>34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405</v>
      </c>
      <c r="B63" s="2">
        <v>139</v>
      </c>
      <c r="C63" s="2">
        <v>32</v>
      </c>
      <c r="D63" s="2">
        <v>0</v>
      </c>
      <c r="E63" s="2">
        <v>-1</v>
      </c>
      <c r="F63" s="2">
        <v>-1</v>
      </c>
      <c r="G63" s="2">
        <v>1</v>
      </c>
      <c r="H63" s="2">
        <v>2</v>
      </c>
      <c r="I63" s="2">
        <v>2</v>
      </c>
      <c r="J63" s="2">
        <v>1</v>
      </c>
      <c r="K63" s="2">
        <v>3</v>
      </c>
      <c r="L63" s="2">
        <v>2</v>
      </c>
      <c r="M63" s="2">
        <v>3</v>
      </c>
      <c r="N63" s="2">
        <v>4</v>
      </c>
      <c r="O63" s="2">
        <v>4</v>
      </c>
      <c r="P63" s="2">
        <v>7</v>
      </c>
      <c r="Q63" s="2">
        <v>7</v>
      </c>
      <c r="R63" s="2">
        <v>9</v>
      </c>
      <c r="S63" s="2">
        <v>9</v>
      </c>
      <c r="T63" s="2">
        <v>10</v>
      </c>
      <c r="U63" s="2">
        <v>9</v>
      </c>
      <c r="V63" s="2">
        <v>9</v>
      </c>
      <c r="W63" s="2">
        <v>8</v>
      </c>
      <c r="X63" s="2">
        <v>7</v>
      </c>
      <c r="Y63" s="2">
        <v>7</v>
      </c>
      <c r="Z63" s="2">
        <v>7</v>
      </c>
      <c r="AA63" s="2">
        <v>9</v>
      </c>
      <c r="AB63" s="2">
        <v>9</v>
      </c>
      <c r="AC63" s="2">
        <v>8</v>
      </c>
      <c r="AD63" s="2">
        <v>8</v>
      </c>
      <c r="AE63" s="2">
        <v>7</v>
      </c>
      <c r="AF63" s="2">
        <v>11</v>
      </c>
      <c r="AG63" s="2">
        <v>13</v>
      </c>
      <c r="AH63" s="2">
        <v>14</v>
      </c>
      <c r="AI63" s="2">
        <v>16</v>
      </c>
      <c r="AJ63" s="2">
        <v>15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491</v>
      </c>
      <c r="B64" s="2">
        <v>140</v>
      </c>
      <c r="C64" s="2">
        <v>32</v>
      </c>
      <c r="D64" s="2">
        <v>0</v>
      </c>
      <c r="E64" s="2">
        <v>0</v>
      </c>
      <c r="F64" s="2">
        <v>-1</v>
      </c>
      <c r="G64" s="2">
        <v>0</v>
      </c>
      <c r="H64" s="2">
        <v>0</v>
      </c>
      <c r="I64" s="2">
        <v>0</v>
      </c>
      <c r="J64" s="2">
        <v>0</v>
      </c>
      <c r="K64" s="2">
        <v>-1</v>
      </c>
      <c r="L64" s="2">
        <v>-2</v>
      </c>
      <c r="M64" s="2">
        <v>-3</v>
      </c>
      <c r="N64" s="2">
        <v>-3</v>
      </c>
      <c r="O64" s="2">
        <v>-3</v>
      </c>
      <c r="P64" s="2">
        <v>-3</v>
      </c>
      <c r="Q64" s="2">
        <v>-4</v>
      </c>
      <c r="R64" s="2">
        <v>-5</v>
      </c>
      <c r="S64" s="2">
        <v>-6</v>
      </c>
      <c r="T64" s="2">
        <v>-6</v>
      </c>
      <c r="U64" s="2">
        <v>-6</v>
      </c>
      <c r="V64" s="2">
        <v>-7</v>
      </c>
      <c r="W64" s="2">
        <v>-6</v>
      </c>
      <c r="X64" s="2">
        <v>-6</v>
      </c>
      <c r="Y64" s="2">
        <v>-6</v>
      </c>
      <c r="Z64" s="2">
        <v>-7</v>
      </c>
      <c r="AA64" s="2">
        <v>-7</v>
      </c>
      <c r="AB64" s="2">
        <v>-7</v>
      </c>
      <c r="AC64" s="2">
        <v>-8</v>
      </c>
      <c r="AD64" s="2">
        <v>-7</v>
      </c>
      <c r="AE64" s="2">
        <v>-6</v>
      </c>
      <c r="AF64" s="2">
        <v>-6</v>
      </c>
      <c r="AG64" s="2">
        <v>-5</v>
      </c>
      <c r="AH64" s="2">
        <v>-4</v>
      </c>
      <c r="AI64" s="2">
        <v>-4</v>
      </c>
      <c r="AJ64" s="2">
        <v>-3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483</v>
      </c>
      <c r="B65" s="2">
        <v>141</v>
      </c>
      <c r="C65" s="2">
        <v>32</v>
      </c>
      <c r="D65" s="2">
        <v>0</v>
      </c>
      <c r="E65" s="2">
        <v>1</v>
      </c>
      <c r="F65" s="2">
        <v>2</v>
      </c>
      <c r="G65" s="2">
        <v>5</v>
      </c>
      <c r="H65" s="2">
        <v>7</v>
      </c>
      <c r="I65" s="2">
        <v>8</v>
      </c>
      <c r="J65" s="2">
        <v>9</v>
      </c>
      <c r="K65" s="2">
        <v>9</v>
      </c>
      <c r="L65" s="2">
        <v>9</v>
      </c>
      <c r="M65" s="2">
        <v>10</v>
      </c>
      <c r="N65" s="2">
        <v>13</v>
      </c>
      <c r="O65" s="2">
        <v>13</v>
      </c>
      <c r="P65" s="2">
        <v>15</v>
      </c>
      <c r="Q65" s="2">
        <v>16</v>
      </c>
      <c r="R65" s="2">
        <v>17</v>
      </c>
      <c r="S65" s="2">
        <v>18</v>
      </c>
      <c r="T65" s="2">
        <v>19</v>
      </c>
      <c r="U65" s="2">
        <v>19</v>
      </c>
      <c r="V65" s="2">
        <v>21</v>
      </c>
      <c r="W65" s="2">
        <v>24</v>
      </c>
      <c r="X65" s="2">
        <v>24</v>
      </c>
      <c r="Y65" s="2">
        <v>25</v>
      </c>
      <c r="Z65" s="2">
        <v>26</v>
      </c>
      <c r="AA65" s="2">
        <v>26</v>
      </c>
      <c r="AB65" s="2">
        <v>26</v>
      </c>
      <c r="AC65" s="2">
        <v>27</v>
      </c>
      <c r="AD65" s="2">
        <v>27</v>
      </c>
      <c r="AE65" s="2">
        <v>27</v>
      </c>
      <c r="AF65" s="2">
        <v>29</v>
      </c>
      <c r="AG65" s="2">
        <v>30</v>
      </c>
      <c r="AH65" s="2">
        <v>29</v>
      </c>
      <c r="AI65" s="2">
        <v>30</v>
      </c>
      <c r="AJ65" s="2">
        <v>30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>
        <v>0</v>
      </c>
      <c r="B66" s="2" t="e">
        <v>#N/A</v>
      </c>
      <c r="C66" s="2" t="e">
        <v>#N/A</v>
      </c>
      <c r="D66" s="2">
        <v>0</v>
      </c>
      <c r="E66" s="2" t="e">
        <v>#N/A</v>
      </c>
      <c r="F66" s="2" t="e">
        <v>#N/A</v>
      </c>
      <c r="G66" s="2" t="e">
        <v>#N/A</v>
      </c>
      <c r="H66" s="2" t="e">
        <v>#N/A</v>
      </c>
      <c r="I66" s="2" t="e">
        <v>#N/A</v>
      </c>
      <c r="J66" s="2" t="e">
        <v>#N/A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 t="e">
        <v>#N/A</v>
      </c>
      <c r="Y66" s="2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64"/>
  <sheetViews>
    <sheetView workbookViewId="0">
      <selection activeCell="F9" sqref="F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316</v>
      </c>
      <c r="F1" t="s">
        <v>123</v>
      </c>
      <c r="G1" t="s">
        <v>53</v>
      </c>
      <c r="H1" t="s">
        <v>317</v>
      </c>
    </row>
    <row r="2" spans="1:8" x14ac:dyDescent="0.25">
      <c r="A2" s="2">
        <v>1027.1199999999999</v>
      </c>
      <c r="B2" s="2">
        <v>100</v>
      </c>
      <c r="C2" s="2" t="s">
        <v>0</v>
      </c>
      <c r="D2" t="s">
        <v>503</v>
      </c>
      <c r="F2" t="s">
        <v>0</v>
      </c>
      <c r="G2">
        <v>1027.1199999999999</v>
      </c>
      <c r="H2">
        <v>6</v>
      </c>
    </row>
    <row r="3" spans="1:8" x14ac:dyDescent="0.25">
      <c r="A3" s="2">
        <v>1015.21</v>
      </c>
      <c r="B3" s="2">
        <v>15</v>
      </c>
      <c r="C3" s="2" t="s">
        <v>764</v>
      </c>
      <c r="F3" t="s">
        <v>467</v>
      </c>
      <c r="G3">
        <v>1015.21</v>
      </c>
      <c r="H3">
        <v>3</v>
      </c>
    </row>
    <row r="4" spans="1:8" x14ac:dyDescent="0.25">
      <c r="A4" s="2">
        <v>1001.47</v>
      </c>
      <c r="B4" s="2">
        <v>100</v>
      </c>
      <c r="C4" s="2" t="s">
        <v>196</v>
      </c>
      <c r="D4" t="s">
        <v>504</v>
      </c>
      <c r="F4" t="s">
        <v>196</v>
      </c>
      <c r="G4">
        <v>1001.47</v>
      </c>
      <c r="H4">
        <v>5</v>
      </c>
    </row>
    <row r="5" spans="1:8" x14ac:dyDescent="0.25">
      <c r="A5" s="2">
        <v>995.673</v>
      </c>
      <c r="B5" s="2">
        <v>100</v>
      </c>
      <c r="C5" s="2" t="s">
        <v>195</v>
      </c>
      <c r="D5" t="s">
        <v>683</v>
      </c>
      <c r="F5" t="s">
        <v>195</v>
      </c>
      <c r="G5" s="327">
        <v>995673</v>
      </c>
      <c r="H5">
        <v>6</v>
      </c>
    </row>
    <row r="6" spans="1:8" x14ac:dyDescent="0.25">
      <c r="A6" s="2">
        <v>994.03099999999995</v>
      </c>
      <c r="B6" s="2">
        <v>14</v>
      </c>
      <c r="C6" s="2" t="s">
        <v>1063</v>
      </c>
      <c r="F6" t="s">
        <v>319</v>
      </c>
      <c r="G6" s="327">
        <v>994031</v>
      </c>
      <c r="H6">
        <v>6</v>
      </c>
    </row>
    <row r="7" spans="1:8" x14ac:dyDescent="0.25">
      <c r="A7" s="2">
        <v>993.18899999999996</v>
      </c>
      <c r="B7" s="2">
        <v>16</v>
      </c>
      <c r="C7" s="2" t="s">
        <v>1064</v>
      </c>
      <c r="F7" t="s">
        <v>410</v>
      </c>
      <c r="G7" s="327">
        <v>993189</v>
      </c>
      <c r="H7">
        <v>5</v>
      </c>
    </row>
    <row r="8" spans="1:8" x14ac:dyDescent="0.25">
      <c r="A8" s="2">
        <v>992.66600000000005</v>
      </c>
      <c r="B8" s="2">
        <v>100</v>
      </c>
      <c r="C8" s="2" t="s">
        <v>321</v>
      </c>
      <c r="D8" t="s">
        <v>617</v>
      </c>
      <c r="F8" t="s">
        <v>321</v>
      </c>
      <c r="G8" s="327">
        <v>992666</v>
      </c>
      <c r="H8">
        <v>5</v>
      </c>
    </row>
    <row r="9" spans="1:8" x14ac:dyDescent="0.25">
      <c r="A9" s="2">
        <v>992.45500000000004</v>
      </c>
      <c r="B9" s="2">
        <v>17</v>
      </c>
      <c r="C9" s="2" t="s">
        <v>1065</v>
      </c>
      <c r="F9" t="s">
        <v>512</v>
      </c>
      <c r="G9" s="327">
        <v>992455</v>
      </c>
      <c r="H9">
        <v>1</v>
      </c>
    </row>
    <row r="10" spans="1:8" x14ac:dyDescent="0.25">
      <c r="A10" s="2">
        <v>986.78200000000004</v>
      </c>
      <c r="B10" s="2">
        <v>100</v>
      </c>
      <c r="C10" s="2" t="s">
        <v>518</v>
      </c>
      <c r="D10" t="s">
        <v>684</v>
      </c>
      <c r="F10" t="s">
        <v>518</v>
      </c>
      <c r="G10" s="327">
        <v>986782</v>
      </c>
      <c r="H10">
        <v>5</v>
      </c>
    </row>
    <row r="11" spans="1:8" x14ac:dyDescent="0.25">
      <c r="A11" s="2">
        <v>986.34500000000003</v>
      </c>
      <c r="B11" s="2">
        <v>100</v>
      </c>
      <c r="C11" s="2" t="s">
        <v>2</v>
      </c>
      <c r="D11" t="s">
        <v>685</v>
      </c>
      <c r="F11" t="s">
        <v>2</v>
      </c>
      <c r="G11" s="327">
        <v>986345</v>
      </c>
      <c r="H11">
        <v>6</v>
      </c>
    </row>
    <row r="12" spans="1:8" x14ac:dyDescent="0.25">
      <c r="A12" s="2">
        <v>984.39</v>
      </c>
      <c r="B12" s="2">
        <v>100</v>
      </c>
      <c r="C12" s="2" t="s">
        <v>4</v>
      </c>
      <c r="D12" t="s">
        <v>640</v>
      </c>
      <c r="F12" t="s">
        <v>4</v>
      </c>
      <c r="G12" s="327">
        <v>984.39</v>
      </c>
      <c r="H12">
        <v>6</v>
      </c>
    </row>
    <row r="13" spans="1:8" x14ac:dyDescent="0.25">
      <c r="A13" s="2">
        <v>981.98199999999997</v>
      </c>
      <c r="B13" s="2">
        <v>14</v>
      </c>
      <c r="C13" s="2" t="s">
        <v>783</v>
      </c>
      <c r="F13" t="s">
        <v>391</v>
      </c>
      <c r="G13" s="327">
        <v>981982</v>
      </c>
      <c r="H13">
        <v>5</v>
      </c>
    </row>
    <row r="14" spans="1:8" x14ac:dyDescent="0.25">
      <c r="A14" s="2">
        <v>980.97199999999998</v>
      </c>
      <c r="B14" s="2">
        <v>13</v>
      </c>
      <c r="C14" s="2" t="s">
        <v>1066</v>
      </c>
      <c r="F14" t="s">
        <v>318</v>
      </c>
      <c r="G14" s="327">
        <v>980972</v>
      </c>
      <c r="H14">
        <v>1</v>
      </c>
    </row>
    <row r="15" spans="1:8" x14ac:dyDescent="0.25">
      <c r="A15" s="2">
        <v>979.27800000000002</v>
      </c>
      <c r="B15" s="2">
        <v>100</v>
      </c>
      <c r="C15" s="2" t="s">
        <v>5</v>
      </c>
      <c r="D15" t="s">
        <v>686</v>
      </c>
      <c r="F15" t="s">
        <v>5</v>
      </c>
      <c r="G15" s="327">
        <v>979278</v>
      </c>
      <c r="H15">
        <v>5</v>
      </c>
    </row>
    <row r="16" spans="1:8" x14ac:dyDescent="0.25">
      <c r="A16" s="2">
        <v>976.60900000000004</v>
      </c>
      <c r="B16" s="2">
        <v>100</v>
      </c>
      <c r="C16" s="2" t="s">
        <v>618</v>
      </c>
      <c r="F16" t="s">
        <v>618</v>
      </c>
      <c r="G16" s="327">
        <v>976609</v>
      </c>
      <c r="H16">
        <v>1</v>
      </c>
    </row>
    <row r="17" spans="1:8" x14ac:dyDescent="0.25">
      <c r="A17" s="2">
        <v>974.69899999999996</v>
      </c>
      <c r="B17" s="2">
        <v>100</v>
      </c>
      <c r="C17" s="2" t="s">
        <v>392</v>
      </c>
      <c r="D17" t="s">
        <v>687</v>
      </c>
      <c r="F17" t="s">
        <v>392</v>
      </c>
      <c r="G17" s="327">
        <v>974699</v>
      </c>
      <c r="H17">
        <v>7</v>
      </c>
    </row>
    <row r="18" spans="1:8" x14ac:dyDescent="0.25">
      <c r="A18" s="2">
        <v>971.53899999999999</v>
      </c>
      <c r="B18" s="2">
        <v>100</v>
      </c>
      <c r="C18" s="2" t="s">
        <v>330</v>
      </c>
      <c r="F18" t="s">
        <v>330</v>
      </c>
      <c r="G18" s="327">
        <v>971539</v>
      </c>
      <c r="H18">
        <v>1</v>
      </c>
    </row>
    <row r="19" spans="1:8" x14ac:dyDescent="0.25">
      <c r="A19" s="2">
        <v>970.94500000000005</v>
      </c>
      <c r="B19" s="2">
        <v>100</v>
      </c>
      <c r="C19" s="2" t="s">
        <v>342</v>
      </c>
      <c r="D19" t="s">
        <v>688</v>
      </c>
      <c r="F19" t="s">
        <v>342</v>
      </c>
      <c r="G19" s="327">
        <v>970945</v>
      </c>
      <c r="H19">
        <v>5</v>
      </c>
    </row>
    <row r="20" spans="1:8" x14ac:dyDescent="0.25">
      <c r="A20" s="2">
        <v>968.33399999999995</v>
      </c>
      <c r="B20" s="2">
        <v>100</v>
      </c>
      <c r="C20" s="2" t="s">
        <v>9</v>
      </c>
      <c r="D20" t="s">
        <v>514</v>
      </c>
      <c r="F20" t="s">
        <v>9</v>
      </c>
      <c r="G20" s="327">
        <v>968334</v>
      </c>
      <c r="H20">
        <v>6</v>
      </c>
    </row>
    <row r="21" spans="1:8" x14ac:dyDescent="0.25">
      <c r="A21" s="2">
        <v>967.91600000000005</v>
      </c>
      <c r="B21" s="2">
        <v>15</v>
      </c>
      <c r="C21" s="2" t="s">
        <v>1067</v>
      </c>
      <c r="F21" t="s">
        <v>324</v>
      </c>
      <c r="G21" s="327">
        <v>967916</v>
      </c>
      <c r="H21">
        <v>4</v>
      </c>
    </row>
    <row r="22" spans="1:8" x14ac:dyDescent="0.25">
      <c r="A22" s="2">
        <v>962.76199999999994</v>
      </c>
      <c r="B22" s="2">
        <v>15</v>
      </c>
      <c r="C22" s="2" t="s">
        <v>1068</v>
      </c>
      <c r="F22" t="s">
        <v>448</v>
      </c>
      <c r="G22" s="327">
        <v>962762</v>
      </c>
      <c r="H22">
        <v>2</v>
      </c>
    </row>
    <row r="23" spans="1:8" x14ac:dyDescent="0.25">
      <c r="A23" s="2">
        <v>962.1</v>
      </c>
      <c r="B23" s="2">
        <v>100</v>
      </c>
      <c r="C23" s="2" t="s">
        <v>513</v>
      </c>
      <c r="F23" t="s">
        <v>513</v>
      </c>
      <c r="G23" s="327">
        <v>962.1</v>
      </c>
      <c r="H23">
        <v>2</v>
      </c>
    </row>
    <row r="24" spans="1:8" x14ac:dyDescent="0.25">
      <c r="A24" s="2">
        <v>960.05499999999995</v>
      </c>
      <c r="B24" s="2">
        <v>100</v>
      </c>
      <c r="C24" s="2" t="s">
        <v>10</v>
      </c>
      <c r="D24" t="s">
        <v>689</v>
      </c>
      <c r="F24" t="s">
        <v>10</v>
      </c>
      <c r="G24" s="327">
        <v>960055</v>
      </c>
      <c r="H24">
        <v>7</v>
      </c>
    </row>
    <row r="25" spans="1:8" x14ac:dyDescent="0.25">
      <c r="A25" s="2">
        <v>957.70699999999999</v>
      </c>
      <c r="B25" s="2">
        <v>17</v>
      </c>
      <c r="C25" s="2" t="s">
        <v>1069</v>
      </c>
      <c r="F25" t="s">
        <v>515</v>
      </c>
      <c r="G25" s="327">
        <v>957707</v>
      </c>
      <c r="H25">
        <v>1</v>
      </c>
    </row>
    <row r="26" spans="1:8" x14ac:dyDescent="0.25">
      <c r="A26" s="2">
        <v>957.23</v>
      </c>
      <c r="B26" s="2">
        <v>100</v>
      </c>
      <c r="C26" s="2" t="s">
        <v>331</v>
      </c>
      <c r="D26" t="s">
        <v>641</v>
      </c>
      <c r="F26" t="s">
        <v>331</v>
      </c>
      <c r="G26" s="327">
        <v>957.23</v>
      </c>
      <c r="H26">
        <v>7</v>
      </c>
    </row>
    <row r="27" spans="1:8" x14ac:dyDescent="0.25">
      <c r="A27" s="2">
        <v>956.25300000000004</v>
      </c>
      <c r="B27" s="2">
        <v>18</v>
      </c>
      <c r="C27" s="2" t="s">
        <v>1070</v>
      </c>
      <c r="F27" t="s">
        <v>522</v>
      </c>
      <c r="G27" s="327">
        <v>956253</v>
      </c>
      <c r="H27">
        <v>2</v>
      </c>
    </row>
    <row r="28" spans="1:8" x14ac:dyDescent="0.25">
      <c r="A28" s="2">
        <v>953.83299999999997</v>
      </c>
      <c r="B28" s="2">
        <v>100</v>
      </c>
      <c r="C28" s="2" t="s">
        <v>405</v>
      </c>
      <c r="D28" t="s">
        <v>690</v>
      </c>
      <c r="F28" t="s">
        <v>405</v>
      </c>
      <c r="G28" s="327">
        <v>953833</v>
      </c>
      <c r="H28">
        <v>6</v>
      </c>
    </row>
    <row r="29" spans="1:8" x14ac:dyDescent="0.25">
      <c r="A29" s="2">
        <v>953.45299999999997</v>
      </c>
      <c r="B29" s="2">
        <v>100</v>
      </c>
      <c r="C29" s="2" t="s">
        <v>494</v>
      </c>
      <c r="D29" t="s">
        <v>691</v>
      </c>
      <c r="F29" t="s">
        <v>494</v>
      </c>
      <c r="G29" s="327">
        <v>953453</v>
      </c>
      <c r="H29">
        <v>6</v>
      </c>
    </row>
    <row r="30" spans="1:8" x14ac:dyDescent="0.25">
      <c r="A30" s="2">
        <v>951.38599999999997</v>
      </c>
      <c r="B30" s="2">
        <v>100</v>
      </c>
      <c r="C30" s="2" t="s">
        <v>323</v>
      </c>
      <c r="D30" t="s">
        <v>692</v>
      </c>
      <c r="F30" t="s">
        <v>323</v>
      </c>
      <c r="G30" s="327">
        <v>951386</v>
      </c>
      <c r="H30">
        <v>6</v>
      </c>
    </row>
    <row r="31" spans="1:8" x14ac:dyDescent="0.25">
      <c r="A31" s="2">
        <v>947.077</v>
      </c>
      <c r="B31" s="2">
        <v>100</v>
      </c>
      <c r="C31" s="2" t="s">
        <v>3</v>
      </c>
      <c r="D31" t="s">
        <v>693</v>
      </c>
      <c r="F31" t="s">
        <v>3</v>
      </c>
      <c r="G31" s="327">
        <v>947077</v>
      </c>
      <c r="H31">
        <v>6</v>
      </c>
    </row>
    <row r="32" spans="1:8" x14ac:dyDescent="0.25">
      <c r="A32" s="2">
        <v>943.19799999999998</v>
      </c>
      <c r="B32" s="2">
        <v>100</v>
      </c>
      <c r="C32" s="2" t="s">
        <v>520</v>
      </c>
      <c r="D32" t="s">
        <v>694</v>
      </c>
      <c r="F32" t="s">
        <v>520</v>
      </c>
      <c r="G32" s="327">
        <v>943198</v>
      </c>
      <c r="H32">
        <v>5</v>
      </c>
    </row>
    <row r="33" spans="1:8" x14ac:dyDescent="0.25">
      <c r="A33" s="2">
        <v>939.58100000000002</v>
      </c>
      <c r="B33" s="2">
        <v>14</v>
      </c>
      <c r="C33" s="2" t="s">
        <v>1071</v>
      </c>
      <c r="F33" t="s">
        <v>433</v>
      </c>
      <c r="G33" s="327">
        <v>939581</v>
      </c>
      <c r="H33">
        <v>5</v>
      </c>
    </row>
    <row r="34" spans="1:8" x14ac:dyDescent="0.25">
      <c r="A34" s="2">
        <v>938.91200000000003</v>
      </c>
      <c r="B34" s="2">
        <v>100</v>
      </c>
      <c r="C34" s="2" t="s">
        <v>16</v>
      </c>
      <c r="D34" t="s">
        <v>695</v>
      </c>
      <c r="F34" t="s">
        <v>16</v>
      </c>
      <c r="G34" s="327">
        <v>938912</v>
      </c>
      <c r="H34">
        <v>5</v>
      </c>
    </row>
    <row r="35" spans="1:8" x14ac:dyDescent="0.25">
      <c r="A35" s="2">
        <v>937.08399999999995</v>
      </c>
      <c r="B35" s="2">
        <v>100</v>
      </c>
      <c r="C35" s="2" t="s">
        <v>13</v>
      </c>
      <c r="D35" t="s">
        <v>642</v>
      </c>
      <c r="F35" t="s">
        <v>13</v>
      </c>
      <c r="G35" s="327">
        <v>937084</v>
      </c>
      <c r="H35">
        <v>6</v>
      </c>
    </row>
    <row r="36" spans="1:8" x14ac:dyDescent="0.25">
      <c r="A36" s="2">
        <v>936.66300000000001</v>
      </c>
      <c r="B36" s="2">
        <v>100</v>
      </c>
      <c r="C36" s="2" t="s">
        <v>456</v>
      </c>
      <c r="F36" t="s">
        <v>456</v>
      </c>
      <c r="G36" s="327">
        <v>936663</v>
      </c>
      <c r="H36">
        <v>2</v>
      </c>
    </row>
    <row r="37" spans="1:8" x14ac:dyDescent="0.25">
      <c r="A37" s="2">
        <v>932.84299999999996</v>
      </c>
      <c r="B37" s="2">
        <v>17</v>
      </c>
      <c r="C37" s="2" t="s">
        <v>1072</v>
      </c>
      <c r="F37" t="s">
        <v>466</v>
      </c>
      <c r="G37" s="327">
        <v>932843</v>
      </c>
      <c r="H37">
        <v>1</v>
      </c>
    </row>
    <row r="38" spans="1:8" x14ac:dyDescent="0.25">
      <c r="A38" s="2">
        <v>927.86199999999997</v>
      </c>
      <c r="B38" s="2">
        <v>100</v>
      </c>
      <c r="C38" s="2" t="s">
        <v>428</v>
      </c>
      <c r="D38" t="s">
        <v>517</v>
      </c>
      <c r="F38" t="s">
        <v>428</v>
      </c>
      <c r="G38" s="327">
        <v>927862</v>
      </c>
      <c r="H38">
        <v>5</v>
      </c>
    </row>
    <row r="39" spans="1:8" x14ac:dyDescent="0.25">
      <c r="A39" s="2">
        <v>926.93600000000004</v>
      </c>
      <c r="B39" s="2">
        <v>100</v>
      </c>
      <c r="C39" s="2" t="s">
        <v>404</v>
      </c>
      <c r="D39" t="s">
        <v>696</v>
      </c>
      <c r="F39" t="s">
        <v>404</v>
      </c>
      <c r="G39" s="327">
        <v>926936</v>
      </c>
      <c r="H39">
        <v>5</v>
      </c>
    </row>
    <row r="40" spans="1:8" x14ac:dyDescent="0.25">
      <c r="A40" s="2">
        <v>925.79600000000005</v>
      </c>
      <c r="B40" s="2">
        <v>100</v>
      </c>
      <c r="C40" s="2" t="s">
        <v>354</v>
      </c>
      <c r="D40" t="s">
        <v>505</v>
      </c>
      <c r="F40" t="s">
        <v>354</v>
      </c>
      <c r="G40" s="327">
        <v>925796</v>
      </c>
      <c r="H40">
        <v>5</v>
      </c>
    </row>
    <row r="41" spans="1:8" x14ac:dyDescent="0.25">
      <c r="A41" s="2">
        <v>924.24400000000003</v>
      </c>
      <c r="B41" s="2">
        <v>100</v>
      </c>
      <c r="C41" s="2" t="s">
        <v>17</v>
      </c>
      <c r="D41" t="s">
        <v>697</v>
      </c>
      <c r="F41" t="s">
        <v>17</v>
      </c>
      <c r="G41" s="327">
        <v>924244</v>
      </c>
      <c r="H41">
        <v>5</v>
      </c>
    </row>
    <row r="42" spans="1:8" x14ac:dyDescent="0.25">
      <c r="A42" s="2">
        <v>924.16899999999998</v>
      </c>
      <c r="B42" s="2">
        <v>100</v>
      </c>
      <c r="C42" s="2" t="s">
        <v>516</v>
      </c>
      <c r="F42" t="s">
        <v>516</v>
      </c>
      <c r="G42" s="327">
        <v>924169</v>
      </c>
      <c r="H42">
        <v>1</v>
      </c>
    </row>
    <row r="43" spans="1:8" x14ac:dyDescent="0.25">
      <c r="A43" s="2">
        <v>923.971</v>
      </c>
      <c r="B43" s="2">
        <v>14</v>
      </c>
      <c r="C43" s="2" t="s">
        <v>778</v>
      </c>
      <c r="F43" t="s">
        <v>341</v>
      </c>
      <c r="G43" s="327">
        <v>923971</v>
      </c>
      <c r="H43">
        <v>2</v>
      </c>
    </row>
    <row r="44" spans="1:8" x14ac:dyDescent="0.25">
      <c r="A44" s="2">
        <v>923.31299999999999</v>
      </c>
      <c r="B44" s="2">
        <v>100</v>
      </c>
      <c r="C44" s="2" t="s">
        <v>332</v>
      </c>
      <c r="D44" t="s">
        <v>619</v>
      </c>
      <c r="F44" t="s">
        <v>332</v>
      </c>
      <c r="G44" s="327">
        <v>923313</v>
      </c>
      <c r="H44">
        <v>5</v>
      </c>
    </row>
    <row r="45" spans="1:8" x14ac:dyDescent="0.25">
      <c r="A45" s="2">
        <v>921.226</v>
      </c>
      <c r="B45" s="2">
        <v>100</v>
      </c>
      <c r="C45" s="2" t="s">
        <v>333</v>
      </c>
      <c r="D45" t="s">
        <v>620</v>
      </c>
      <c r="F45" t="s">
        <v>333</v>
      </c>
      <c r="G45" s="327">
        <v>921226</v>
      </c>
      <c r="H45">
        <v>6</v>
      </c>
    </row>
    <row r="46" spans="1:8" x14ac:dyDescent="0.25">
      <c r="A46" s="2">
        <v>918.57</v>
      </c>
      <c r="B46" s="2">
        <v>100</v>
      </c>
      <c r="C46" s="2" t="s">
        <v>322</v>
      </c>
      <c r="D46" t="s">
        <v>698</v>
      </c>
      <c r="F46" t="s">
        <v>322</v>
      </c>
      <c r="G46" s="327">
        <v>918.57</v>
      </c>
      <c r="H46">
        <v>3</v>
      </c>
    </row>
    <row r="47" spans="1:8" x14ac:dyDescent="0.25">
      <c r="A47" s="2">
        <v>916.20100000000002</v>
      </c>
      <c r="B47" s="2">
        <v>100</v>
      </c>
      <c r="C47" s="2" t="s">
        <v>457</v>
      </c>
      <c r="D47" t="s">
        <v>699</v>
      </c>
      <c r="F47" t="s">
        <v>457</v>
      </c>
      <c r="G47" s="327">
        <v>916201</v>
      </c>
      <c r="H47">
        <v>5</v>
      </c>
    </row>
    <row r="48" spans="1:8" x14ac:dyDescent="0.25">
      <c r="A48" s="2">
        <v>913.51099999999997</v>
      </c>
      <c r="B48" s="2">
        <v>100</v>
      </c>
      <c r="C48" s="2" t="s">
        <v>700</v>
      </c>
      <c r="F48" t="s">
        <v>700</v>
      </c>
      <c r="G48" s="327">
        <v>913511</v>
      </c>
      <c r="H48">
        <v>1</v>
      </c>
    </row>
    <row r="49" spans="1:8" x14ac:dyDescent="0.25">
      <c r="A49" s="2">
        <v>913.35500000000002</v>
      </c>
      <c r="B49" s="2">
        <v>100</v>
      </c>
      <c r="C49" s="2" t="s">
        <v>7</v>
      </c>
      <c r="D49" t="s">
        <v>701</v>
      </c>
      <c r="F49" t="s">
        <v>7</v>
      </c>
      <c r="G49" s="327">
        <v>913355</v>
      </c>
      <c r="H49">
        <v>4</v>
      </c>
    </row>
    <row r="50" spans="1:8" x14ac:dyDescent="0.25">
      <c r="A50" s="2">
        <v>911.68100000000004</v>
      </c>
      <c r="B50" s="2">
        <v>100</v>
      </c>
      <c r="C50" s="2" t="s">
        <v>431</v>
      </c>
      <c r="D50" t="s">
        <v>643</v>
      </c>
      <c r="F50" t="s">
        <v>431</v>
      </c>
      <c r="G50" s="327">
        <v>911681</v>
      </c>
      <c r="H50">
        <v>6</v>
      </c>
    </row>
    <row r="51" spans="1:8" x14ac:dyDescent="0.25">
      <c r="A51" s="2">
        <v>911.63499999999999</v>
      </c>
      <c r="B51" s="2">
        <v>100</v>
      </c>
      <c r="C51" s="2" t="s">
        <v>6</v>
      </c>
      <c r="F51" t="s">
        <v>6</v>
      </c>
      <c r="G51" s="327">
        <v>911635</v>
      </c>
      <c r="H51">
        <v>1</v>
      </c>
    </row>
    <row r="52" spans="1:8" x14ac:dyDescent="0.25">
      <c r="A52" s="2">
        <v>910.40899999999999</v>
      </c>
      <c r="B52" s="2">
        <v>100</v>
      </c>
      <c r="C52" s="2" t="s">
        <v>337</v>
      </c>
      <c r="D52" t="s">
        <v>621</v>
      </c>
      <c r="F52" t="s">
        <v>337</v>
      </c>
      <c r="G52" s="327">
        <v>910409</v>
      </c>
      <c r="H52">
        <v>5</v>
      </c>
    </row>
    <row r="53" spans="1:8" x14ac:dyDescent="0.25">
      <c r="A53" s="2">
        <v>910.00800000000004</v>
      </c>
      <c r="B53" s="2">
        <v>12</v>
      </c>
      <c r="C53" s="2" t="s">
        <v>1073</v>
      </c>
      <c r="F53" t="s">
        <v>702</v>
      </c>
      <c r="G53" s="327">
        <v>910008</v>
      </c>
      <c r="H53">
        <v>4</v>
      </c>
    </row>
    <row r="54" spans="1:8" x14ac:dyDescent="0.25">
      <c r="A54" s="2">
        <v>908.91600000000005</v>
      </c>
      <c r="B54" s="2">
        <v>16</v>
      </c>
      <c r="C54" s="2" t="s">
        <v>785</v>
      </c>
      <c r="F54" t="s">
        <v>703</v>
      </c>
      <c r="G54" s="327">
        <v>908916</v>
      </c>
      <c r="H54">
        <v>5</v>
      </c>
    </row>
    <row r="55" spans="1:8" x14ac:dyDescent="0.25">
      <c r="A55" s="2">
        <v>905.99699999999996</v>
      </c>
      <c r="B55" s="2">
        <v>15</v>
      </c>
      <c r="C55" s="2" t="s">
        <v>1074</v>
      </c>
      <c r="F55" t="s">
        <v>435</v>
      </c>
      <c r="G55" s="327">
        <v>905997</v>
      </c>
      <c r="H55">
        <v>3</v>
      </c>
    </row>
    <row r="56" spans="1:8" x14ac:dyDescent="0.25">
      <c r="A56" s="2">
        <v>905.83500000000004</v>
      </c>
      <c r="B56" s="2">
        <v>12</v>
      </c>
      <c r="C56" s="2" t="s">
        <v>1075</v>
      </c>
      <c r="F56" t="s">
        <v>415</v>
      </c>
      <c r="G56" s="327">
        <v>905835</v>
      </c>
      <c r="H56">
        <v>5</v>
      </c>
    </row>
    <row r="57" spans="1:8" x14ac:dyDescent="0.25">
      <c r="A57" s="2">
        <v>905.14700000000005</v>
      </c>
      <c r="B57" s="2">
        <v>100</v>
      </c>
      <c r="C57" s="2" t="s">
        <v>519</v>
      </c>
      <c r="D57" t="s">
        <v>704</v>
      </c>
      <c r="F57" t="s">
        <v>519</v>
      </c>
      <c r="G57" s="327">
        <v>905147</v>
      </c>
      <c r="H57">
        <v>5</v>
      </c>
    </row>
    <row r="58" spans="1:8" x14ac:dyDescent="0.25">
      <c r="A58" s="2">
        <v>903.43600000000004</v>
      </c>
      <c r="B58" s="2">
        <v>100</v>
      </c>
      <c r="C58" s="2" t="s">
        <v>353</v>
      </c>
      <c r="D58" t="s">
        <v>705</v>
      </c>
      <c r="F58" t="s">
        <v>353</v>
      </c>
      <c r="G58" s="327">
        <v>903436</v>
      </c>
      <c r="H58">
        <v>5</v>
      </c>
    </row>
    <row r="59" spans="1:8" x14ac:dyDescent="0.25">
      <c r="A59" s="2">
        <v>901.88400000000001</v>
      </c>
      <c r="B59" s="2">
        <v>14</v>
      </c>
      <c r="C59" s="2" t="s">
        <v>1076</v>
      </c>
      <c r="F59" t="s">
        <v>386</v>
      </c>
      <c r="G59" s="327">
        <v>901884</v>
      </c>
      <c r="H59">
        <v>5</v>
      </c>
    </row>
    <row r="60" spans="1:8" x14ac:dyDescent="0.25">
      <c r="A60" s="2">
        <v>901.34500000000003</v>
      </c>
      <c r="B60" s="2">
        <v>100</v>
      </c>
      <c r="C60" s="2" t="s">
        <v>429</v>
      </c>
      <c r="D60" t="s">
        <v>706</v>
      </c>
      <c r="F60" t="s">
        <v>429</v>
      </c>
      <c r="G60" s="327">
        <v>901345</v>
      </c>
      <c r="H60">
        <v>6</v>
      </c>
    </row>
    <row r="61" spans="1:8" x14ac:dyDescent="0.25">
      <c r="A61" s="2">
        <v>901.23299999999995</v>
      </c>
      <c r="B61" s="2">
        <v>14</v>
      </c>
      <c r="C61" s="2" t="s">
        <v>1077</v>
      </c>
      <c r="F61" t="s">
        <v>521</v>
      </c>
      <c r="G61" s="327">
        <v>901233</v>
      </c>
      <c r="H61">
        <v>2</v>
      </c>
    </row>
    <row r="62" spans="1:8" x14ac:dyDescent="0.25">
      <c r="A62" s="2">
        <v>901.05100000000004</v>
      </c>
      <c r="B62" s="2">
        <v>100</v>
      </c>
      <c r="C62" s="2" t="s">
        <v>193</v>
      </c>
      <c r="D62" t="s">
        <v>707</v>
      </c>
      <c r="F62" t="s">
        <v>193</v>
      </c>
      <c r="G62" s="327">
        <v>901051</v>
      </c>
      <c r="H62">
        <v>5</v>
      </c>
    </row>
    <row r="63" spans="1:8" x14ac:dyDescent="0.25">
      <c r="A63" s="2">
        <v>900.10799999999995</v>
      </c>
      <c r="B63" s="2">
        <v>16</v>
      </c>
      <c r="C63" s="2" t="s">
        <v>1078</v>
      </c>
      <c r="F63" t="s">
        <v>708</v>
      </c>
      <c r="G63" s="327">
        <v>900108</v>
      </c>
      <c r="H63">
        <v>1</v>
      </c>
    </row>
    <row r="64" spans="1:8" x14ac:dyDescent="0.25">
      <c r="A64" s="2">
        <v>900.10799999999995</v>
      </c>
      <c r="B64" s="2">
        <v>14</v>
      </c>
      <c r="C64" s="2" t="s">
        <v>1079</v>
      </c>
      <c r="F64" t="s">
        <v>434</v>
      </c>
      <c r="G64" s="327">
        <v>900108</v>
      </c>
      <c r="H64">
        <v>1</v>
      </c>
    </row>
    <row r="65" spans="1:8" x14ac:dyDescent="0.25">
      <c r="A65" s="2">
        <v>897.37400000000002</v>
      </c>
      <c r="B65" s="2">
        <v>100</v>
      </c>
      <c r="C65" s="2" t="s">
        <v>197</v>
      </c>
      <c r="D65" t="s">
        <v>709</v>
      </c>
      <c r="F65" t="s">
        <v>197</v>
      </c>
      <c r="G65" s="327">
        <v>897374</v>
      </c>
      <c r="H65">
        <v>3</v>
      </c>
    </row>
    <row r="66" spans="1:8" x14ac:dyDescent="0.25">
      <c r="A66" s="2">
        <v>894.66</v>
      </c>
      <c r="B66" s="2">
        <v>100</v>
      </c>
      <c r="C66" s="2" t="s">
        <v>523</v>
      </c>
      <c r="F66" t="s">
        <v>523</v>
      </c>
      <c r="G66" s="327">
        <v>894.66</v>
      </c>
      <c r="H66">
        <v>2</v>
      </c>
    </row>
    <row r="67" spans="1:8" x14ac:dyDescent="0.25">
      <c r="A67" s="2">
        <v>892.20500000000004</v>
      </c>
      <c r="B67" s="2">
        <v>14</v>
      </c>
      <c r="C67" s="2" t="s">
        <v>1079</v>
      </c>
      <c r="F67" t="s">
        <v>434</v>
      </c>
      <c r="G67" s="327">
        <v>892205</v>
      </c>
      <c r="H67">
        <v>2</v>
      </c>
    </row>
    <row r="68" spans="1:8" x14ac:dyDescent="0.25">
      <c r="A68" s="2">
        <v>891.976</v>
      </c>
      <c r="B68" s="2">
        <v>15</v>
      </c>
      <c r="C68" s="2" t="s">
        <v>766</v>
      </c>
      <c r="F68" t="s">
        <v>476</v>
      </c>
      <c r="G68" s="327">
        <v>891976</v>
      </c>
      <c r="H68">
        <v>2</v>
      </c>
    </row>
    <row r="69" spans="1:8" x14ac:dyDescent="0.25">
      <c r="A69" s="2">
        <v>891.90300000000002</v>
      </c>
      <c r="B69" s="2">
        <v>15</v>
      </c>
      <c r="C69" s="2" t="s">
        <v>1080</v>
      </c>
      <c r="F69" t="s">
        <v>622</v>
      </c>
      <c r="G69" s="327">
        <v>891903</v>
      </c>
      <c r="H69">
        <v>1</v>
      </c>
    </row>
    <row r="70" spans="1:8" x14ac:dyDescent="0.25">
      <c r="A70" s="2">
        <v>890.65300000000002</v>
      </c>
      <c r="B70" s="2">
        <v>14</v>
      </c>
      <c r="C70" s="2" t="s">
        <v>1081</v>
      </c>
      <c r="F70" t="s">
        <v>710</v>
      </c>
      <c r="G70" s="327">
        <v>890653</v>
      </c>
      <c r="H70">
        <v>6</v>
      </c>
    </row>
    <row r="71" spans="1:8" x14ac:dyDescent="0.25">
      <c r="A71" s="2">
        <v>890.61099999999999</v>
      </c>
      <c r="B71" s="2">
        <v>100</v>
      </c>
      <c r="C71" s="2" t="s">
        <v>510</v>
      </c>
      <c r="F71" t="s">
        <v>510</v>
      </c>
      <c r="G71" s="327">
        <v>890611</v>
      </c>
      <c r="H71">
        <v>2</v>
      </c>
    </row>
    <row r="72" spans="1:8" x14ac:dyDescent="0.25">
      <c r="A72" s="2">
        <v>890.58500000000004</v>
      </c>
      <c r="B72" s="2">
        <v>100</v>
      </c>
      <c r="C72" s="2" t="s">
        <v>470</v>
      </c>
      <c r="D72" t="s">
        <v>711</v>
      </c>
      <c r="F72" t="s">
        <v>470</v>
      </c>
      <c r="G72" s="327">
        <v>890585</v>
      </c>
      <c r="H72">
        <v>5</v>
      </c>
    </row>
    <row r="73" spans="1:8" x14ac:dyDescent="0.25">
      <c r="A73" s="2">
        <v>888.43100000000004</v>
      </c>
      <c r="B73" s="2">
        <v>14</v>
      </c>
      <c r="C73" s="2" t="s">
        <v>1082</v>
      </c>
      <c r="F73" t="s">
        <v>412</v>
      </c>
      <c r="G73" s="327">
        <v>888431</v>
      </c>
      <c r="H73">
        <v>5</v>
      </c>
    </row>
    <row r="74" spans="1:8" x14ac:dyDescent="0.25">
      <c r="A74" s="2">
        <v>887.03800000000001</v>
      </c>
      <c r="B74" s="2">
        <v>100</v>
      </c>
      <c r="C74" s="2" t="s">
        <v>414</v>
      </c>
      <c r="D74" t="s">
        <v>644</v>
      </c>
      <c r="F74" t="s">
        <v>414</v>
      </c>
      <c r="G74" s="327">
        <v>887038</v>
      </c>
      <c r="H74">
        <v>6</v>
      </c>
    </row>
    <row r="75" spans="1:8" x14ac:dyDescent="0.25">
      <c r="A75" s="2">
        <v>886.95500000000004</v>
      </c>
      <c r="B75" s="2">
        <v>100</v>
      </c>
      <c r="C75" s="2" t="s">
        <v>712</v>
      </c>
      <c r="F75" t="s">
        <v>712</v>
      </c>
      <c r="G75" s="327">
        <v>886955</v>
      </c>
      <c r="H75">
        <v>1</v>
      </c>
    </row>
    <row r="76" spans="1:8" x14ac:dyDescent="0.25">
      <c r="A76" s="2">
        <v>886.08199999999999</v>
      </c>
      <c r="B76" s="2">
        <v>14</v>
      </c>
      <c r="C76" s="2" t="s">
        <v>1083</v>
      </c>
      <c r="F76" t="s">
        <v>536</v>
      </c>
      <c r="G76" s="327">
        <v>886082</v>
      </c>
      <c r="H76">
        <v>1</v>
      </c>
    </row>
    <row r="77" spans="1:8" x14ac:dyDescent="0.25">
      <c r="A77" s="2">
        <v>882.82500000000005</v>
      </c>
      <c r="B77" s="2">
        <v>18</v>
      </c>
      <c r="C77" s="2" t="s">
        <v>1084</v>
      </c>
      <c r="F77" t="s">
        <v>538</v>
      </c>
      <c r="G77" s="327">
        <v>882825</v>
      </c>
      <c r="H77">
        <v>1</v>
      </c>
    </row>
    <row r="78" spans="1:8" x14ac:dyDescent="0.25">
      <c r="A78" s="2">
        <v>878.81100000000004</v>
      </c>
      <c r="B78" s="2">
        <v>100</v>
      </c>
      <c r="C78" s="2" t="s">
        <v>325</v>
      </c>
      <c r="D78" t="s">
        <v>713</v>
      </c>
      <c r="F78" t="s">
        <v>325</v>
      </c>
      <c r="G78" s="327">
        <v>878811</v>
      </c>
      <c r="H78">
        <v>5</v>
      </c>
    </row>
    <row r="79" spans="1:8" x14ac:dyDescent="0.25">
      <c r="A79" s="2">
        <v>878.75900000000001</v>
      </c>
      <c r="B79" s="2">
        <v>100</v>
      </c>
      <c r="C79" s="2" t="s">
        <v>524</v>
      </c>
      <c r="D79" t="s">
        <v>645</v>
      </c>
      <c r="F79" t="s">
        <v>524</v>
      </c>
      <c r="G79" s="327">
        <v>878759</v>
      </c>
      <c r="H79">
        <v>7</v>
      </c>
    </row>
    <row r="80" spans="1:8" x14ac:dyDescent="0.25">
      <c r="A80" s="2">
        <v>876.56399999999996</v>
      </c>
      <c r="B80" s="2">
        <v>13</v>
      </c>
      <c r="C80" s="2" t="s">
        <v>1085</v>
      </c>
      <c r="F80" t="s">
        <v>531</v>
      </c>
      <c r="G80" s="327">
        <v>876564</v>
      </c>
      <c r="H80">
        <v>3</v>
      </c>
    </row>
    <row r="81" spans="1:8" x14ac:dyDescent="0.25">
      <c r="A81" s="2">
        <v>875.029</v>
      </c>
      <c r="B81" s="2">
        <v>100</v>
      </c>
      <c r="C81" s="2" t="s">
        <v>327</v>
      </c>
      <c r="F81" t="s">
        <v>327</v>
      </c>
      <c r="G81" s="327">
        <v>875029</v>
      </c>
      <c r="H81">
        <v>2</v>
      </c>
    </row>
    <row r="82" spans="1:8" x14ac:dyDescent="0.25">
      <c r="A82" s="2">
        <v>875.00699999999995</v>
      </c>
      <c r="B82" s="2">
        <v>100</v>
      </c>
      <c r="C82" s="2" t="s">
        <v>389</v>
      </c>
      <c r="F82" t="s">
        <v>389</v>
      </c>
      <c r="G82" s="327">
        <v>875007</v>
      </c>
      <c r="H82">
        <v>2</v>
      </c>
    </row>
    <row r="83" spans="1:8" x14ac:dyDescent="0.25">
      <c r="A83" s="2">
        <v>874.048</v>
      </c>
      <c r="B83" s="2">
        <v>12</v>
      </c>
      <c r="C83" s="2" t="s">
        <v>1086</v>
      </c>
      <c r="F83" t="s">
        <v>468</v>
      </c>
      <c r="G83" s="327">
        <v>874048</v>
      </c>
      <c r="H83">
        <v>2</v>
      </c>
    </row>
    <row r="84" spans="1:8" x14ac:dyDescent="0.25">
      <c r="A84" s="2">
        <v>872.25900000000001</v>
      </c>
      <c r="B84" s="2">
        <v>14</v>
      </c>
      <c r="C84" s="2" t="s">
        <v>772</v>
      </c>
      <c r="F84" t="s">
        <v>349</v>
      </c>
      <c r="G84" s="327">
        <v>872259</v>
      </c>
      <c r="H84">
        <v>6</v>
      </c>
    </row>
    <row r="85" spans="1:8" x14ac:dyDescent="0.25">
      <c r="A85" s="2">
        <v>872.10799999999995</v>
      </c>
      <c r="B85" s="2">
        <v>100</v>
      </c>
      <c r="C85" s="2" t="s">
        <v>436</v>
      </c>
      <c r="D85" t="s">
        <v>714</v>
      </c>
      <c r="F85" t="s">
        <v>436</v>
      </c>
      <c r="G85" s="327">
        <v>872108</v>
      </c>
      <c r="H85">
        <v>4</v>
      </c>
    </row>
    <row r="86" spans="1:8" x14ac:dyDescent="0.25">
      <c r="A86" s="2">
        <v>869.54700000000003</v>
      </c>
      <c r="B86" s="2">
        <v>100</v>
      </c>
      <c r="C86" s="2" t="s">
        <v>202</v>
      </c>
      <c r="D86" t="s">
        <v>715</v>
      </c>
      <c r="E86">
        <v>1</v>
      </c>
      <c r="F86" t="s">
        <v>202</v>
      </c>
      <c r="G86" s="327">
        <v>869547</v>
      </c>
      <c r="H86">
        <v>6</v>
      </c>
    </row>
    <row r="87" spans="1:8" x14ac:dyDescent="0.25">
      <c r="A87" s="2">
        <v>868.39800000000002</v>
      </c>
      <c r="B87" s="2">
        <v>19</v>
      </c>
      <c r="C87" s="2" t="s">
        <v>1087</v>
      </c>
      <c r="F87" t="s">
        <v>462</v>
      </c>
      <c r="G87" s="327">
        <v>868398</v>
      </c>
      <c r="H87">
        <v>1</v>
      </c>
    </row>
    <row r="88" spans="1:8" x14ac:dyDescent="0.25">
      <c r="A88" s="2">
        <v>868.39800000000002</v>
      </c>
      <c r="B88" s="2">
        <v>12</v>
      </c>
      <c r="C88" s="2" t="s">
        <v>1088</v>
      </c>
      <c r="F88" t="s">
        <v>528</v>
      </c>
      <c r="G88" s="327">
        <v>868398</v>
      </c>
      <c r="H88">
        <v>1</v>
      </c>
    </row>
    <row r="89" spans="1:8" x14ac:dyDescent="0.25">
      <c r="A89" s="2">
        <v>867.79</v>
      </c>
      <c r="B89" s="2">
        <v>18</v>
      </c>
      <c r="C89" s="2" t="s">
        <v>1089</v>
      </c>
      <c r="F89" t="s">
        <v>450</v>
      </c>
      <c r="G89" s="327">
        <v>867.79</v>
      </c>
      <c r="H89">
        <v>7</v>
      </c>
    </row>
    <row r="90" spans="1:8" x14ac:dyDescent="0.25">
      <c r="A90" s="2">
        <v>864.03099999999995</v>
      </c>
      <c r="B90" s="2">
        <v>100</v>
      </c>
      <c r="C90" s="2" t="s">
        <v>449</v>
      </c>
      <c r="F90" t="s">
        <v>449</v>
      </c>
      <c r="G90" s="327">
        <v>864031</v>
      </c>
      <c r="H90">
        <v>2</v>
      </c>
    </row>
    <row r="91" spans="1:8" x14ac:dyDescent="0.25">
      <c r="A91" s="2">
        <v>863.56</v>
      </c>
      <c r="B91" s="2">
        <v>100</v>
      </c>
      <c r="C91" s="2" t="s">
        <v>8</v>
      </c>
      <c r="F91" t="s">
        <v>8</v>
      </c>
      <c r="G91" s="327">
        <v>863.56</v>
      </c>
      <c r="H91">
        <v>2</v>
      </c>
    </row>
    <row r="92" spans="1:8" x14ac:dyDescent="0.25">
      <c r="A92" s="2">
        <v>861.94399999999996</v>
      </c>
      <c r="B92" s="2">
        <v>100</v>
      </c>
      <c r="C92" s="2" t="s">
        <v>15</v>
      </c>
      <c r="D92" t="s">
        <v>716</v>
      </c>
      <c r="E92">
        <v>42</v>
      </c>
      <c r="F92" t="s">
        <v>15</v>
      </c>
      <c r="G92" s="327">
        <v>861944</v>
      </c>
      <c r="H92">
        <v>6</v>
      </c>
    </row>
    <row r="93" spans="1:8" x14ac:dyDescent="0.25">
      <c r="A93" s="2">
        <v>861.91399999999999</v>
      </c>
      <c r="B93" s="2">
        <v>14</v>
      </c>
      <c r="C93" s="2" t="s">
        <v>1090</v>
      </c>
      <c r="F93" t="s">
        <v>432</v>
      </c>
      <c r="G93" s="327">
        <v>861914</v>
      </c>
      <c r="H93">
        <v>2</v>
      </c>
    </row>
    <row r="94" spans="1:8" x14ac:dyDescent="0.25">
      <c r="A94" s="2">
        <v>861.76199999999994</v>
      </c>
      <c r="B94" s="2">
        <v>100</v>
      </c>
      <c r="C94" s="2" t="s">
        <v>487</v>
      </c>
      <c r="F94" t="s">
        <v>487</v>
      </c>
      <c r="G94" s="327">
        <v>861762</v>
      </c>
      <c r="H94">
        <v>1</v>
      </c>
    </row>
    <row r="95" spans="1:8" x14ac:dyDescent="0.25">
      <c r="A95" s="2">
        <v>859.53700000000003</v>
      </c>
      <c r="B95" s="2">
        <v>15</v>
      </c>
      <c r="C95" s="2" t="s">
        <v>1091</v>
      </c>
      <c r="F95" t="s">
        <v>526</v>
      </c>
      <c r="G95" s="327">
        <v>859537</v>
      </c>
      <c r="H95">
        <v>1</v>
      </c>
    </row>
    <row r="96" spans="1:8" x14ac:dyDescent="0.25">
      <c r="A96" s="2">
        <v>859.53700000000003</v>
      </c>
      <c r="B96" s="2">
        <v>14</v>
      </c>
      <c r="C96" s="2" t="s">
        <v>1092</v>
      </c>
      <c r="F96" t="s">
        <v>527</v>
      </c>
      <c r="G96" s="327">
        <v>859537</v>
      </c>
      <c r="H96">
        <v>1</v>
      </c>
    </row>
    <row r="97" spans="1:8" x14ac:dyDescent="0.25">
      <c r="A97" s="2">
        <v>856.04499999999996</v>
      </c>
      <c r="B97" s="2">
        <v>100</v>
      </c>
      <c r="C97" s="2" t="s">
        <v>395</v>
      </c>
      <c r="D97" t="s">
        <v>717</v>
      </c>
      <c r="E97">
        <v>43</v>
      </c>
      <c r="F97" t="s">
        <v>395</v>
      </c>
      <c r="G97" s="327">
        <v>856045</v>
      </c>
      <c r="H97">
        <v>5</v>
      </c>
    </row>
    <row r="98" spans="1:8" x14ac:dyDescent="0.25">
      <c r="A98" s="2">
        <v>855.303</v>
      </c>
      <c r="B98" s="2">
        <v>100</v>
      </c>
      <c r="C98" s="2" t="s">
        <v>623</v>
      </c>
      <c r="F98" t="s">
        <v>623</v>
      </c>
      <c r="G98" s="327">
        <v>855303</v>
      </c>
      <c r="H98">
        <v>1</v>
      </c>
    </row>
    <row r="99" spans="1:8" x14ac:dyDescent="0.25">
      <c r="A99" s="2">
        <v>853.64200000000005</v>
      </c>
      <c r="B99" s="2">
        <v>13</v>
      </c>
      <c r="C99" s="2" t="s">
        <v>1093</v>
      </c>
      <c r="F99" t="s">
        <v>388</v>
      </c>
      <c r="G99" s="327">
        <v>853642</v>
      </c>
      <c r="H99">
        <v>1</v>
      </c>
    </row>
    <row r="100" spans="1:8" x14ac:dyDescent="0.25">
      <c r="A100" s="2">
        <v>846</v>
      </c>
      <c r="B100" s="2">
        <v>100</v>
      </c>
      <c r="C100" s="2" t="s">
        <v>508</v>
      </c>
      <c r="D100" t="s">
        <v>718</v>
      </c>
      <c r="E100">
        <v>44</v>
      </c>
      <c r="F100" t="s">
        <v>508</v>
      </c>
      <c r="G100" s="327">
        <v>846</v>
      </c>
      <c r="H100">
        <v>6</v>
      </c>
    </row>
    <row r="101" spans="1:8" x14ac:dyDescent="0.25">
      <c r="A101" s="2">
        <v>845.06100000000004</v>
      </c>
      <c r="B101" s="2">
        <v>100</v>
      </c>
      <c r="C101" s="2" t="s">
        <v>199</v>
      </c>
      <c r="F101" t="s">
        <v>199</v>
      </c>
      <c r="G101" s="327">
        <v>845061</v>
      </c>
      <c r="H101">
        <v>2</v>
      </c>
    </row>
    <row r="102" spans="1:8" x14ac:dyDescent="0.25">
      <c r="A102" s="2">
        <v>842.202</v>
      </c>
      <c r="B102" s="2">
        <v>14</v>
      </c>
      <c r="C102" s="2" t="s">
        <v>1094</v>
      </c>
      <c r="F102" t="s">
        <v>472</v>
      </c>
      <c r="G102" s="327">
        <v>842202</v>
      </c>
      <c r="H102">
        <v>3</v>
      </c>
    </row>
    <row r="103" spans="1:8" x14ac:dyDescent="0.25">
      <c r="A103" s="2">
        <v>842.04399999999998</v>
      </c>
      <c r="B103" s="2">
        <v>100</v>
      </c>
      <c r="C103" s="2" t="s">
        <v>203</v>
      </c>
      <c r="F103" t="s">
        <v>203</v>
      </c>
      <c r="G103" s="327">
        <v>842044</v>
      </c>
      <c r="H103">
        <v>1</v>
      </c>
    </row>
    <row r="104" spans="1:8" x14ac:dyDescent="0.25">
      <c r="A104" s="2">
        <v>839.35699999999997</v>
      </c>
      <c r="B104" s="2">
        <v>100</v>
      </c>
      <c r="C104" s="2" t="s">
        <v>347</v>
      </c>
      <c r="F104" t="s">
        <v>347</v>
      </c>
      <c r="G104" s="327">
        <v>839357</v>
      </c>
      <c r="H104">
        <v>1</v>
      </c>
    </row>
    <row r="105" spans="1:8" x14ac:dyDescent="0.25">
      <c r="A105" s="2">
        <v>839.05899999999997</v>
      </c>
      <c r="B105" s="2">
        <v>12</v>
      </c>
      <c r="C105" s="2" t="s">
        <v>1095</v>
      </c>
      <c r="F105" t="s">
        <v>461</v>
      </c>
      <c r="G105" s="327">
        <v>839059</v>
      </c>
      <c r="H105">
        <v>1</v>
      </c>
    </row>
    <row r="106" spans="1:8" x14ac:dyDescent="0.25">
      <c r="A106" s="2">
        <v>838.90800000000002</v>
      </c>
      <c r="B106" s="2">
        <v>100</v>
      </c>
      <c r="C106" s="2" t="s">
        <v>411</v>
      </c>
      <c r="D106" t="s">
        <v>719</v>
      </c>
      <c r="E106">
        <v>45</v>
      </c>
      <c r="F106" t="s">
        <v>411</v>
      </c>
      <c r="G106" s="327">
        <v>838908</v>
      </c>
      <c r="H106">
        <v>3</v>
      </c>
    </row>
    <row r="107" spans="1:8" x14ac:dyDescent="0.25">
      <c r="A107" s="2">
        <v>838.34500000000003</v>
      </c>
      <c r="B107" s="2">
        <v>100</v>
      </c>
      <c r="C107" s="2" t="s">
        <v>497</v>
      </c>
      <c r="F107" t="s">
        <v>497</v>
      </c>
      <c r="G107" s="327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1096</v>
      </c>
      <c r="F108" t="s">
        <v>328</v>
      </c>
      <c r="G108" s="327">
        <v>838179</v>
      </c>
      <c r="H108">
        <v>3</v>
      </c>
    </row>
    <row r="109" spans="1:8" x14ac:dyDescent="0.25">
      <c r="A109" s="2">
        <v>834.18499999999995</v>
      </c>
      <c r="B109" s="2">
        <v>100</v>
      </c>
      <c r="C109" s="2" t="s">
        <v>480</v>
      </c>
      <c r="F109" t="s">
        <v>480</v>
      </c>
      <c r="G109" s="327">
        <v>834185</v>
      </c>
      <c r="H109">
        <v>2</v>
      </c>
    </row>
    <row r="110" spans="1:8" x14ac:dyDescent="0.25">
      <c r="A110" s="2">
        <v>833.36199999999997</v>
      </c>
      <c r="B110" s="2">
        <v>100</v>
      </c>
      <c r="C110" s="2" t="s">
        <v>402</v>
      </c>
      <c r="D110" t="s">
        <v>720</v>
      </c>
      <c r="E110">
        <v>2</v>
      </c>
      <c r="F110" t="s">
        <v>402</v>
      </c>
      <c r="G110" s="327">
        <v>833362</v>
      </c>
      <c r="H110">
        <v>5</v>
      </c>
    </row>
    <row r="111" spans="1:8" x14ac:dyDescent="0.25">
      <c r="A111" s="2">
        <v>832.95299999999997</v>
      </c>
      <c r="B111" s="2">
        <v>16</v>
      </c>
      <c r="C111" s="2" t="s">
        <v>1097</v>
      </c>
      <c r="F111" t="s">
        <v>459</v>
      </c>
      <c r="G111" s="327">
        <v>832953</v>
      </c>
      <c r="H111">
        <v>1</v>
      </c>
    </row>
    <row r="112" spans="1:8" x14ac:dyDescent="0.25">
      <c r="A112" s="2">
        <v>832.95299999999997</v>
      </c>
      <c r="B112" s="2">
        <v>15</v>
      </c>
      <c r="C112" s="2" t="s">
        <v>1098</v>
      </c>
      <c r="F112" t="s">
        <v>532</v>
      </c>
      <c r="G112" s="327">
        <v>832953</v>
      </c>
      <c r="H112">
        <v>1</v>
      </c>
    </row>
    <row r="113" spans="1:8" x14ac:dyDescent="0.25">
      <c r="A113" s="2">
        <v>831.73099999999999</v>
      </c>
      <c r="B113" s="2">
        <v>100</v>
      </c>
      <c r="C113" s="2" t="s">
        <v>530</v>
      </c>
      <c r="F113" t="s">
        <v>530</v>
      </c>
      <c r="G113" s="327">
        <v>831731</v>
      </c>
      <c r="H113">
        <v>2</v>
      </c>
    </row>
    <row r="114" spans="1:8" x14ac:dyDescent="0.25">
      <c r="A114" s="2">
        <v>830.59100000000001</v>
      </c>
      <c r="B114" s="2">
        <v>100</v>
      </c>
      <c r="C114" s="2" t="s">
        <v>320</v>
      </c>
      <c r="D114" t="s">
        <v>721</v>
      </c>
      <c r="E114">
        <v>46</v>
      </c>
      <c r="F114" t="s">
        <v>320</v>
      </c>
      <c r="G114" s="327">
        <v>830591</v>
      </c>
      <c r="H114">
        <v>5</v>
      </c>
    </row>
    <row r="115" spans="1:8" x14ac:dyDescent="0.25">
      <c r="A115" s="2">
        <v>829.44200000000001</v>
      </c>
      <c r="B115" s="2">
        <v>13</v>
      </c>
      <c r="C115" s="2" t="s">
        <v>1099</v>
      </c>
      <c r="F115" t="s">
        <v>329</v>
      </c>
      <c r="G115" s="327">
        <v>829442</v>
      </c>
      <c r="H115">
        <v>4</v>
      </c>
    </row>
    <row r="116" spans="1:8" x14ac:dyDescent="0.25">
      <c r="A116" s="2">
        <v>826.87300000000005</v>
      </c>
      <c r="B116" s="2">
        <v>21</v>
      </c>
      <c r="C116" s="2" t="s">
        <v>1100</v>
      </c>
      <c r="F116" t="s">
        <v>533</v>
      </c>
      <c r="G116" s="327">
        <v>826873</v>
      </c>
      <c r="H116">
        <v>1</v>
      </c>
    </row>
    <row r="117" spans="1:8" x14ac:dyDescent="0.25">
      <c r="A117" s="2">
        <v>826.55399999999997</v>
      </c>
      <c r="B117" s="2">
        <v>19</v>
      </c>
      <c r="C117" s="2" t="s">
        <v>1101</v>
      </c>
      <c r="F117" t="s">
        <v>340</v>
      </c>
      <c r="G117" s="327">
        <v>826554</v>
      </c>
      <c r="H117">
        <v>1</v>
      </c>
    </row>
    <row r="118" spans="1:8" x14ac:dyDescent="0.25">
      <c r="A118" s="2">
        <v>825.60900000000004</v>
      </c>
      <c r="B118" s="2">
        <v>100</v>
      </c>
      <c r="C118" s="2" t="s">
        <v>477</v>
      </c>
      <c r="F118" t="s">
        <v>477</v>
      </c>
      <c r="G118" s="327">
        <v>825609</v>
      </c>
      <c r="H118">
        <v>2</v>
      </c>
    </row>
    <row r="119" spans="1:8" x14ac:dyDescent="0.25">
      <c r="A119" s="2">
        <v>825.55899999999997</v>
      </c>
      <c r="B119" s="2">
        <v>100</v>
      </c>
      <c r="C119" s="2" t="s">
        <v>473</v>
      </c>
      <c r="D119" t="s">
        <v>529</v>
      </c>
      <c r="E119">
        <v>47</v>
      </c>
      <c r="F119" t="s">
        <v>473</v>
      </c>
      <c r="G119" s="327">
        <v>825559</v>
      </c>
      <c r="H119">
        <v>5</v>
      </c>
    </row>
    <row r="120" spans="1:8" x14ac:dyDescent="0.25">
      <c r="A120" s="2">
        <v>824.09199999999998</v>
      </c>
      <c r="B120" s="2">
        <v>15</v>
      </c>
      <c r="C120" s="2" t="s">
        <v>1102</v>
      </c>
      <c r="F120" t="s">
        <v>460</v>
      </c>
      <c r="G120" s="327">
        <v>824092</v>
      </c>
      <c r="H120">
        <v>1</v>
      </c>
    </row>
    <row r="121" spans="1:8" x14ac:dyDescent="0.25">
      <c r="A121" s="2">
        <v>822.93700000000001</v>
      </c>
      <c r="B121" s="2">
        <v>100</v>
      </c>
      <c r="C121" s="2" t="s">
        <v>394</v>
      </c>
      <c r="D121" t="s">
        <v>646</v>
      </c>
      <c r="E121">
        <v>48</v>
      </c>
      <c r="F121" t="s">
        <v>394</v>
      </c>
      <c r="G121" s="327">
        <v>822937</v>
      </c>
      <c r="H121">
        <v>6</v>
      </c>
    </row>
    <row r="122" spans="1:8" x14ac:dyDescent="0.25">
      <c r="A122" s="2">
        <v>822.58299999999997</v>
      </c>
      <c r="B122" s="2">
        <v>100</v>
      </c>
      <c r="C122" s="2" t="s">
        <v>649</v>
      </c>
      <c r="F122" t="s">
        <v>649</v>
      </c>
      <c r="G122" s="327">
        <v>822583</v>
      </c>
      <c r="H122">
        <v>2</v>
      </c>
    </row>
    <row r="123" spans="1:8" x14ac:dyDescent="0.25">
      <c r="A123" s="2">
        <v>822.08699999999999</v>
      </c>
      <c r="B123" s="2">
        <v>100</v>
      </c>
      <c r="C123" s="2" t="s">
        <v>425</v>
      </c>
      <c r="D123" t="s">
        <v>647</v>
      </c>
      <c r="E123">
        <v>49</v>
      </c>
      <c r="F123" t="s">
        <v>425</v>
      </c>
      <c r="G123" s="327">
        <v>822087</v>
      </c>
      <c r="H123">
        <v>7</v>
      </c>
    </row>
    <row r="124" spans="1:8" x14ac:dyDescent="0.25">
      <c r="A124" s="2">
        <v>821.41600000000005</v>
      </c>
      <c r="B124" s="2">
        <v>13</v>
      </c>
      <c r="C124" s="2" t="s">
        <v>1103</v>
      </c>
      <c r="F124" t="s">
        <v>534</v>
      </c>
      <c r="G124" s="327">
        <v>821416</v>
      </c>
      <c r="H124">
        <v>1</v>
      </c>
    </row>
    <row r="125" spans="1:8" x14ac:dyDescent="0.25">
      <c r="A125" s="2">
        <v>819.13300000000004</v>
      </c>
      <c r="B125" s="2">
        <v>100</v>
      </c>
      <c r="C125" s="2" t="s">
        <v>499</v>
      </c>
      <c r="D125" t="s">
        <v>722</v>
      </c>
      <c r="E125">
        <v>50</v>
      </c>
      <c r="F125" t="s">
        <v>499</v>
      </c>
      <c r="G125" s="327">
        <v>819133</v>
      </c>
      <c r="H125">
        <v>3</v>
      </c>
    </row>
    <row r="126" spans="1:8" x14ac:dyDescent="0.25">
      <c r="A126" s="2">
        <v>817.07600000000002</v>
      </c>
      <c r="B126" s="2">
        <v>100</v>
      </c>
      <c r="C126" s="2" t="s">
        <v>343</v>
      </c>
      <c r="D126" t="s">
        <v>723</v>
      </c>
      <c r="E126">
        <v>51</v>
      </c>
      <c r="F126" t="s">
        <v>343</v>
      </c>
      <c r="G126" s="327">
        <v>817076</v>
      </c>
      <c r="H126">
        <v>4</v>
      </c>
    </row>
    <row r="127" spans="1:8" x14ac:dyDescent="0.25">
      <c r="A127" s="2">
        <v>816.78800000000001</v>
      </c>
      <c r="B127" s="2">
        <v>100</v>
      </c>
      <c r="C127" s="2" t="s">
        <v>393</v>
      </c>
      <c r="D127" t="s">
        <v>648</v>
      </c>
      <c r="E127">
        <v>52</v>
      </c>
      <c r="F127" t="s">
        <v>393</v>
      </c>
      <c r="G127" s="327">
        <v>816788</v>
      </c>
      <c r="H127">
        <v>6</v>
      </c>
    </row>
    <row r="128" spans="1:8" x14ac:dyDescent="0.25">
      <c r="A128" s="2">
        <v>816.44899999999996</v>
      </c>
      <c r="B128" s="2">
        <v>100</v>
      </c>
      <c r="C128" s="2" t="s">
        <v>420</v>
      </c>
      <c r="D128" t="s">
        <v>724</v>
      </c>
      <c r="E128">
        <v>53</v>
      </c>
      <c r="F128" t="s">
        <v>420</v>
      </c>
      <c r="G128" s="327">
        <v>816449</v>
      </c>
      <c r="H128">
        <v>5</v>
      </c>
    </row>
    <row r="129" spans="1:8" x14ac:dyDescent="0.25">
      <c r="A129" s="2">
        <v>815.23099999999999</v>
      </c>
      <c r="B129" s="2">
        <v>18</v>
      </c>
      <c r="C129" s="2" t="s">
        <v>1104</v>
      </c>
      <c r="F129" t="s">
        <v>552</v>
      </c>
      <c r="G129" s="327">
        <v>815231</v>
      </c>
      <c r="H129">
        <v>1</v>
      </c>
    </row>
    <row r="130" spans="1:8" x14ac:dyDescent="0.25">
      <c r="A130" s="2">
        <v>815.03</v>
      </c>
      <c r="B130" s="2">
        <v>100</v>
      </c>
      <c r="C130" s="2" t="s">
        <v>500</v>
      </c>
      <c r="D130" t="s">
        <v>725</v>
      </c>
      <c r="E130">
        <v>54</v>
      </c>
      <c r="F130" t="s">
        <v>500</v>
      </c>
      <c r="G130" s="327">
        <v>815.03</v>
      </c>
      <c r="H130">
        <v>5</v>
      </c>
    </row>
    <row r="131" spans="1:8" x14ac:dyDescent="0.25">
      <c r="A131" s="2">
        <v>813.73299999999995</v>
      </c>
      <c r="B131" s="2">
        <v>100</v>
      </c>
      <c r="C131" s="2" t="s">
        <v>535</v>
      </c>
      <c r="F131" t="s">
        <v>535</v>
      </c>
      <c r="G131" s="327">
        <v>813733</v>
      </c>
      <c r="H131">
        <v>1</v>
      </c>
    </row>
    <row r="132" spans="1:8" x14ac:dyDescent="0.25">
      <c r="A132" s="2">
        <v>812.29300000000001</v>
      </c>
      <c r="B132" s="2">
        <v>100</v>
      </c>
      <c r="C132" s="2" t="s">
        <v>548</v>
      </c>
      <c r="D132" t="s">
        <v>624</v>
      </c>
      <c r="E132">
        <v>55</v>
      </c>
      <c r="F132" t="s">
        <v>548</v>
      </c>
      <c r="G132" s="327">
        <v>812293</v>
      </c>
      <c r="H132">
        <v>5</v>
      </c>
    </row>
    <row r="133" spans="1:8" x14ac:dyDescent="0.25">
      <c r="A133" s="2">
        <v>811.91099999999994</v>
      </c>
      <c r="B133" s="2">
        <v>13</v>
      </c>
      <c r="C133" s="2" t="s">
        <v>1105</v>
      </c>
      <c r="F133" t="s">
        <v>351</v>
      </c>
      <c r="G133" s="327">
        <v>811911</v>
      </c>
      <c r="H133">
        <v>5</v>
      </c>
    </row>
    <row r="134" spans="1:8" x14ac:dyDescent="0.25">
      <c r="A134" s="2">
        <v>810.476</v>
      </c>
      <c r="B134" s="2">
        <v>100</v>
      </c>
      <c r="C134" s="2" t="s">
        <v>611</v>
      </c>
      <c r="F134" t="s">
        <v>611</v>
      </c>
      <c r="G134" s="327">
        <v>810476</v>
      </c>
      <c r="H134">
        <v>1</v>
      </c>
    </row>
    <row r="135" spans="1:8" x14ac:dyDescent="0.25">
      <c r="A135" s="2">
        <v>810.14300000000003</v>
      </c>
      <c r="B135" s="2">
        <v>100</v>
      </c>
      <c r="C135" s="2" t="s">
        <v>204</v>
      </c>
      <c r="D135" t="s">
        <v>726</v>
      </c>
      <c r="E135">
        <v>56</v>
      </c>
      <c r="F135" t="s">
        <v>204</v>
      </c>
      <c r="G135" s="327">
        <v>810143</v>
      </c>
      <c r="H135">
        <v>6</v>
      </c>
    </row>
    <row r="136" spans="1:8" x14ac:dyDescent="0.25">
      <c r="A136" s="2">
        <v>808.39599999999996</v>
      </c>
      <c r="B136" s="2">
        <v>100</v>
      </c>
      <c r="C136" s="2" t="s">
        <v>19</v>
      </c>
      <c r="F136" t="s">
        <v>19</v>
      </c>
      <c r="G136" s="327">
        <v>808396</v>
      </c>
      <c r="H136">
        <v>1</v>
      </c>
    </row>
    <row r="137" spans="1:8" x14ac:dyDescent="0.25">
      <c r="A137" s="2">
        <v>807.79700000000003</v>
      </c>
      <c r="B137" s="2">
        <v>19</v>
      </c>
      <c r="C137" s="2" t="s">
        <v>1106</v>
      </c>
      <c r="F137" t="s">
        <v>335</v>
      </c>
      <c r="G137" s="327">
        <v>807797</v>
      </c>
      <c r="H137">
        <v>1</v>
      </c>
    </row>
    <row r="138" spans="1:8" x14ac:dyDescent="0.25">
      <c r="A138" s="2">
        <v>807.67499999999995</v>
      </c>
      <c r="B138" s="2">
        <v>100</v>
      </c>
      <c r="C138" s="2" t="s">
        <v>336</v>
      </c>
      <c r="F138" t="s">
        <v>336</v>
      </c>
      <c r="G138" s="327">
        <v>807675</v>
      </c>
      <c r="H138">
        <v>2</v>
      </c>
    </row>
    <row r="139" spans="1:8" x14ac:dyDescent="0.25">
      <c r="A139" s="2">
        <v>807.28899999999999</v>
      </c>
      <c r="B139" s="2">
        <v>100</v>
      </c>
      <c r="C139" s="2" t="s">
        <v>727</v>
      </c>
      <c r="F139" t="s">
        <v>727</v>
      </c>
      <c r="G139" s="327">
        <v>807289</v>
      </c>
      <c r="H139">
        <v>1</v>
      </c>
    </row>
    <row r="140" spans="1:8" x14ac:dyDescent="0.25">
      <c r="A140" s="2">
        <v>806.37</v>
      </c>
      <c r="B140" s="2">
        <v>18</v>
      </c>
      <c r="C140" s="2" t="s">
        <v>1084</v>
      </c>
      <c r="F140" t="s">
        <v>538</v>
      </c>
      <c r="G140" s="327">
        <v>806.37</v>
      </c>
      <c r="H140">
        <v>1</v>
      </c>
    </row>
    <row r="141" spans="1:8" x14ac:dyDescent="0.25">
      <c r="A141" s="2">
        <v>804.73900000000003</v>
      </c>
      <c r="B141" s="2">
        <v>100</v>
      </c>
      <c r="C141" s="2" t="s">
        <v>430</v>
      </c>
      <c r="D141" t="s">
        <v>650</v>
      </c>
      <c r="E141">
        <v>57</v>
      </c>
      <c r="F141" t="s">
        <v>430</v>
      </c>
      <c r="G141" s="327">
        <v>804739</v>
      </c>
      <c r="H141">
        <v>4</v>
      </c>
    </row>
    <row r="142" spans="1:8" x14ac:dyDescent="0.25">
      <c r="A142" s="2">
        <v>803.26099999999997</v>
      </c>
      <c r="B142" s="2">
        <v>19</v>
      </c>
      <c r="C142" s="2" t="s">
        <v>1107</v>
      </c>
      <c r="F142" t="s">
        <v>728</v>
      </c>
      <c r="G142" s="327">
        <v>803261</v>
      </c>
      <c r="H142">
        <v>1</v>
      </c>
    </row>
    <row r="143" spans="1:8" x14ac:dyDescent="0.25">
      <c r="A143" s="2">
        <v>803.26099999999997</v>
      </c>
      <c r="B143" s="2">
        <v>15</v>
      </c>
      <c r="C143" s="2" t="s">
        <v>1108</v>
      </c>
      <c r="F143" t="s">
        <v>729</v>
      </c>
      <c r="G143" s="327">
        <v>803261</v>
      </c>
      <c r="H143">
        <v>1</v>
      </c>
    </row>
    <row r="144" spans="1:8" x14ac:dyDescent="0.25">
      <c r="A144" s="2">
        <v>802.952</v>
      </c>
      <c r="B144" s="2">
        <v>100</v>
      </c>
      <c r="C144" s="2" t="s">
        <v>194</v>
      </c>
      <c r="F144" t="s">
        <v>194</v>
      </c>
      <c r="G144" s="327">
        <v>802952</v>
      </c>
      <c r="H144">
        <v>2</v>
      </c>
    </row>
    <row r="145" spans="1:8" x14ac:dyDescent="0.25">
      <c r="A145" s="2">
        <v>802.65700000000004</v>
      </c>
      <c r="B145" s="2">
        <v>100</v>
      </c>
      <c r="C145" s="2" t="s">
        <v>419</v>
      </c>
      <c r="D145" t="s">
        <v>651</v>
      </c>
      <c r="E145">
        <v>58</v>
      </c>
      <c r="F145" t="s">
        <v>419</v>
      </c>
      <c r="G145" s="327">
        <v>802657</v>
      </c>
      <c r="H145">
        <v>6</v>
      </c>
    </row>
    <row r="146" spans="1:8" x14ac:dyDescent="0.25">
      <c r="A146" s="2">
        <v>801.45</v>
      </c>
      <c r="B146" s="2">
        <v>23</v>
      </c>
      <c r="C146" s="2" t="s">
        <v>1109</v>
      </c>
      <c r="F146" t="s">
        <v>326</v>
      </c>
      <c r="G146" s="327">
        <v>801.45</v>
      </c>
      <c r="H146">
        <v>1</v>
      </c>
    </row>
    <row r="147" spans="1:8" x14ac:dyDescent="0.25">
      <c r="A147" s="2">
        <v>799.51599999999996</v>
      </c>
      <c r="B147" s="2">
        <v>13</v>
      </c>
      <c r="C147" s="2" t="s">
        <v>784</v>
      </c>
      <c r="F147" t="s">
        <v>339</v>
      </c>
      <c r="G147" s="327">
        <v>799516</v>
      </c>
      <c r="H147">
        <v>5</v>
      </c>
    </row>
    <row r="148" spans="1:8" x14ac:dyDescent="0.25">
      <c r="A148" s="2">
        <v>797.58900000000006</v>
      </c>
      <c r="B148" s="2">
        <v>13</v>
      </c>
      <c r="C148" s="2" t="s">
        <v>780</v>
      </c>
      <c r="F148" t="s">
        <v>346</v>
      </c>
      <c r="G148" s="327">
        <v>797589</v>
      </c>
      <c r="H148">
        <v>6</v>
      </c>
    </row>
    <row r="149" spans="1:8" x14ac:dyDescent="0.25">
      <c r="A149" s="2">
        <v>795.65499999999997</v>
      </c>
      <c r="B149" s="2">
        <v>13</v>
      </c>
      <c r="C149" s="2" t="s">
        <v>1110</v>
      </c>
      <c r="F149" t="s">
        <v>540</v>
      </c>
      <c r="G149" s="327">
        <v>795655</v>
      </c>
      <c r="H149">
        <v>1</v>
      </c>
    </row>
    <row r="150" spans="1:8" x14ac:dyDescent="0.25">
      <c r="A150" s="2">
        <v>795.40899999999999</v>
      </c>
      <c r="B150" s="2">
        <v>15</v>
      </c>
      <c r="C150" s="2" t="s">
        <v>1111</v>
      </c>
      <c r="F150" t="s">
        <v>334</v>
      </c>
      <c r="G150" s="327">
        <v>795409</v>
      </c>
      <c r="H150">
        <v>3</v>
      </c>
    </row>
    <row r="151" spans="1:8" x14ac:dyDescent="0.25">
      <c r="A151" s="2">
        <v>794.51199999999994</v>
      </c>
      <c r="B151" s="2">
        <v>100</v>
      </c>
      <c r="C151" s="2" t="s">
        <v>542</v>
      </c>
      <c r="F151" t="s">
        <v>542</v>
      </c>
      <c r="G151" s="327">
        <v>794512</v>
      </c>
      <c r="H151">
        <v>2</v>
      </c>
    </row>
    <row r="152" spans="1:8" x14ac:dyDescent="0.25">
      <c r="A152" s="2">
        <v>794.33600000000001</v>
      </c>
      <c r="B152" s="2">
        <v>100</v>
      </c>
      <c r="C152" s="2" t="s">
        <v>546</v>
      </c>
      <c r="D152" t="s">
        <v>652</v>
      </c>
      <c r="E152">
        <v>59</v>
      </c>
      <c r="F152" t="s">
        <v>546</v>
      </c>
      <c r="G152" s="327">
        <v>794336</v>
      </c>
      <c r="H152">
        <v>6</v>
      </c>
    </row>
    <row r="153" spans="1:8" x14ac:dyDescent="0.25">
      <c r="A153" s="2">
        <v>791.88099999999997</v>
      </c>
      <c r="B153" s="2">
        <v>100</v>
      </c>
      <c r="C153" s="2" t="s">
        <v>493</v>
      </c>
      <c r="D153" t="s">
        <v>537</v>
      </c>
      <c r="E153">
        <v>60</v>
      </c>
      <c r="F153" t="s">
        <v>493</v>
      </c>
      <c r="G153" s="327">
        <v>791881</v>
      </c>
      <c r="H153">
        <v>3</v>
      </c>
    </row>
    <row r="154" spans="1:8" x14ac:dyDescent="0.25">
      <c r="A154" s="2">
        <v>791.86699999999996</v>
      </c>
      <c r="B154" s="2">
        <v>17</v>
      </c>
      <c r="C154" s="2" t="s">
        <v>1112</v>
      </c>
      <c r="F154" t="s">
        <v>730</v>
      </c>
      <c r="G154" s="327">
        <v>791867</v>
      </c>
      <c r="H154">
        <v>1</v>
      </c>
    </row>
    <row r="155" spans="1:8" x14ac:dyDescent="0.25">
      <c r="A155" s="2">
        <v>790.12900000000002</v>
      </c>
      <c r="B155" s="2">
        <v>13</v>
      </c>
      <c r="C155" s="2" t="s">
        <v>1113</v>
      </c>
      <c r="F155" t="s">
        <v>544</v>
      </c>
      <c r="G155" s="327">
        <v>790129</v>
      </c>
      <c r="H155">
        <v>4</v>
      </c>
    </row>
    <row r="156" spans="1:8" x14ac:dyDescent="0.25">
      <c r="A156" s="2">
        <v>786.48400000000004</v>
      </c>
      <c r="B156" s="2">
        <v>100</v>
      </c>
      <c r="C156" s="2" t="s">
        <v>198</v>
      </c>
      <c r="F156" t="s">
        <v>198</v>
      </c>
      <c r="G156" s="327">
        <v>786484</v>
      </c>
      <c r="H156">
        <v>1</v>
      </c>
    </row>
    <row r="157" spans="1:8" x14ac:dyDescent="0.25">
      <c r="A157" s="2">
        <v>785.56100000000004</v>
      </c>
      <c r="B157" s="2">
        <v>100</v>
      </c>
      <c r="C157" s="2" t="s">
        <v>418</v>
      </c>
      <c r="D157" t="s">
        <v>653</v>
      </c>
      <c r="E157">
        <v>61</v>
      </c>
      <c r="F157" t="s">
        <v>418</v>
      </c>
      <c r="G157" s="327">
        <v>785561</v>
      </c>
      <c r="H157">
        <v>3</v>
      </c>
    </row>
    <row r="158" spans="1:8" x14ac:dyDescent="0.25">
      <c r="A158" s="2">
        <v>785.45699999999999</v>
      </c>
      <c r="B158" s="2">
        <v>14</v>
      </c>
      <c r="C158" s="2" t="s">
        <v>1114</v>
      </c>
      <c r="F158" t="s">
        <v>469</v>
      </c>
      <c r="G158" s="327">
        <v>785457</v>
      </c>
      <c r="H158">
        <v>2</v>
      </c>
    </row>
    <row r="159" spans="1:8" x14ac:dyDescent="0.25">
      <c r="A159" s="2">
        <v>784.95500000000004</v>
      </c>
      <c r="B159" s="2">
        <v>15</v>
      </c>
      <c r="C159" s="2" t="s">
        <v>1115</v>
      </c>
      <c r="F159" t="s">
        <v>543</v>
      </c>
      <c r="G159" s="327">
        <v>784955</v>
      </c>
      <c r="H159">
        <v>1</v>
      </c>
    </row>
    <row r="160" spans="1:8" x14ac:dyDescent="0.25">
      <c r="A160" s="2">
        <v>784.89700000000005</v>
      </c>
      <c r="B160" s="2">
        <v>100</v>
      </c>
      <c r="C160" s="2" t="s">
        <v>12</v>
      </c>
      <c r="D160" t="s">
        <v>539</v>
      </c>
      <c r="E160">
        <v>62</v>
      </c>
      <c r="F160" t="s">
        <v>12</v>
      </c>
      <c r="G160" s="327">
        <v>784897</v>
      </c>
      <c r="H160">
        <v>4</v>
      </c>
    </row>
    <row r="161" spans="1:8" x14ac:dyDescent="0.25">
      <c r="A161" s="2">
        <v>782.37800000000004</v>
      </c>
      <c r="B161" s="2">
        <v>100</v>
      </c>
      <c r="C161" s="2" t="s">
        <v>486</v>
      </c>
      <c r="D161" t="s">
        <v>654</v>
      </c>
      <c r="E161">
        <v>63</v>
      </c>
      <c r="F161" t="s">
        <v>486</v>
      </c>
      <c r="G161" s="327">
        <v>782378</v>
      </c>
      <c r="H161">
        <v>5</v>
      </c>
    </row>
    <row r="162" spans="1:8" x14ac:dyDescent="0.25">
      <c r="A162" s="2">
        <v>781.66899999999998</v>
      </c>
      <c r="B162" s="2">
        <v>100</v>
      </c>
      <c r="C162" s="2" t="s">
        <v>399</v>
      </c>
      <c r="D162" t="s">
        <v>655</v>
      </c>
      <c r="E162">
        <v>64</v>
      </c>
      <c r="F162" t="s">
        <v>399</v>
      </c>
      <c r="G162" s="327">
        <v>781669</v>
      </c>
      <c r="H162">
        <v>5</v>
      </c>
    </row>
    <row r="163" spans="1:8" x14ac:dyDescent="0.25">
      <c r="A163" s="2">
        <v>778.83600000000001</v>
      </c>
      <c r="B163" s="2">
        <v>100</v>
      </c>
      <c r="C163" s="2" t="s">
        <v>578</v>
      </c>
      <c r="D163" t="s">
        <v>656</v>
      </c>
      <c r="E163">
        <v>65</v>
      </c>
      <c r="F163" t="s">
        <v>578</v>
      </c>
      <c r="G163" s="327">
        <v>778836</v>
      </c>
      <c r="H163">
        <v>3</v>
      </c>
    </row>
    <row r="164" spans="1:8" x14ac:dyDescent="0.25">
      <c r="A164" s="2">
        <v>777.89300000000003</v>
      </c>
      <c r="B164" s="2">
        <v>100</v>
      </c>
      <c r="C164" s="2" t="s">
        <v>397</v>
      </c>
      <c r="F164" t="s">
        <v>397</v>
      </c>
      <c r="G164" s="327">
        <v>777893</v>
      </c>
      <c r="H164">
        <v>2</v>
      </c>
    </row>
    <row r="165" spans="1:8" x14ac:dyDescent="0.25">
      <c r="A165" s="2">
        <v>777.44</v>
      </c>
      <c r="B165" s="2">
        <v>15</v>
      </c>
      <c r="C165" s="2" t="s">
        <v>1116</v>
      </c>
      <c r="F165" t="s">
        <v>557</v>
      </c>
      <c r="G165" s="327">
        <v>777.44</v>
      </c>
      <c r="H165">
        <v>4</v>
      </c>
    </row>
    <row r="166" spans="1:8" x14ac:dyDescent="0.25">
      <c r="A166" s="2">
        <v>776.78300000000002</v>
      </c>
      <c r="B166" s="2">
        <v>100</v>
      </c>
      <c r="C166" s="2" t="s">
        <v>491</v>
      </c>
      <c r="D166" t="s">
        <v>657</v>
      </c>
      <c r="E166">
        <v>66</v>
      </c>
      <c r="F166" t="s">
        <v>491</v>
      </c>
      <c r="G166" s="327">
        <v>776783</v>
      </c>
      <c r="H166">
        <v>5</v>
      </c>
    </row>
    <row r="167" spans="1:8" x14ac:dyDescent="0.25">
      <c r="A167" s="2">
        <v>776.21100000000001</v>
      </c>
      <c r="B167" s="2">
        <v>100</v>
      </c>
      <c r="C167" s="2" t="s">
        <v>609</v>
      </c>
      <c r="F167" t="s">
        <v>609</v>
      </c>
      <c r="G167" s="327">
        <v>776211</v>
      </c>
      <c r="H167">
        <v>1</v>
      </c>
    </row>
    <row r="168" spans="1:8" x14ac:dyDescent="0.25">
      <c r="A168" s="2">
        <v>775.91499999999996</v>
      </c>
      <c r="B168" s="2">
        <v>100</v>
      </c>
      <c r="C168" s="2" t="s">
        <v>474</v>
      </c>
      <c r="D168" t="s">
        <v>658</v>
      </c>
      <c r="E168">
        <v>67</v>
      </c>
      <c r="F168" t="s">
        <v>474</v>
      </c>
      <c r="G168" s="327">
        <v>775915</v>
      </c>
      <c r="H168">
        <v>4</v>
      </c>
    </row>
    <row r="169" spans="1:8" x14ac:dyDescent="0.25">
      <c r="A169" s="2">
        <v>775.22500000000002</v>
      </c>
      <c r="B169" s="2">
        <v>100</v>
      </c>
      <c r="C169" s="2" t="s">
        <v>485</v>
      </c>
      <c r="F169" t="s">
        <v>485</v>
      </c>
      <c r="G169" s="327">
        <v>775225</v>
      </c>
      <c r="H169">
        <v>2</v>
      </c>
    </row>
    <row r="170" spans="1:8" x14ac:dyDescent="0.25">
      <c r="A170" s="2">
        <v>775.125</v>
      </c>
      <c r="B170" s="2">
        <v>100</v>
      </c>
      <c r="C170" s="2" t="s">
        <v>481</v>
      </c>
      <c r="D170" t="s">
        <v>659</v>
      </c>
      <c r="E170">
        <v>68</v>
      </c>
      <c r="F170" t="s">
        <v>481</v>
      </c>
      <c r="G170" s="327">
        <v>775125</v>
      </c>
      <c r="H170">
        <v>3</v>
      </c>
    </row>
    <row r="171" spans="1:8" x14ac:dyDescent="0.25">
      <c r="A171" s="2">
        <v>774.80499999999995</v>
      </c>
      <c r="B171" s="2">
        <v>100</v>
      </c>
      <c r="C171" s="2" t="s">
        <v>625</v>
      </c>
      <c r="F171" t="s">
        <v>625</v>
      </c>
      <c r="G171" s="327">
        <v>774805</v>
      </c>
      <c r="H171">
        <v>2</v>
      </c>
    </row>
    <row r="172" spans="1:8" x14ac:dyDescent="0.25">
      <c r="A172" s="2">
        <v>774.53899999999999</v>
      </c>
      <c r="B172" s="2">
        <v>18</v>
      </c>
      <c r="C172" s="2" t="s">
        <v>1117</v>
      </c>
      <c r="F172" t="s">
        <v>545</v>
      </c>
      <c r="G172" s="327">
        <v>774539</v>
      </c>
      <c r="H172">
        <v>1</v>
      </c>
    </row>
    <row r="173" spans="1:8" x14ac:dyDescent="0.25">
      <c r="A173" s="2">
        <v>772.83699999999999</v>
      </c>
      <c r="B173" s="2">
        <v>100</v>
      </c>
      <c r="C173" s="2" t="s">
        <v>660</v>
      </c>
      <c r="F173" t="s">
        <v>660</v>
      </c>
      <c r="G173" s="327">
        <v>772837</v>
      </c>
      <c r="H173">
        <v>1</v>
      </c>
    </row>
    <row r="174" spans="1:8" x14ac:dyDescent="0.25">
      <c r="A174" s="2">
        <v>771.495</v>
      </c>
      <c r="B174" s="2">
        <v>100</v>
      </c>
      <c r="C174" s="2" t="s">
        <v>200</v>
      </c>
      <c r="F174" t="s">
        <v>200</v>
      </c>
      <c r="G174" s="327">
        <v>771495</v>
      </c>
      <c r="H174">
        <v>2</v>
      </c>
    </row>
    <row r="175" spans="1:8" x14ac:dyDescent="0.25">
      <c r="A175" s="2">
        <v>769.82100000000003</v>
      </c>
      <c r="B175" s="2">
        <v>100</v>
      </c>
      <c r="C175" s="2" t="s">
        <v>525</v>
      </c>
      <c r="D175" t="s">
        <v>661</v>
      </c>
      <c r="E175">
        <v>69</v>
      </c>
      <c r="F175" t="s">
        <v>525</v>
      </c>
      <c r="G175" s="327">
        <v>769821</v>
      </c>
      <c r="H175">
        <v>4</v>
      </c>
    </row>
    <row r="176" spans="1:8" x14ac:dyDescent="0.25">
      <c r="A176" s="2">
        <v>769.30200000000002</v>
      </c>
      <c r="B176" s="2">
        <v>100</v>
      </c>
      <c r="C176" s="2" t="s">
        <v>484</v>
      </c>
      <c r="F176" t="s">
        <v>484</v>
      </c>
      <c r="G176" s="327">
        <v>769302</v>
      </c>
      <c r="H176">
        <v>2</v>
      </c>
    </row>
    <row r="177" spans="1:8" x14ac:dyDescent="0.25">
      <c r="A177" s="2">
        <v>767.43200000000002</v>
      </c>
      <c r="B177" s="2">
        <v>100</v>
      </c>
      <c r="C177" s="2" t="s">
        <v>344</v>
      </c>
      <c r="D177" t="s">
        <v>506</v>
      </c>
      <c r="E177">
        <v>3</v>
      </c>
      <c r="F177" t="s">
        <v>344</v>
      </c>
      <c r="G177" s="327">
        <v>767432</v>
      </c>
      <c r="H177">
        <v>5</v>
      </c>
    </row>
    <row r="178" spans="1:8" x14ac:dyDescent="0.25">
      <c r="A178" s="2">
        <v>766.2</v>
      </c>
      <c r="B178" s="2">
        <v>23</v>
      </c>
      <c r="C178" s="2" t="s">
        <v>774</v>
      </c>
      <c r="F178" t="s">
        <v>558</v>
      </c>
      <c r="G178" s="327">
        <v>766.2</v>
      </c>
      <c r="H178">
        <v>5</v>
      </c>
    </row>
    <row r="179" spans="1:8" x14ac:dyDescent="0.25">
      <c r="A179" s="2">
        <v>765.48599999999999</v>
      </c>
      <c r="B179" s="2">
        <v>20</v>
      </c>
      <c r="C179" s="2" t="s">
        <v>1118</v>
      </c>
      <c r="F179" t="s">
        <v>422</v>
      </c>
      <c r="G179" s="327">
        <v>765486</v>
      </c>
      <c r="H179">
        <v>2</v>
      </c>
    </row>
    <row r="180" spans="1:8" x14ac:dyDescent="0.25">
      <c r="A180" s="2">
        <v>763.71500000000003</v>
      </c>
      <c r="B180" s="2">
        <v>100</v>
      </c>
      <c r="C180" s="2" t="s">
        <v>400</v>
      </c>
      <c r="D180" t="s">
        <v>731</v>
      </c>
      <c r="E180">
        <v>70</v>
      </c>
      <c r="F180" t="s">
        <v>400</v>
      </c>
      <c r="G180" s="327">
        <v>763715</v>
      </c>
      <c r="H180">
        <v>6</v>
      </c>
    </row>
    <row r="181" spans="1:8" x14ac:dyDescent="0.25">
      <c r="A181" s="2">
        <v>762.06399999999996</v>
      </c>
      <c r="B181" s="2">
        <v>14</v>
      </c>
      <c r="C181" s="2" t="s">
        <v>1119</v>
      </c>
      <c r="F181" t="s">
        <v>464</v>
      </c>
      <c r="G181" s="327">
        <v>762064</v>
      </c>
      <c r="H181">
        <v>1</v>
      </c>
    </row>
    <row r="182" spans="1:8" x14ac:dyDescent="0.25">
      <c r="A182" s="2">
        <v>762.06399999999996</v>
      </c>
      <c r="B182" s="2">
        <v>18</v>
      </c>
      <c r="C182" s="2" t="s">
        <v>1120</v>
      </c>
      <c r="F182" t="s">
        <v>549</v>
      </c>
      <c r="G182" s="327">
        <v>762064</v>
      </c>
      <c r="H182">
        <v>1</v>
      </c>
    </row>
    <row r="183" spans="1:8" x14ac:dyDescent="0.25">
      <c r="A183" s="2">
        <v>761.99199999999996</v>
      </c>
      <c r="B183" s="2">
        <v>100</v>
      </c>
      <c r="C183" s="2" t="s">
        <v>611</v>
      </c>
      <c r="F183" t="s">
        <v>611</v>
      </c>
      <c r="G183" s="327">
        <v>761992</v>
      </c>
      <c r="H183">
        <v>1</v>
      </c>
    </row>
    <row r="184" spans="1:8" x14ac:dyDescent="0.25">
      <c r="A184" s="2">
        <v>761.20299999999997</v>
      </c>
      <c r="B184" s="2">
        <v>100</v>
      </c>
      <c r="C184" s="2" t="s">
        <v>206</v>
      </c>
      <c r="D184" t="s">
        <v>732</v>
      </c>
      <c r="E184">
        <v>4</v>
      </c>
      <c r="F184" t="s">
        <v>206</v>
      </c>
      <c r="G184" s="327">
        <v>761203</v>
      </c>
      <c r="H184">
        <v>6</v>
      </c>
    </row>
    <row r="185" spans="1:8" x14ac:dyDescent="0.25">
      <c r="A185" s="2">
        <v>760.85500000000002</v>
      </c>
      <c r="B185" s="2">
        <v>100</v>
      </c>
      <c r="C185" s="2" t="s">
        <v>209</v>
      </c>
      <c r="F185" t="s">
        <v>209</v>
      </c>
      <c r="G185" s="327">
        <v>760855</v>
      </c>
      <c r="H185">
        <v>1</v>
      </c>
    </row>
    <row r="186" spans="1:8" x14ac:dyDescent="0.25">
      <c r="A186" s="2">
        <v>759.14599999999996</v>
      </c>
      <c r="B186" s="2">
        <v>100</v>
      </c>
      <c r="C186" s="2" t="s">
        <v>451</v>
      </c>
      <c r="D186" t="s">
        <v>662</v>
      </c>
      <c r="E186">
        <v>71</v>
      </c>
      <c r="F186" t="s">
        <v>451</v>
      </c>
      <c r="G186" s="327">
        <v>759146</v>
      </c>
      <c r="H186">
        <v>4</v>
      </c>
    </row>
    <row r="187" spans="1:8" x14ac:dyDescent="0.25">
      <c r="A187" s="2">
        <v>758.76900000000001</v>
      </c>
      <c r="B187" s="2">
        <v>100</v>
      </c>
      <c r="C187" s="2" t="s">
        <v>541</v>
      </c>
      <c r="F187" t="s">
        <v>541</v>
      </c>
      <c r="G187" s="327">
        <v>758769</v>
      </c>
      <c r="H187">
        <v>1</v>
      </c>
    </row>
    <row r="188" spans="1:8" x14ac:dyDescent="0.25">
      <c r="A188" s="2">
        <v>758.27200000000005</v>
      </c>
      <c r="B188" s="2">
        <v>100</v>
      </c>
      <c r="C188" s="2" t="s">
        <v>416</v>
      </c>
      <c r="F188" t="s">
        <v>416</v>
      </c>
      <c r="G188" s="327">
        <v>758272</v>
      </c>
      <c r="H188">
        <v>2</v>
      </c>
    </row>
    <row r="189" spans="1:8" x14ac:dyDescent="0.25">
      <c r="A189" s="2">
        <v>755.05</v>
      </c>
      <c r="B189" s="2">
        <v>100</v>
      </c>
      <c r="C189" s="2" t="s">
        <v>201</v>
      </c>
      <c r="D189" t="s">
        <v>663</v>
      </c>
      <c r="E189">
        <v>72</v>
      </c>
      <c r="F189" t="s">
        <v>201</v>
      </c>
      <c r="G189" s="327">
        <v>755.05</v>
      </c>
      <c r="H189">
        <v>3</v>
      </c>
    </row>
    <row r="190" spans="1:8" x14ac:dyDescent="0.25">
      <c r="A190" s="2">
        <v>753.06500000000005</v>
      </c>
      <c r="B190" s="2">
        <v>100</v>
      </c>
      <c r="C190" s="2" t="s">
        <v>571</v>
      </c>
      <c r="F190" t="s">
        <v>571</v>
      </c>
      <c r="G190" s="327">
        <v>753065</v>
      </c>
      <c r="H190">
        <v>2</v>
      </c>
    </row>
    <row r="191" spans="1:8" x14ac:dyDescent="0.25">
      <c r="A191" s="2">
        <v>751.82899999999995</v>
      </c>
      <c r="B191" s="2">
        <v>100</v>
      </c>
      <c r="C191" s="2" t="s">
        <v>610</v>
      </c>
      <c r="F191" t="s">
        <v>610</v>
      </c>
      <c r="G191" s="327">
        <v>751829</v>
      </c>
      <c r="H191">
        <v>2</v>
      </c>
    </row>
    <row r="192" spans="1:8" x14ac:dyDescent="0.25">
      <c r="A192" s="2">
        <v>750.54300000000001</v>
      </c>
      <c r="B192" s="2">
        <v>18</v>
      </c>
      <c r="C192" s="2" t="s">
        <v>1121</v>
      </c>
      <c r="F192" t="s">
        <v>626</v>
      </c>
      <c r="G192" s="327">
        <v>750543</v>
      </c>
      <c r="H192">
        <v>1</v>
      </c>
    </row>
    <row r="193" spans="1:9" x14ac:dyDescent="0.25">
      <c r="A193" s="2">
        <v>750.34299999999996</v>
      </c>
      <c r="B193" s="2">
        <v>100</v>
      </c>
      <c r="C193" s="2" t="s">
        <v>11</v>
      </c>
      <c r="D193" t="s">
        <v>664</v>
      </c>
      <c r="E193">
        <v>73</v>
      </c>
      <c r="F193" t="s">
        <v>11</v>
      </c>
      <c r="G193" s="327">
        <v>750343</v>
      </c>
      <c r="H193">
        <v>5</v>
      </c>
    </row>
    <row r="194" spans="1:9" x14ac:dyDescent="0.25">
      <c r="A194" s="2">
        <v>748.37199999999996</v>
      </c>
      <c r="B194" s="2">
        <v>100</v>
      </c>
      <c r="C194" s="2" t="s">
        <v>551</v>
      </c>
      <c r="F194" t="s">
        <v>551</v>
      </c>
      <c r="G194" s="327">
        <v>748372</v>
      </c>
      <c r="H194">
        <v>1</v>
      </c>
    </row>
    <row r="195" spans="1:9" x14ac:dyDescent="0.25">
      <c r="A195" s="2">
        <v>747.37300000000005</v>
      </c>
      <c r="B195" s="2">
        <v>100</v>
      </c>
      <c r="C195" s="2" t="s">
        <v>562</v>
      </c>
      <c r="F195" t="s">
        <v>562</v>
      </c>
      <c r="G195" s="327">
        <v>747373</v>
      </c>
      <c r="H195">
        <v>1</v>
      </c>
    </row>
    <row r="196" spans="1:9" x14ac:dyDescent="0.25">
      <c r="A196" s="2">
        <v>747.14700000000005</v>
      </c>
      <c r="B196" s="2">
        <v>15</v>
      </c>
      <c r="C196" s="2" t="s">
        <v>1122</v>
      </c>
      <c r="F196" t="s">
        <v>565</v>
      </c>
      <c r="G196" s="327">
        <v>747147</v>
      </c>
      <c r="H196">
        <v>2</v>
      </c>
    </row>
    <row r="197" spans="1:9" x14ac:dyDescent="0.25">
      <c r="A197" s="2">
        <v>746.29700000000003</v>
      </c>
      <c r="B197" s="2">
        <v>14</v>
      </c>
      <c r="C197" s="2" t="s">
        <v>1123</v>
      </c>
      <c r="F197" t="s">
        <v>553</v>
      </c>
      <c r="G197" s="327">
        <v>746297</v>
      </c>
      <c r="H197">
        <v>1</v>
      </c>
    </row>
    <row r="198" spans="1:9" x14ac:dyDescent="0.25">
      <c r="A198" s="2">
        <v>744.34100000000001</v>
      </c>
      <c r="B198" s="2">
        <v>17</v>
      </c>
      <c r="C198" s="2" t="s">
        <v>1124</v>
      </c>
      <c r="F198" t="s">
        <v>547</v>
      </c>
      <c r="G198" s="327">
        <v>744341</v>
      </c>
      <c r="H198">
        <v>1</v>
      </c>
    </row>
    <row r="199" spans="1:9" x14ac:dyDescent="0.25">
      <c r="A199" s="2">
        <v>743.26300000000003</v>
      </c>
      <c r="B199" s="2">
        <v>100</v>
      </c>
      <c r="C199" s="2" t="s">
        <v>555</v>
      </c>
      <c r="F199" t="s">
        <v>555</v>
      </c>
      <c r="G199" s="327">
        <v>743263</v>
      </c>
      <c r="H199">
        <v>1</v>
      </c>
    </row>
    <row r="200" spans="1:9" x14ac:dyDescent="0.25">
      <c r="A200" s="2">
        <v>738.95699999999999</v>
      </c>
      <c r="B200" s="2">
        <v>100</v>
      </c>
      <c r="C200" s="2" t="s">
        <v>479</v>
      </c>
      <c r="D200" t="s">
        <v>665</v>
      </c>
      <c r="E200">
        <v>74</v>
      </c>
      <c r="F200" t="s">
        <v>479</v>
      </c>
      <c r="G200" s="327">
        <v>738957</v>
      </c>
      <c r="H200">
        <v>4</v>
      </c>
    </row>
    <row r="201" spans="1:9" x14ac:dyDescent="0.25">
      <c r="A201" s="2">
        <v>737.73800000000006</v>
      </c>
      <c r="B201" s="2">
        <v>100</v>
      </c>
      <c r="C201" s="2" t="s">
        <v>490</v>
      </c>
      <c r="F201" t="s">
        <v>490</v>
      </c>
      <c r="G201" s="327">
        <v>737738</v>
      </c>
      <c r="H201">
        <v>2</v>
      </c>
    </row>
    <row r="202" spans="1:9" x14ac:dyDescent="0.25">
      <c r="A202" s="2">
        <v>732.77</v>
      </c>
      <c r="B202" s="2">
        <v>100</v>
      </c>
      <c r="C202" s="2" t="s">
        <v>627</v>
      </c>
      <c r="F202" t="s">
        <v>627</v>
      </c>
      <c r="G202" s="327">
        <v>732.77</v>
      </c>
      <c r="H202">
        <v>1</v>
      </c>
    </row>
    <row r="203" spans="1:9" x14ac:dyDescent="0.25">
      <c r="A203" s="2">
        <v>732.71799999999996</v>
      </c>
      <c r="B203" s="2">
        <v>15</v>
      </c>
      <c r="C203" s="2" t="s">
        <v>779</v>
      </c>
      <c r="F203" t="s">
        <v>559</v>
      </c>
      <c r="G203" s="327">
        <v>732718</v>
      </c>
      <c r="H203">
        <v>4</v>
      </c>
    </row>
    <row r="204" spans="1:9" x14ac:dyDescent="0.25">
      <c r="A204" s="2">
        <v>732.10500000000002</v>
      </c>
      <c r="B204" s="2">
        <v>13</v>
      </c>
      <c r="C204" s="2" t="s">
        <v>1125</v>
      </c>
      <c r="F204" t="s">
        <v>387</v>
      </c>
      <c r="G204" s="327">
        <v>732105</v>
      </c>
      <c r="H204">
        <v>3</v>
      </c>
    </row>
    <row r="205" spans="1:9" x14ac:dyDescent="0.25">
      <c r="A205" s="2">
        <v>731.37599999999998</v>
      </c>
      <c r="B205" s="2">
        <v>100</v>
      </c>
      <c r="C205" s="2" t="s">
        <v>338</v>
      </c>
      <c r="D205" t="s">
        <v>666</v>
      </c>
      <c r="E205">
        <v>5</v>
      </c>
      <c r="F205" t="s">
        <v>338</v>
      </c>
      <c r="G205" s="327">
        <v>731376</v>
      </c>
      <c r="H205">
        <v>6</v>
      </c>
    </row>
    <row r="206" spans="1:9" x14ac:dyDescent="0.25">
      <c r="A206" s="2">
        <v>729.96699999999998</v>
      </c>
      <c r="B206" s="2">
        <v>100</v>
      </c>
      <c r="C206" s="2" t="s">
        <v>390</v>
      </c>
      <c r="D206" s="2" t="s">
        <v>667</v>
      </c>
      <c r="E206" s="2">
        <v>75</v>
      </c>
      <c r="F206" s="2" t="s">
        <v>390</v>
      </c>
      <c r="G206" s="327">
        <v>729967</v>
      </c>
      <c r="H206" s="2">
        <v>5</v>
      </c>
      <c r="I206" s="2"/>
    </row>
    <row r="207" spans="1:9" x14ac:dyDescent="0.25">
      <c r="A207" s="2">
        <v>729.78700000000003</v>
      </c>
      <c r="B207" s="2">
        <v>100</v>
      </c>
      <c r="C207" s="2" t="s">
        <v>628</v>
      </c>
      <c r="D207" s="2"/>
      <c r="E207" s="2"/>
      <c r="F207" s="2" t="s">
        <v>628</v>
      </c>
      <c r="G207" s="327">
        <v>729787</v>
      </c>
      <c r="H207" s="2">
        <v>1</v>
      </c>
      <c r="I207" s="2"/>
    </row>
    <row r="208" spans="1:9" x14ac:dyDescent="0.25">
      <c r="A208" s="2">
        <v>729.58299999999997</v>
      </c>
      <c r="B208" s="2">
        <v>100</v>
      </c>
      <c r="C208" s="2" t="s">
        <v>556</v>
      </c>
      <c r="D208" s="2"/>
      <c r="E208" s="2"/>
      <c r="F208" s="2" t="s">
        <v>556</v>
      </c>
      <c r="G208" s="327">
        <v>729583</v>
      </c>
      <c r="H208" s="2">
        <v>2</v>
      </c>
      <c r="I208" s="2"/>
    </row>
    <row r="209" spans="1:9" x14ac:dyDescent="0.25">
      <c r="A209" s="2">
        <v>727.62199999999996</v>
      </c>
      <c r="B209" s="2">
        <v>100</v>
      </c>
      <c r="C209" s="2" t="s">
        <v>733</v>
      </c>
      <c r="D209" s="2"/>
      <c r="E209" s="2"/>
      <c r="F209" s="2" t="s">
        <v>733</v>
      </c>
      <c r="G209" s="327">
        <v>727622</v>
      </c>
      <c r="H209" s="2">
        <v>1</v>
      </c>
      <c r="I209" s="2"/>
    </row>
    <row r="210" spans="1:9" x14ac:dyDescent="0.25">
      <c r="A210" s="2">
        <v>722.86900000000003</v>
      </c>
      <c r="B210" s="2">
        <v>100</v>
      </c>
      <c r="C210" s="2" t="s">
        <v>417</v>
      </c>
      <c r="D210" s="2"/>
      <c r="E210" s="2"/>
      <c r="F210" s="2" t="s">
        <v>417</v>
      </c>
      <c r="G210" s="327">
        <v>722869</v>
      </c>
      <c r="H210" s="2">
        <v>1</v>
      </c>
      <c r="I210" s="2"/>
    </row>
    <row r="211" spans="1:9" x14ac:dyDescent="0.25">
      <c r="A211" s="2">
        <v>722.20500000000004</v>
      </c>
      <c r="B211" s="2">
        <v>100</v>
      </c>
      <c r="C211" s="2" t="s">
        <v>482</v>
      </c>
      <c r="D211" s="2"/>
      <c r="E211" s="2"/>
      <c r="F211" s="2" t="s">
        <v>482</v>
      </c>
      <c r="G211" s="327">
        <v>722205</v>
      </c>
      <c r="H211" s="2">
        <v>1</v>
      </c>
      <c r="I211" s="2"/>
    </row>
    <row r="212" spans="1:9" x14ac:dyDescent="0.25">
      <c r="A212" s="2">
        <v>720.48800000000006</v>
      </c>
      <c r="B212" s="2">
        <v>100</v>
      </c>
      <c r="C212" s="2" t="s">
        <v>560</v>
      </c>
      <c r="D212" s="2"/>
      <c r="E212" s="2"/>
      <c r="F212" s="2" t="s">
        <v>560</v>
      </c>
      <c r="G212" s="327">
        <v>720488</v>
      </c>
      <c r="H212" s="2">
        <v>2</v>
      </c>
      <c r="I212" s="2"/>
    </row>
    <row r="213" spans="1:9" x14ac:dyDescent="0.25">
      <c r="A213" s="2">
        <v>720.26099999999997</v>
      </c>
      <c r="B213" s="2">
        <v>100</v>
      </c>
      <c r="C213" s="2" t="s">
        <v>205</v>
      </c>
      <c r="D213" s="2"/>
      <c r="E213" s="2"/>
      <c r="F213" s="2" t="s">
        <v>205</v>
      </c>
      <c r="G213" s="327">
        <v>720261</v>
      </c>
      <c r="H213" s="2">
        <v>1</v>
      </c>
      <c r="I213" s="2"/>
    </row>
    <row r="214" spans="1:9" x14ac:dyDescent="0.25">
      <c r="A214" s="2">
        <v>717.75800000000004</v>
      </c>
      <c r="B214" s="2">
        <v>17</v>
      </c>
      <c r="C214" s="2" t="s">
        <v>1126</v>
      </c>
      <c r="D214" s="2"/>
      <c r="E214" s="2"/>
      <c r="F214" s="2" t="s">
        <v>465</v>
      </c>
      <c r="G214" s="327">
        <v>717758</v>
      </c>
      <c r="H214" s="2">
        <v>1</v>
      </c>
      <c r="I214" s="2"/>
    </row>
    <row r="215" spans="1:9" x14ac:dyDescent="0.25">
      <c r="A215" s="2">
        <v>714.673</v>
      </c>
      <c r="B215" s="2">
        <v>100</v>
      </c>
      <c r="C215" s="2" t="s">
        <v>564</v>
      </c>
      <c r="D215" s="2" t="s">
        <v>668</v>
      </c>
      <c r="E215" s="2">
        <v>76</v>
      </c>
      <c r="F215" s="2" t="s">
        <v>564</v>
      </c>
      <c r="G215" s="327">
        <v>714673</v>
      </c>
      <c r="H215" s="2">
        <v>6</v>
      </c>
      <c r="I215" s="2"/>
    </row>
    <row r="216" spans="1:9" x14ac:dyDescent="0.25">
      <c r="A216" s="2">
        <v>714.60699999999997</v>
      </c>
      <c r="B216" s="2">
        <v>100</v>
      </c>
      <c r="C216" s="2" t="s">
        <v>421</v>
      </c>
      <c r="D216" s="2"/>
      <c r="E216" s="2"/>
      <c r="F216" s="2" t="s">
        <v>421</v>
      </c>
      <c r="G216" s="327">
        <v>714607</v>
      </c>
      <c r="H216" s="2">
        <v>1</v>
      </c>
      <c r="I216" s="2"/>
    </row>
    <row r="217" spans="1:9" x14ac:dyDescent="0.25">
      <c r="A217" s="2">
        <v>714.28700000000003</v>
      </c>
      <c r="B217" s="2">
        <v>15</v>
      </c>
      <c r="C217" s="2" t="s">
        <v>769</v>
      </c>
      <c r="D217" s="2"/>
      <c r="E217" s="2"/>
      <c r="F217" s="2" t="s">
        <v>407</v>
      </c>
      <c r="G217" s="327">
        <v>714287</v>
      </c>
      <c r="H217" s="2">
        <v>5</v>
      </c>
      <c r="I217" s="2"/>
    </row>
    <row r="218" spans="1:9" x14ac:dyDescent="0.25">
      <c r="A218" s="2">
        <v>713.29200000000003</v>
      </c>
      <c r="B218" s="2">
        <v>100</v>
      </c>
      <c r="C218" s="2" t="s">
        <v>458</v>
      </c>
      <c r="D218" s="2" t="s">
        <v>550</v>
      </c>
      <c r="E218" s="2">
        <v>77</v>
      </c>
      <c r="F218" s="2" t="s">
        <v>458</v>
      </c>
      <c r="G218" s="327">
        <v>713292</v>
      </c>
      <c r="H218" s="2">
        <v>6</v>
      </c>
      <c r="I218" s="2"/>
    </row>
    <row r="219" spans="1:9" x14ac:dyDescent="0.25">
      <c r="A219" s="2">
        <v>712.93200000000002</v>
      </c>
      <c r="B219" s="2">
        <v>13</v>
      </c>
      <c r="C219" s="2" t="s">
        <v>1127</v>
      </c>
      <c r="D219" s="2"/>
      <c r="E219" s="2"/>
      <c r="F219" s="2" t="s">
        <v>566</v>
      </c>
      <c r="G219" s="327">
        <v>712932</v>
      </c>
      <c r="H219" s="2">
        <v>1</v>
      </c>
      <c r="I219" s="2"/>
    </row>
    <row r="220" spans="1:9" x14ac:dyDescent="0.25">
      <c r="A220" s="2">
        <v>712.31700000000001</v>
      </c>
      <c r="B220" s="2">
        <v>100</v>
      </c>
      <c r="C220" s="2" t="s">
        <v>567</v>
      </c>
      <c r="D220" s="2" t="s">
        <v>554</v>
      </c>
      <c r="E220" s="2">
        <v>78</v>
      </c>
      <c r="F220" s="2" t="s">
        <v>567</v>
      </c>
      <c r="G220" s="327">
        <v>712317</v>
      </c>
      <c r="H220" s="2">
        <v>3</v>
      </c>
      <c r="I220" s="2"/>
    </row>
    <row r="221" spans="1:9" x14ac:dyDescent="0.25">
      <c r="A221" s="2">
        <v>711.85599999999999</v>
      </c>
      <c r="B221" s="2">
        <v>100</v>
      </c>
      <c r="C221" s="2" t="s">
        <v>629</v>
      </c>
      <c r="D221" s="2"/>
      <c r="E221" s="2"/>
      <c r="F221" s="2" t="s">
        <v>629</v>
      </c>
      <c r="G221" s="327">
        <v>711856</v>
      </c>
      <c r="H221" s="2">
        <v>1</v>
      </c>
      <c r="I221" s="2"/>
    </row>
    <row r="222" spans="1:9" x14ac:dyDescent="0.25">
      <c r="A222" s="2">
        <v>711.57500000000005</v>
      </c>
      <c r="B222" s="2">
        <v>100</v>
      </c>
      <c r="C222" s="2" t="s">
        <v>398</v>
      </c>
      <c r="D222" s="2" t="s">
        <v>734</v>
      </c>
      <c r="E222" s="2">
        <v>79</v>
      </c>
      <c r="F222" s="2" t="s">
        <v>398</v>
      </c>
      <c r="G222" s="327">
        <v>711575</v>
      </c>
      <c r="H222" s="2">
        <v>6</v>
      </c>
      <c r="I222" s="2"/>
    </row>
    <row r="223" spans="1:9" x14ac:dyDescent="0.25">
      <c r="A223" s="2">
        <v>710.53399999999999</v>
      </c>
      <c r="B223" s="2">
        <v>100</v>
      </c>
      <c r="C223" s="2" t="s">
        <v>570</v>
      </c>
      <c r="D223" s="2" t="s">
        <v>735</v>
      </c>
      <c r="E223" s="2">
        <v>80</v>
      </c>
      <c r="F223" s="2" t="s">
        <v>570</v>
      </c>
      <c r="G223" s="327">
        <v>710534</v>
      </c>
      <c r="H223" s="2">
        <v>3</v>
      </c>
      <c r="I223" s="2"/>
    </row>
    <row r="224" spans="1:9" x14ac:dyDescent="0.25">
      <c r="A224" s="2">
        <v>710.26900000000001</v>
      </c>
      <c r="B224" s="2">
        <v>100</v>
      </c>
      <c r="C224" s="2" t="s">
        <v>483</v>
      </c>
      <c r="D224" s="2" t="s">
        <v>561</v>
      </c>
      <c r="E224" s="2">
        <v>81</v>
      </c>
      <c r="F224" s="2" t="s">
        <v>483</v>
      </c>
      <c r="G224" s="327">
        <v>710269</v>
      </c>
      <c r="H224" s="2">
        <v>5</v>
      </c>
      <c r="I224" s="2"/>
    </row>
    <row r="225" spans="1:9" x14ac:dyDescent="0.25">
      <c r="A225" s="2">
        <v>709.45299999999997</v>
      </c>
      <c r="B225" s="2">
        <v>100</v>
      </c>
      <c r="C225" s="2" t="s">
        <v>475</v>
      </c>
      <c r="D225" s="2" t="s">
        <v>736</v>
      </c>
      <c r="E225" s="2">
        <v>82</v>
      </c>
      <c r="F225" s="2" t="s">
        <v>475</v>
      </c>
      <c r="G225" s="327">
        <v>709453</v>
      </c>
      <c r="H225" s="2">
        <v>3</v>
      </c>
      <c r="I225" s="2"/>
    </row>
    <row r="226" spans="1:9" x14ac:dyDescent="0.25">
      <c r="A226" s="2">
        <v>708.89599999999996</v>
      </c>
      <c r="B226" s="2">
        <v>14</v>
      </c>
      <c r="C226" s="2" t="s">
        <v>1128</v>
      </c>
      <c r="D226" s="2"/>
      <c r="E226" s="2"/>
      <c r="F226" s="2" t="s">
        <v>463</v>
      </c>
      <c r="G226" s="327">
        <v>708896</v>
      </c>
      <c r="H226" s="2">
        <v>1</v>
      </c>
      <c r="I226" s="2"/>
    </row>
    <row r="227" spans="1:9" x14ac:dyDescent="0.25">
      <c r="A227" s="2">
        <v>708.89599999999996</v>
      </c>
      <c r="B227" s="2">
        <v>15</v>
      </c>
      <c r="C227" s="2" t="s">
        <v>1129</v>
      </c>
      <c r="D227" s="2"/>
      <c r="E227" s="2"/>
      <c r="F227" s="2" t="s">
        <v>568</v>
      </c>
      <c r="G227" s="327">
        <v>708896</v>
      </c>
      <c r="H227" s="2">
        <v>1</v>
      </c>
      <c r="I227" s="2"/>
    </row>
    <row r="228" spans="1:9" x14ac:dyDescent="0.25">
      <c r="A228" s="2">
        <v>708.89599999999996</v>
      </c>
      <c r="B228" s="2">
        <v>13</v>
      </c>
      <c r="C228" s="2" t="s">
        <v>1130</v>
      </c>
      <c r="D228" s="2"/>
      <c r="E228" s="2"/>
      <c r="F228" s="2" t="s">
        <v>569</v>
      </c>
      <c r="G228" s="327">
        <v>708896</v>
      </c>
      <c r="H228" s="2">
        <v>1</v>
      </c>
      <c r="I228" s="2"/>
    </row>
    <row r="229" spans="1:9" x14ac:dyDescent="0.25">
      <c r="A229" s="2">
        <v>708.76199999999994</v>
      </c>
      <c r="B229" s="2">
        <v>16</v>
      </c>
      <c r="C229" s="2" t="s">
        <v>775</v>
      </c>
      <c r="D229" s="2"/>
      <c r="E229" s="2"/>
      <c r="F229" s="2" t="s">
        <v>423</v>
      </c>
      <c r="G229" s="327">
        <v>708762</v>
      </c>
      <c r="H229" s="2">
        <v>6</v>
      </c>
      <c r="I229" s="2"/>
    </row>
    <row r="230" spans="1:9" x14ac:dyDescent="0.25">
      <c r="A230" s="2">
        <v>701.06700000000001</v>
      </c>
      <c r="B230" s="2">
        <v>100</v>
      </c>
      <c r="C230" s="2" t="s">
        <v>737</v>
      </c>
      <c r="D230" s="2"/>
      <c r="E230" s="2"/>
      <c r="F230" s="2" t="s">
        <v>737</v>
      </c>
      <c r="G230" s="327">
        <v>701067</v>
      </c>
      <c r="H230" s="2">
        <v>1</v>
      </c>
      <c r="I230" s="2"/>
    </row>
    <row r="231" spans="1:9" x14ac:dyDescent="0.25">
      <c r="A231" s="2">
        <v>695.79</v>
      </c>
      <c r="B231" s="2">
        <v>100</v>
      </c>
      <c r="C231" s="2" t="s">
        <v>563</v>
      </c>
      <c r="D231" s="2"/>
      <c r="E231" s="2"/>
      <c r="F231" s="2" t="s">
        <v>563</v>
      </c>
      <c r="G231" s="327">
        <v>695.79</v>
      </c>
      <c r="H231" s="2">
        <v>1</v>
      </c>
      <c r="I231" s="2"/>
    </row>
    <row r="232" spans="1:9" x14ac:dyDescent="0.25">
      <c r="A232" s="2">
        <v>689.01300000000003</v>
      </c>
      <c r="B232" s="2">
        <v>100</v>
      </c>
      <c r="C232" s="2" t="s">
        <v>509</v>
      </c>
      <c r="D232" s="2" t="s">
        <v>738</v>
      </c>
      <c r="E232" s="2">
        <v>83</v>
      </c>
      <c r="F232" s="2" t="s">
        <v>509</v>
      </c>
      <c r="G232" s="327">
        <v>689013</v>
      </c>
      <c r="H232" s="2">
        <v>4</v>
      </c>
      <c r="I232" s="2"/>
    </row>
    <row r="233" spans="1:9" x14ac:dyDescent="0.25">
      <c r="A233" s="2">
        <v>686.70100000000002</v>
      </c>
      <c r="B233" s="2">
        <v>16</v>
      </c>
      <c r="C233" s="2" t="s">
        <v>1131</v>
      </c>
      <c r="D233" s="2"/>
      <c r="E233" s="2"/>
      <c r="F233" s="2" t="s">
        <v>498</v>
      </c>
      <c r="G233" s="327">
        <v>686701</v>
      </c>
      <c r="H233" s="2">
        <v>2</v>
      </c>
      <c r="I233" s="2"/>
    </row>
    <row r="234" spans="1:9" x14ac:dyDescent="0.25">
      <c r="A234" s="2">
        <v>683.36300000000006</v>
      </c>
      <c r="B234" s="2">
        <v>100</v>
      </c>
      <c r="C234" s="2" t="s">
        <v>488</v>
      </c>
      <c r="D234" s="2"/>
      <c r="E234" s="2"/>
      <c r="F234" s="2" t="s">
        <v>488</v>
      </c>
      <c r="G234" s="327">
        <v>683363</v>
      </c>
      <c r="H234" s="2">
        <v>1</v>
      </c>
      <c r="I234" s="2"/>
    </row>
    <row r="235" spans="1:9" x14ac:dyDescent="0.25">
      <c r="A235" s="2">
        <v>682.49099999999999</v>
      </c>
      <c r="B235" s="2">
        <v>15</v>
      </c>
      <c r="C235" s="2" t="s">
        <v>1132</v>
      </c>
      <c r="D235" s="2"/>
      <c r="E235" s="2"/>
      <c r="F235" s="2" t="s">
        <v>669</v>
      </c>
      <c r="G235" s="327">
        <v>682491</v>
      </c>
      <c r="H235" s="2">
        <v>1</v>
      </c>
      <c r="I235" s="2"/>
    </row>
    <row r="236" spans="1:9" x14ac:dyDescent="0.25">
      <c r="A236" s="2">
        <v>682.31299999999999</v>
      </c>
      <c r="B236" s="2">
        <v>15</v>
      </c>
      <c r="C236" s="2" t="s">
        <v>1133</v>
      </c>
      <c r="D236" s="2"/>
      <c r="E236" s="2"/>
      <c r="F236" s="2" t="s">
        <v>572</v>
      </c>
      <c r="G236" s="327">
        <v>682313</v>
      </c>
      <c r="H236" s="2">
        <v>1</v>
      </c>
      <c r="I236" s="2"/>
    </row>
    <row r="237" spans="1:9" x14ac:dyDescent="0.25">
      <c r="A237" s="2">
        <v>679.55600000000004</v>
      </c>
      <c r="B237" s="2">
        <v>100</v>
      </c>
      <c r="C237" s="2" t="s">
        <v>586</v>
      </c>
      <c r="D237" s="2" t="s">
        <v>670</v>
      </c>
      <c r="E237" s="2">
        <v>84</v>
      </c>
      <c r="F237" s="2" t="s">
        <v>586</v>
      </c>
      <c r="G237" s="327">
        <v>679556</v>
      </c>
      <c r="H237" s="2">
        <v>3</v>
      </c>
      <c r="I237" s="2"/>
    </row>
    <row r="238" spans="1:9" x14ac:dyDescent="0.25">
      <c r="A238" s="2">
        <v>675.22199999999998</v>
      </c>
      <c r="B238" s="2">
        <v>16</v>
      </c>
      <c r="C238" s="2" t="s">
        <v>1134</v>
      </c>
      <c r="D238" s="2"/>
      <c r="E238" s="2"/>
      <c r="F238" s="2" t="s">
        <v>575</v>
      </c>
      <c r="G238" s="327">
        <v>675222</v>
      </c>
      <c r="H238" s="2">
        <v>3</v>
      </c>
      <c r="I238" s="2"/>
    </row>
    <row r="239" spans="1:9" x14ac:dyDescent="0.25">
      <c r="A239" s="2">
        <v>674.99099999999999</v>
      </c>
      <c r="B239" s="2">
        <v>100</v>
      </c>
      <c r="C239" s="2" t="s">
        <v>582</v>
      </c>
      <c r="D239" s="2"/>
      <c r="E239" s="2"/>
      <c r="F239" s="2" t="s">
        <v>582</v>
      </c>
      <c r="G239" s="327">
        <v>674991</v>
      </c>
      <c r="H239" s="2">
        <v>2</v>
      </c>
      <c r="I239" s="2"/>
    </row>
    <row r="240" spans="1:9" x14ac:dyDescent="0.25">
      <c r="A240" s="2">
        <v>674.51099999999997</v>
      </c>
      <c r="B240" s="2">
        <v>100</v>
      </c>
      <c r="C240" s="2" t="s">
        <v>739</v>
      </c>
      <c r="D240" s="2"/>
      <c r="E240" s="2"/>
      <c r="F240" s="2" t="s">
        <v>739</v>
      </c>
      <c r="G240" s="327">
        <v>674511</v>
      </c>
      <c r="H240" s="2">
        <v>1</v>
      </c>
      <c r="I240" s="2"/>
    </row>
    <row r="241" spans="1:9" x14ac:dyDescent="0.25">
      <c r="A241" s="2">
        <v>673.452</v>
      </c>
      <c r="B241" s="2">
        <v>14</v>
      </c>
      <c r="C241" s="2" t="s">
        <v>1135</v>
      </c>
      <c r="D241" s="2"/>
      <c r="E241" s="2"/>
      <c r="F241" s="2" t="s">
        <v>573</v>
      </c>
      <c r="G241" s="327">
        <v>673452</v>
      </c>
      <c r="H241" s="2">
        <v>1</v>
      </c>
      <c r="I241" s="2"/>
    </row>
    <row r="242" spans="1:9" x14ac:dyDescent="0.25">
      <c r="A242" s="2">
        <v>673.38300000000004</v>
      </c>
      <c r="B242" s="2">
        <v>100</v>
      </c>
      <c r="C242" s="2" t="s">
        <v>630</v>
      </c>
      <c r="D242" s="2"/>
      <c r="E242" s="2"/>
      <c r="F242" s="2" t="s">
        <v>630</v>
      </c>
      <c r="G242" s="327">
        <v>673383</v>
      </c>
      <c r="H242" s="2">
        <v>1</v>
      </c>
      <c r="I242" s="2"/>
    </row>
    <row r="243" spans="1:9" x14ac:dyDescent="0.25">
      <c r="A243" s="2">
        <v>673.06</v>
      </c>
      <c r="B243" s="2">
        <v>100</v>
      </c>
      <c r="C243" s="2" t="s">
        <v>396</v>
      </c>
      <c r="D243" s="2" t="s">
        <v>671</v>
      </c>
      <c r="E243" s="2">
        <v>85</v>
      </c>
      <c r="F243" s="2" t="s">
        <v>396</v>
      </c>
      <c r="G243" s="327">
        <v>673.06</v>
      </c>
      <c r="H243" s="2">
        <v>3</v>
      </c>
      <c r="I243" s="2"/>
    </row>
    <row r="244" spans="1:9" x14ac:dyDescent="0.25">
      <c r="A244" s="2">
        <v>671.09</v>
      </c>
      <c r="B244" s="2">
        <v>100</v>
      </c>
      <c r="C244" s="2" t="s">
        <v>403</v>
      </c>
      <c r="D244" s="2"/>
      <c r="E244" s="2"/>
      <c r="F244" s="2" t="s">
        <v>403</v>
      </c>
      <c r="G244" s="327">
        <v>671.09</v>
      </c>
      <c r="H244" s="2">
        <v>2</v>
      </c>
      <c r="I244" s="2"/>
    </row>
    <row r="245" spans="1:9" x14ac:dyDescent="0.25">
      <c r="A245" s="2">
        <v>670.24699999999996</v>
      </c>
      <c r="B245" s="2">
        <v>20</v>
      </c>
      <c r="C245" s="2" t="s">
        <v>1136</v>
      </c>
      <c r="D245" s="2"/>
      <c r="E245" s="2"/>
      <c r="F245" s="2" t="s">
        <v>350</v>
      </c>
      <c r="G245" s="327">
        <v>670247</v>
      </c>
      <c r="H245" s="2">
        <v>1</v>
      </c>
      <c r="I245" s="2"/>
    </row>
    <row r="246" spans="1:9" x14ac:dyDescent="0.25">
      <c r="A246" s="2">
        <v>670.14200000000005</v>
      </c>
      <c r="B246" s="2">
        <v>100</v>
      </c>
      <c r="C246" s="2" t="s">
        <v>207</v>
      </c>
      <c r="D246" s="2" t="s">
        <v>672</v>
      </c>
      <c r="E246" s="2">
        <v>86</v>
      </c>
      <c r="F246" s="2" t="s">
        <v>207</v>
      </c>
      <c r="G246" s="327">
        <v>670142</v>
      </c>
      <c r="H246" s="2">
        <v>6</v>
      </c>
      <c r="I246" s="2"/>
    </row>
    <row r="247" spans="1:9" x14ac:dyDescent="0.25">
      <c r="A247" s="2">
        <v>669.88099999999997</v>
      </c>
      <c r="B247" s="2">
        <v>100</v>
      </c>
      <c r="C247" s="2" t="s">
        <v>401</v>
      </c>
      <c r="D247" s="2"/>
      <c r="E247" s="2"/>
      <c r="F247" s="2" t="s">
        <v>401</v>
      </c>
      <c r="G247" s="327">
        <v>669881</v>
      </c>
      <c r="H247" s="2">
        <v>2</v>
      </c>
      <c r="I247" s="2"/>
    </row>
    <row r="248" spans="1:9" x14ac:dyDescent="0.25">
      <c r="A248" s="2">
        <v>665.65899999999999</v>
      </c>
      <c r="B248" s="2">
        <v>100</v>
      </c>
      <c r="C248" s="2" t="s">
        <v>740</v>
      </c>
      <c r="D248" s="2"/>
      <c r="E248" s="2"/>
      <c r="F248" s="2" t="s">
        <v>740</v>
      </c>
      <c r="G248" s="327">
        <v>665659</v>
      </c>
      <c r="H248" s="2">
        <v>1</v>
      </c>
      <c r="I248" s="2"/>
    </row>
    <row r="249" spans="1:9" x14ac:dyDescent="0.25">
      <c r="A249" s="2">
        <v>662.26900000000001</v>
      </c>
      <c r="B249" s="2">
        <v>100</v>
      </c>
      <c r="C249" s="2" t="s">
        <v>501</v>
      </c>
      <c r="D249" s="2"/>
      <c r="E249" s="2"/>
      <c r="F249" s="2" t="s">
        <v>501</v>
      </c>
      <c r="G249" s="327">
        <v>662269</v>
      </c>
      <c r="H249" s="2">
        <v>1</v>
      </c>
      <c r="I249" s="2"/>
    </row>
    <row r="250" spans="1:9" x14ac:dyDescent="0.25">
      <c r="A250" s="2">
        <v>660.61699999999996</v>
      </c>
      <c r="B250" s="2">
        <v>100</v>
      </c>
      <c r="C250" s="2" t="s">
        <v>478</v>
      </c>
      <c r="D250" s="2" t="s">
        <v>673</v>
      </c>
      <c r="E250" s="2">
        <v>87</v>
      </c>
      <c r="F250" s="2" t="s">
        <v>478</v>
      </c>
      <c r="G250" s="327">
        <v>660617</v>
      </c>
      <c r="H250" s="2">
        <v>3</v>
      </c>
      <c r="I250" s="2"/>
    </row>
    <row r="251" spans="1:9" x14ac:dyDescent="0.25">
      <c r="A251" s="2">
        <v>658.91399999999999</v>
      </c>
      <c r="B251" s="2">
        <v>100</v>
      </c>
      <c r="C251" s="2" t="s">
        <v>489</v>
      </c>
      <c r="D251" s="2"/>
      <c r="E251" s="2"/>
      <c r="F251" s="2" t="s">
        <v>489</v>
      </c>
      <c r="G251" s="327">
        <v>658914</v>
      </c>
      <c r="H251" s="2">
        <v>2</v>
      </c>
      <c r="I251" s="2"/>
    </row>
    <row r="252" spans="1:9" x14ac:dyDescent="0.25">
      <c r="A252" s="2">
        <v>658.06299999999999</v>
      </c>
      <c r="B252" s="2">
        <v>100</v>
      </c>
      <c r="C252" s="2" t="s">
        <v>631</v>
      </c>
      <c r="D252" s="2"/>
      <c r="E252" s="2"/>
      <c r="F252" s="2" t="s">
        <v>631</v>
      </c>
      <c r="G252" s="327">
        <v>658063</v>
      </c>
      <c r="H252" s="2">
        <v>1</v>
      </c>
      <c r="I252" s="2"/>
    </row>
    <row r="253" spans="1:9" x14ac:dyDescent="0.25">
      <c r="A253" s="2">
        <v>649.44500000000005</v>
      </c>
      <c r="B253" s="2">
        <v>19</v>
      </c>
      <c r="C253" s="2" t="s">
        <v>1137</v>
      </c>
      <c r="D253" s="2"/>
      <c r="E253" s="2"/>
      <c r="F253" s="2" t="s">
        <v>741</v>
      </c>
      <c r="G253" s="327">
        <v>649445</v>
      </c>
      <c r="H253" s="2">
        <v>1</v>
      </c>
      <c r="I253" s="2"/>
    </row>
    <row r="254" spans="1:9" x14ac:dyDescent="0.25">
      <c r="A254" s="2">
        <v>649.09799999999996</v>
      </c>
      <c r="B254" s="2">
        <v>100</v>
      </c>
      <c r="C254" s="2" t="s">
        <v>632</v>
      </c>
      <c r="D254" s="2"/>
      <c r="E254" s="2"/>
      <c r="F254" s="2" t="s">
        <v>632</v>
      </c>
      <c r="G254" s="327">
        <v>649098</v>
      </c>
      <c r="H254" s="2">
        <v>1</v>
      </c>
      <c r="I254" s="2"/>
    </row>
    <row r="255" spans="1:9" x14ac:dyDescent="0.25">
      <c r="A255" s="2">
        <v>647.68200000000002</v>
      </c>
      <c r="B255" s="2">
        <v>100</v>
      </c>
      <c r="C255" s="2" t="s">
        <v>633</v>
      </c>
      <c r="D255" s="2"/>
      <c r="E255" s="2"/>
      <c r="F255" s="2" t="s">
        <v>633</v>
      </c>
      <c r="G255" s="327">
        <v>647682</v>
      </c>
      <c r="H255" s="2">
        <v>1</v>
      </c>
      <c r="I255" s="2"/>
    </row>
    <row r="256" spans="1:9" x14ac:dyDescent="0.25">
      <c r="A256" s="2">
        <v>646.99400000000003</v>
      </c>
      <c r="B256" s="2">
        <v>12</v>
      </c>
      <c r="C256" s="2" t="s">
        <v>781</v>
      </c>
      <c r="D256" s="2"/>
      <c r="E256" s="2"/>
      <c r="F256" s="2" t="s">
        <v>742</v>
      </c>
      <c r="G256" s="327">
        <v>646994</v>
      </c>
      <c r="H256" s="2">
        <v>2</v>
      </c>
      <c r="I256" s="2"/>
    </row>
    <row r="257" spans="1:9" x14ac:dyDescent="0.25">
      <c r="A257" s="2">
        <v>646.95899999999995</v>
      </c>
      <c r="B257" s="2">
        <v>100</v>
      </c>
      <c r="C257" s="2" t="s">
        <v>577</v>
      </c>
      <c r="D257" s="2" t="s">
        <v>675</v>
      </c>
      <c r="E257" s="2">
        <v>88</v>
      </c>
      <c r="F257" s="2" t="s">
        <v>577</v>
      </c>
      <c r="G257" s="327">
        <v>646959</v>
      </c>
      <c r="H257" s="2">
        <v>3</v>
      </c>
      <c r="I257" s="2"/>
    </row>
    <row r="258" spans="1:9" x14ac:dyDescent="0.25">
      <c r="A258" s="2">
        <v>646.86800000000005</v>
      </c>
      <c r="B258" s="2">
        <v>15</v>
      </c>
      <c r="C258" s="2" t="s">
        <v>1138</v>
      </c>
      <c r="D258" s="2"/>
      <c r="E258" s="2"/>
      <c r="F258" s="2" t="s">
        <v>579</v>
      </c>
      <c r="G258" s="327">
        <v>646868</v>
      </c>
      <c r="H258" s="2">
        <v>1</v>
      </c>
      <c r="I258" s="2"/>
    </row>
    <row r="259" spans="1:9" x14ac:dyDescent="0.25">
      <c r="A259" s="2">
        <v>643.82799999999997</v>
      </c>
      <c r="B259" s="2">
        <v>100</v>
      </c>
      <c r="C259" s="2" t="s">
        <v>588</v>
      </c>
      <c r="D259" s="2" t="s">
        <v>676</v>
      </c>
      <c r="E259" s="2">
        <v>89</v>
      </c>
      <c r="F259" s="2" t="s">
        <v>588</v>
      </c>
      <c r="G259" s="327">
        <v>643828</v>
      </c>
      <c r="H259" s="2">
        <v>3</v>
      </c>
      <c r="I259" s="2"/>
    </row>
    <row r="260" spans="1:9" x14ac:dyDescent="0.25">
      <c r="A260" s="2">
        <v>637.81399999999996</v>
      </c>
      <c r="B260" s="2">
        <v>100</v>
      </c>
      <c r="C260" s="2" t="s">
        <v>674</v>
      </c>
      <c r="D260" s="2"/>
      <c r="E260" s="2"/>
      <c r="F260" s="2" t="s">
        <v>674</v>
      </c>
      <c r="G260" s="327">
        <v>637814</v>
      </c>
      <c r="H260" s="2">
        <v>2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471</v>
      </c>
      <c r="G261" s="327">
        <v>637401</v>
      </c>
      <c r="H261" s="2">
        <v>1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345</v>
      </c>
      <c r="G262" s="327">
        <v>632704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581</v>
      </c>
      <c r="G263" s="327">
        <v>632006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406</v>
      </c>
      <c r="G264" s="327">
        <v>630504</v>
      </c>
      <c r="H264" s="2">
        <v>4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574</v>
      </c>
      <c r="E265" s="2">
        <v>90</v>
      </c>
      <c r="F265" s="2" t="s">
        <v>576</v>
      </c>
      <c r="G265" s="327">
        <v>629782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593</v>
      </c>
      <c r="G266" s="327">
        <v>629146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679</v>
      </c>
      <c r="G267" s="327">
        <v>625846</v>
      </c>
      <c r="H267" s="2">
        <v>2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85"/>
      <c r="E268" s="385"/>
      <c r="F268" s="385" t="s">
        <v>583</v>
      </c>
      <c r="G268" s="327">
        <v>620284</v>
      </c>
      <c r="H268" s="385">
        <v>1</v>
      </c>
      <c r="I268" s="385"/>
    </row>
    <row r="269" spans="1:9" x14ac:dyDescent="0.25">
      <c r="A269" s="2" t="e">
        <v>#REF!</v>
      </c>
      <c r="B269" s="2">
        <v>100</v>
      </c>
      <c r="C269" s="2" t="e">
        <v>#REF!</v>
      </c>
      <c r="D269" s="385" t="s">
        <v>677</v>
      </c>
      <c r="E269" s="385">
        <v>6</v>
      </c>
      <c r="F269" s="385" t="s">
        <v>208</v>
      </c>
      <c r="G269" s="327">
        <v>619829</v>
      </c>
      <c r="H269" s="385">
        <v>6</v>
      </c>
      <c r="I269" s="385"/>
    </row>
    <row r="270" spans="1:9" x14ac:dyDescent="0.25">
      <c r="A270" s="2" t="e">
        <v>#REF!</v>
      </c>
      <c r="B270" s="2">
        <v>100</v>
      </c>
      <c r="C270" s="2" t="e">
        <v>#REF!</v>
      </c>
      <c r="D270" s="385"/>
      <c r="E270" s="385"/>
      <c r="F270" s="385" t="s">
        <v>507</v>
      </c>
      <c r="G270" s="327">
        <v>614679</v>
      </c>
      <c r="H270" s="385">
        <v>2</v>
      </c>
      <c r="I270" s="385"/>
    </row>
    <row r="271" spans="1:9" x14ac:dyDescent="0.25">
      <c r="A271" s="2">
        <v>248.29</v>
      </c>
      <c r="B271" s="2">
        <v>100</v>
      </c>
      <c r="C271" s="2" t="s">
        <v>682</v>
      </c>
      <c r="D271" s="385"/>
      <c r="E271" s="385"/>
      <c r="F271" s="385" t="s">
        <v>584</v>
      </c>
      <c r="G271" s="327">
        <v>614045</v>
      </c>
      <c r="H271" s="385">
        <v>1</v>
      </c>
      <c r="I271" s="385"/>
    </row>
    <row r="272" spans="1:9" x14ac:dyDescent="0.25">
      <c r="A272" s="2" t="e">
        <v>#VALUE!</v>
      </c>
      <c r="B272" s="2">
        <v>100</v>
      </c>
      <c r="C272" s="2"/>
      <c r="D272" s="385" t="s">
        <v>678</v>
      </c>
      <c r="E272" s="385">
        <v>91</v>
      </c>
      <c r="F272" s="385" t="s">
        <v>589</v>
      </c>
      <c r="G272" s="327">
        <v>608048</v>
      </c>
      <c r="H272" s="385">
        <v>4</v>
      </c>
      <c r="I272" s="385"/>
    </row>
    <row r="273" spans="1:9" x14ac:dyDescent="0.25">
      <c r="A273" s="2" t="e">
        <v>#VALUE!</v>
      </c>
      <c r="B273" s="2">
        <v>100</v>
      </c>
      <c r="C273" s="2"/>
      <c r="D273" s="385"/>
      <c r="E273" s="385"/>
      <c r="F273" s="385" t="s">
        <v>585</v>
      </c>
      <c r="G273" s="327">
        <v>602562</v>
      </c>
      <c r="H273" s="385">
        <v>1</v>
      </c>
      <c r="I273" s="385"/>
    </row>
    <row r="274" spans="1:9" x14ac:dyDescent="0.25">
      <c r="A274" s="2" t="e">
        <v>#VALUE!</v>
      </c>
      <c r="B274" s="2">
        <v>100</v>
      </c>
      <c r="C274" s="2"/>
      <c r="D274" s="385"/>
      <c r="E274" s="385"/>
      <c r="F274" s="385" t="s">
        <v>587</v>
      </c>
      <c r="G274" s="327">
        <v>600093</v>
      </c>
      <c r="H274" s="385">
        <v>1</v>
      </c>
      <c r="I274" s="385"/>
    </row>
    <row r="275" spans="1:9" x14ac:dyDescent="0.25">
      <c r="A275" s="2" t="e">
        <v>#VALUE!</v>
      </c>
      <c r="B275" s="2">
        <v>100</v>
      </c>
      <c r="C275" s="2"/>
      <c r="D275" s="385" t="s">
        <v>743</v>
      </c>
      <c r="E275" s="385">
        <v>92</v>
      </c>
      <c r="F275" s="385" t="s">
        <v>580</v>
      </c>
      <c r="G275" s="327">
        <v>598089</v>
      </c>
      <c r="H275" s="385">
        <v>3</v>
      </c>
      <c r="I275" s="385"/>
    </row>
    <row r="276" spans="1:9" x14ac:dyDescent="0.25">
      <c r="A276" s="2" t="e">
        <v>#VALUE!</v>
      </c>
      <c r="B276" s="2">
        <v>100</v>
      </c>
      <c r="C276" s="2"/>
      <c r="D276" s="385"/>
      <c r="E276" s="385"/>
      <c r="F276" s="385" t="s">
        <v>744</v>
      </c>
      <c r="G276" s="327">
        <v>585992</v>
      </c>
      <c r="H276" s="385">
        <v>1</v>
      </c>
      <c r="I276" s="385"/>
    </row>
    <row r="277" spans="1:9" x14ac:dyDescent="0.25">
      <c r="A277" s="2" t="e">
        <v>#VALUE!</v>
      </c>
      <c r="B277" s="2">
        <v>100</v>
      </c>
      <c r="C277" s="2"/>
      <c r="D277" s="385"/>
      <c r="E277" s="385"/>
      <c r="F277" s="385" t="s">
        <v>348</v>
      </c>
      <c r="G277" s="327">
        <v>584859</v>
      </c>
      <c r="H277" s="385">
        <v>2</v>
      </c>
      <c r="I277" s="385"/>
    </row>
    <row r="278" spans="1:9" x14ac:dyDescent="0.25">
      <c r="A278" s="2" t="e">
        <v>#VALUE!</v>
      </c>
      <c r="B278" s="2">
        <v>100</v>
      </c>
      <c r="C278" s="2"/>
      <c r="D278" s="385"/>
      <c r="E278" s="385"/>
      <c r="F278" s="385" t="s">
        <v>591</v>
      </c>
      <c r="G278" s="327">
        <v>582125</v>
      </c>
      <c r="H278" s="385">
        <v>2</v>
      </c>
      <c r="I278" s="385"/>
    </row>
    <row r="279" spans="1:9" x14ac:dyDescent="0.25">
      <c r="A279" s="2" t="e">
        <v>#VALUE!</v>
      </c>
      <c r="B279" s="2">
        <v>100</v>
      </c>
      <c r="C279" s="2"/>
      <c r="D279" s="385"/>
      <c r="E279" s="385"/>
      <c r="F279" s="385" t="s">
        <v>592</v>
      </c>
      <c r="G279" s="327">
        <v>575978</v>
      </c>
      <c r="H279" s="385">
        <v>1</v>
      </c>
      <c r="I279" s="385"/>
    </row>
    <row r="280" spans="1:9" x14ac:dyDescent="0.25">
      <c r="A280" s="2" t="e">
        <v>#VALUE!</v>
      </c>
      <c r="B280" s="2">
        <v>100</v>
      </c>
      <c r="C280" s="2"/>
      <c r="D280" s="385"/>
      <c r="E280" s="385"/>
      <c r="F280" s="385" t="s">
        <v>745</v>
      </c>
      <c r="G280" s="327">
        <v>569689</v>
      </c>
      <c r="H280" s="385">
        <v>1</v>
      </c>
      <c r="I280" s="385"/>
    </row>
    <row r="281" spans="1:9" x14ac:dyDescent="0.25">
      <c r="A281" s="2" t="e">
        <v>#VALUE!</v>
      </c>
      <c r="B281" s="2">
        <v>100</v>
      </c>
      <c r="C281" s="2"/>
      <c r="D281" s="385"/>
      <c r="E281" s="385"/>
      <c r="F281" s="385" t="s">
        <v>594</v>
      </c>
      <c r="G281" s="327">
        <v>565204</v>
      </c>
      <c r="H281" s="385">
        <v>1</v>
      </c>
      <c r="I281" s="385"/>
    </row>
    <row r="282" spans="1:9" x14ac:dyDescent="0.25">
      <c r="A282" s="2" t="e">
        <v>#VALUE!</v>
      </c>
      <c r="B282" s="2">
        <v>100</v>
      </c>
      <c r="C282" s="2"/>
      <c r="D282" s="385" t="s">
        <v>680</v>
      </c>
      <c r="E282" s="385">
        <v>7</v>
      </c>
      <c r="F282" s="385" t="s">
        <v>210</v>
      </c>
      <c r="G282" s="327">
        <v>562.46</v>
      </c>
      <c r="H282" s="385">
        <v>5</v>
      </c>
      <c r="I282" s="385"/>
    </row>
    <row r="283" spans="1:9" x14ac:dyDescent="0.25">
      <c r="A283" s="2" t="e">
        <v>#VALUE!</v>
      </c>
      <c r="B283" s="2">
        <v>100</v>
      </c>
      <c r="C283" s="2"/>
      <c r="D283" s="385"/>
      <c r="E283" s="385"/>
      <c r="F283" s="385" t="s">
        <v>424</v>
      </c>
      <c r="G283" s="327">
        <v>551238</v>
      </c>
      <c r="H283" s="385">
        <v>1</v>
      </c>
      <c r="I283" s="385"/>
    </row>
    <row r="284" spans="1:9" x14ac:dyDescent="0.25">
      <c r="A284" s="2" t="e">
        <v>#VALUE!</v>
      </c>
      <c r="B284" s="2">
        <v>100</v>
      </c>
      <c r="C284" s="2"/>
      <c r="D284" s="385"/>
      <c r="E284" s="385"/>
      <c r="F284" s="385" t="s">
        <v>634</v>
      </c>
      <c r="G284" s="327">
        <v>550478</v>
      </c>
      <c r="H284" s="385">
        <v>1</v>
      </c>
      <c r="I284" s="385"/>
    </row>
    <row r="285" spans="1:9" x14ac:dyDescent="0.25">
      <c r="A285" s="2" t="e">
        <v>#VALUE!</v>
      </c>
      <c r="B285" s="2">
        <v>100</v>
      </c>
      <c r="C285" s="2"/>
      <c r="D285" s="385"/>
      <c r="E285" s="385"/>
      <c r="F285" s="385" t="s">
        <v>746</v>
      </c>
      <c r="G285" s="327">
        <v>544292</v>
      </c>
      <c r="H285" s="385">
        <v>5</v>
      </c>
      <c r="I285" s="385"/>
    </row>
    <row r="286" spans="1:9" x14ac:dyDescent="0.25">
      <c r="A286" s="2" t="e">
        <v>#VALUE!</v>
      </c>
      <c r="B286" s="2">
        <v>100</v>
      </c>
      <c r="C286" s="2"/>
      <c r="D286" s="385"/>
      <c r="E286" s="385"/>
      <c r="F286" s="385" t="s">
        <v>595</v>
      </c>
      <c r="G286" s="327">
        <v>539982</v>
      </c>
      <c r="H286" s="385">
        <v>1</v>
      </c>
      <c r="I286" s="385"/>
    </row>
    <row r="287" spans="1:9" x14ac:dyDescent="0.25">
      <c r="A287" s="2" t="e">
        <v>#VALUE!</v>
      </c>
      <c r="B287" s="2">
        <v>100</v>
      </c>
      <c r="C287" s="2"/>
      <c r="D287" s="385" t="s">
        <v>681</v>
      </c>
      <c r="E287" s="385">
        <v>93</v>
      </c>
      <c r="F287" s="385" t="s">
        <v>606</v>
      </c>
      <c r="G287" s="327">
        <v>538096</v>
      </c>
      <c r="H287" s="385">
        <v>5</v>
      </c>
      <c r="I287" s="385"/>
    </row>
    <row r="288" spans="1:9" x14ac:dyDescent="0.25">
      <c r="A288" s="2" t="e">
        <v>#VALUE!</v>
      </c>
      <c r="B288" s="2">
        <v>100</v>
      </c>
      <c r="C288" s="2"/>
      <c r="D288" s="385"/>
      <c r="E288" s="385"/>
      <c r="F288" s="385" t="s">
        <v>747</v>
      </c>
      <c r="G288" s="327">
        <v>532881</v>
      </c>
      <c r="H288" s="385">
        <v>1</v>
      </c>
      <c r="I288" s="385"/>
    </row>
    <row r="289" spans="1:9" x14ac:dyDescent="0.25">
      <c r="A289" s="2" t="e">
        <v>#VALUE!</v>
      </c>
      <c r="B289" s="2">
        <v>100</v>
      </c>
      <c r="C289" s="2"/>
      <c r="D289" s="385"/>
      <c r="E289" s="385"/>
      <c r="F289" s="385" t="s">
        <v>596</v>
      </c>
      <c r="G289" s="327">
        <v>531852</v>
      </c>
      <c r="H289" s="385">
        <v>1</v>
      </c>
      <c r="I289" s="385"/>
    </row>
    <row r="290" spans="1:9" x14ac:dyDescent="0.25">
      <c r="A290" s="2" t="e">
        <v>#VALUE!</v>
      </c>
      <c r="B290" s="2">
        <v>100</v>
      </c>
      <c r="C290" s="2"/>
      <c r="D290" s="385"/>
      <c r="E290" s="385"/>
      <c r="F290" s="385" t="s">
        <v>597</v>
      </c>
      <c r="G290" s="327">
        <v>529.12</v>
      </c>
      <c r="H290" s="385">
        <v>1</v>
      </c>
      <c r="I290" s="385"/>
    </row>
    <row r="291" spans="1:9" x14ac:dyDescent="0.25">
      <c r="A291" s="2" t="e">
        <v>#VALUE!</v>
      </c>
      <c r="B291" s="2">
        <v>100</v>
      </c>
      <c r="C291" s="2"/>
      <c r="D291" s="385"/>
      <c r="E291" s="385"/>
      <c r="F291" s="385" t="s">
        <v>598</v>
      </c>
      <c r="G291" s="327">
        <v>525943</v>
      </c>
      <c r="H291" s="385">
        <v>1</v>
      </c>
      <c r="I291" s="385"/>
    </row>
    <row r="292" spans="1:9" x14ac:dyDescent="0.25">
      <c r="A292" s="2" t="e">
        <v>#VALUE!</v>
      </c>
      <c r="B292" s="2">
        <v>100</v>
      </c>
      <c r="C292" s="2"/>
      <c r="D292" s="385"/>
      <c r="E292" s="385"/>
      <c r="F292" s="385" t="s">
        <v>612</v>
      </c>
      <c r="G292" s="327">
        <v>523487</v>
      </c>
      <c r="H292" s="385">
        <v>1</v>
      </c>
      <c r="I292" s="385"/>
    </row>
    <row r="293" spans="1:9" x14ac:dyDescent="0.25">
      <c r="A293" s="2" t="e">
        <v>#VALUE!</v>
      </c>
      <c r="B293" s="2">
        <v>100</v>
      </c>
      <c r="C293" s="2"/>
      <c r="D293" s="385"/>
      <c r="E293" s="385"/>
      <c r="F293" s="385" t="s">
        <v>590</v>
      </c>
      <c r="G293" s="327">
        <v>521593</v>
      </c>
      <c r="H293" s="385">
        <v>1</v>
      </c>
      <c r="I293" s="385"/>
    </row>
    <row r="294" spans="1:9" x14ac:dyDescent="0.25">
      <c r="A294" s="2" t="e">
        <v>#VALUE!</v>
      </c>
      <c r="B294" s="2">
        <v>100</v>
      </c>
      <c r="C294" s="2"/>
      <c r="D294" s="385"/>
      <c r="E294" s="385"/>
      <c r="F294" s="385" t="s">
        <v>352</v>
      </c>
      <c r="G294" s="327">
        <v>515.80999999999995</v>
      </c>
      <c r="H294" s="385">
        <v>2</v>
      </c>
      <c r="I294" s="385"/>
    </row>
    <row r="295" spans="1:9" x14ac:dyDescent="0.25">
      <c r="A295" s="2" t="e">
        <v>#VALUE!</v>
      </c>
      <c r="B295" s="2">
        <v>100</v>
      </c>
      <c r="C295" s="2"/>
      <c r="D295" s="385"/>
      <c r="E295" s="385"/>
      <c r="F295" s="385" t="s">
        <v>492</v>
      </c>
      <c r="G295" s="327">
        <v>513.83000000000004</v>
      </c>
      <c r="H295" s="385">
        <v>2</v>
      </c>
      <c r="I295" s="385"/>
    </row>
    <row r="296" spans="1:9" x14ac:dyDescent="0.25">
      <c r="A296" s="2" t="e">
        <v>#VALUE!</v>
      </c>
      <c r="B296" s="2">
        <v>100</v>
      </c>
      <c r="C296" s="2"/>
      <c r="D296" s="385"/>
      <c r="E296" s="385"/>
      <c r="F296" s="385" t="s">
        <v>748</v>
      </c>
      <c r="G296" s="327">
        <v>493642</v>
      </c>
      <c r="H296" s="385">
        <v>2</v>
      </c>
      <c r="I296" s="385"/>
    </row>
    <row r="297" spans="1:9" x14ac:dyDescent="0.25">
      <c r="A297" s="2" t="e">
        <v>#VALUE!</v>
      </c>
      <c r="B297" s="2">
        <v>100</v>
      </c>
      <c r="C297" s="2"/>
      <c r="D297" s="385"/>
      <c r="E297" s="385"/>
      <c r="F297" s="385" t="s">
        <v>635</v>
      </c>
      <c r="G297" s="327">
        <v>493472</v>
      </c>
      <c r="H297" s="385">
        <v>1</v>
      </c>
      <c r="I297" s="385"/>
    </row>
    <row r="298" spans="1:9" x14ac:dyDescent="0.25">
      <c r="A298" s="2" t="e">
        <v>#VALUE!</v>
      </c>
      <c r="B298" s="2">
        <v>100</v>
      </c>
      <c r="C298" s="2"/>
      <c r="D298" s="385"/>
      <c r="E298" s="385"/>
      <c r="F298" s="385" t="s">
        <v>613</v>
      </c>
      <c r="G298" s="327">
        <v>492.91</v>
      </c>
      <c r="H298" s="385">
        <v>1</v>
      </c>
      <c r="I298" s="385"/>
    </row>
    <row r="299" spans="1:9" x14ac:dyDescent="0.25">
      <c r="A299" s="2" t="e">
        <v>#VALUE!</v>
      </c>
      <c r="B299" s="2">
        <v>100</v>
      </c>
      <c r="C299" s="2"/>
      <c r="D299" s="385"/>
      <c r="E299" s="385"/>
      <c r="F299" s="385" t="s">
        <v>615</v>
      </c>
      <c r="G299" s="327">
        <v>487.02</v>
      </c>
      <c r="H299" s="385">
        <v>2</v>
      </c>
      <c r="I299" s="385"/>
    </row>
    <row r="300" spans="1:9" x14ac:dyDescent="0.25">
      <c r="A300" s="2" t="e">
        <v>#VALUE!</v>
      </c>
      <c r="B300" s="2">
        <v>100</v>
      </c>
      <c r="C300" s="2"/>
      <c r="D300" s="385"/>
      <c r="E300" s="385"/>
      <c r="F300" s="385" t="s">
        <v>599</v>
      </c>
      <c r="G300" s="327">
        <v>476287</v>
      </c>
      <c r="H300" s="385">
        <v>2</v>
      </c>
      <c r="I300" s="385"/>
    </row>
    <row r="301" spans="1:9" x14ac:dyDescent="0.25">
      <c r="A301" s="2" t="e">
        <v>#VALUE!</v>
      </c>
      <c r="B301" s="2">
        <v>100</v>
      </c>
      <c r="C301" s="2"/>
      <c r="D301" s="385" t="s">
        <v>749</v>
      </c>
      <c r="E301" s="385">
        <v>8</v>
      </c>
      <c r="F301" s="385" t="s">
        <v>355</v>
      </c>
      <c r="G301" s="327">
        <v>473497</v>
      </c>
      <c r="H301" s="385">
        <v>4</v>
      </c>
      <c r="I301" s="385"/>
    </row>
    <row r="302" spans="1:9" x14ac:dyDescent="0.25">
      <c r="A302" s="2" t="e">
        <v>#VALUE!</v>
      </c>
      <c r="B302" s="2">
        <v>100</v>
      </c>
      <c r="C302" s="2"/>
      <c r="D302" s="385"/>
      <c r="E302" s="385"/>
      <c r="F302" s="385" t="s">
        <v>636</v>
      </c>
      <c r="G302" s="327">
        <v>472.91</v>
      </c>
      <c r="H302" s="385">
        <v>1</v>
      </c>
      <c r="I302" s="385"/>
    </row>
    <row r="303" spans="1:9" x14ac:dyDescent="0.25">
      <c r="A303" s="2" t="e">
        <v>#VALUE!</v>
      </c>
      <c r="B303" s="2">
        <v>100</v>
      </c>
      <c r="C303" s="2"/>
      <c r="D303" s="385"/>
      <c r="E303" s="385"/>
      <c r="F303" s="385" t="s">
        <v>502</v>
      </c>
      <c r="G303" s="327">
        <v>472374</v>
      </c>
      <c r="H303" s="385">
        <v>2</v>
      </c>
      <c r="I303" s="385"/>
    </row>
    <row r="304" spans="1:9" x14ac:dyDescent="0.25">
      <c r="A304" s="2" t="e">
        <v>#VALUE!</v>
      </c>
      <c r="B304" s="2">
        <v>100</v>
      </c>
      <c r="C304" s="2"/>
      <c r="D304" s="385"/>
      <c r="E304" s="385"/>
      <c r="F304" s="385" t="s">
        <v>600</v>
      </c>
      <c r="G304" s="327">
        <v>451922</v>
      </c>
      <c r="H304" s="385">
        <v>1</v>
      </c>
      <c r="I304" s="385"/>
    </row>
    <row r="305" spans="1:9" x14ac:dyDescent="0.25">
      <c r="A305" s="2" t="e">
        <v>#VALUE!</v>
      </c>
      <c r="B305" s="2">
        <v>100</v>
      </c>
      <c r="C305" s="2"/>
      <c r="D305" s="385"/>
      <c r="E305" s="385"/>
      <c r="F305" s="385" t="s">
        <v>601</v>
      </c>
      <c r="G305" s="327">
        <v>425338</v>
      </c>
      <c r="H305" s="385">
        <v>1</v>
      </c>
      <c r="I305" s="385"/>
    </row>
    <row r="306" spans="1:9" x14ac:dyDescent="0.25">
      <c r="A306" s="2" t="e">
        <v>#VALUE!</v>
      </c>
      <c r="B306" s="2">
        <v>100</v>
      </c>
      <c r="C306" s="2"/>
      <c r="D306" s="385" t="s">
        <v>750</v>
      </c>
      <c r="E306" s="385">
        <v>9</v>
      </c>
      <c r="F306" s="385" t="s">
        <v>18</v>
      </c>
      <c r="G306" s="327">
        <v>425201</v>
      </c>
      <c r="H306" s="385">
        <v>5</v>
      </c>
      <c r="I306" s="385"/>
    </row>
    <row r="307" spans="1:9" x14ac:dyDescent="0.25">
      <c r="A307" s="2" t="e">
        <v>#VALUE!</v>
      </c>
      <c r="B307" s="2">
        <v>100</v>
      </c>
      <c r="C307" s="2"/>
      <c r="D307" s="385"/>
      <c r="E307" s="385"/>
      <c r="F307" s="385" t="s">
        <v>602</v>
      </c>
      <c r="G307" s="327">
        <v>395714</v>
      </c>
      <c r="H307" s="385">
        <v>2</v>
      </c>
      <c r="I307" s="385"/>
    </row>
    <row r="308" spans="1:9" x14ac:dyDescent="0.25">
      <c r="A308" s="2" t="e">
        <v>#VALUE!</v>
      </c>
      <c r="B308" s="2">
        <v>100</v>
      </c>
      <c r="C308" s="2"/>
      <c r="D308" s="385"/>
      <c r="E308" s="385"/>
      <c r="F308" s="385" t="s">
        <v>603</v>
      </c>
      <c r="G308" s="327">
        <v>381032</v>
      </c>
      <c r="H308" s="385">
        <v>1</v>
      </c>
      <c r="I308" s="385"/>
    </row>
    <row r="309" spans="1:9" x14ac:dyDescent="0.25">
      <c r="A309" s="2" t="e">
        <v>#VALUE!</v>
      </c>
      <c r="B309" s="2">
        <v>100</v>
      </c>
      <c r="C309" s="2"/>
      <c r="D309" s="385"/>
      <c r="E309" s="385"/>
      <c r="F309" s="385" t="s">
        <v>614</v>
      </c>
      <c r="G309" s="327">
        <v>376715</v>
      </c>
      <c r="H309" s="385">
        <v>1</v>
      </c>
      <c r="I309" s="385"/>
    </row>
    <row r="310" spans="1:9" x14ac:dyDescent="0.25">
      <c r="A310" s="2" t="e">
        <v>#VALUE!</v>
      </c>
      <c r="B310" s="2">
        <v>100</v>
      </c>
      <c r="C310" s="2"/>
      <c r="D310" s="385"/>
      <c r="E310" s="385"/>
      <c r="F310" s="385" t="s">
        <v>637</v>
      </c>
      <c r="G310" s="327">
        <v>376389</v>
      </c>
      <c r="H310" s="385">
        <v>1</v>
      </c>
      <c r="I310" s="385"/>
    </row>
    <row r="311" spans="1:9" x14ac:dyDescent="0.25">
      <c r="A311" s="2" t="e">
        <v>#VALUE!</v>
      </c>
      <c r="B311" s="2">
        <v>100</v>
      </c>
      <c r="C311" s="2"/>
      <c r="D311" s="385"/>
      <c r="E311" s="385"/>
      <c r="F311" s="385" t="s">
        <v>608</v>
      </c>
      <c r="G311" s="327">
        <v>363.39</v>
      </c>
      <c r="H311" s="385">
        <v>2</v>
      </c>
      <c r="I311" s="385"/>
    </row>
    <row r="312" spans="1:9" x14ac:dyDescent="0.25">
      <c r="A312" s="2" t="e">
        <v>#VALUE!</v>
      </c>
      <c r="B312" s="2">
        <v>100</v>
      </c>
      <c r="C312" s="2"/>
      <c r="D312" s="385"/>
      <c r="E312" s="385"/>
      <c r="F312" s="385" t="s">
        <v>604</v>
      </c>
      <c r="G312" s="327">
        <v>347132</v>
      </c>
      <c r="H312" s="385">
        <v>1</v>
      </c>
      <c r="I312" s="385"/>
    </row>
    <row r="313" spans="1:9" x14ac:dyDescent="0.25">
      <c r="A313" s="2" t="e">
        <v>#VALUE!</v>
      </c>
      <c r="B313" s="2">
        <v>100</v>
      </c>
      <c r="C313" s="2"/>
      <c r="D313" s="385"/>
      <c r="E313" s="385"/>
      <c r="F313" s="385" t="s">
        <v>605</v>
      </c>
      <c r="G313" s="327">
        <v>327865</v>
      </c>
      <c r="H313" s="385">
        <v>1</v>
      </c>
      <c r="I313" s="385"/>
    </row>
    <row r="314" spans="1:9" x14ac:dyDescent="0.25">
      <c r="A314" s="2" t="e">
        <v>#VALUE!</v>
      </c>
      <c r="B314" s="2">
        <v>100</v>
      </c>
      <c r="C314" s="2"/>
      <c r="D314" s="385"/>
      <c r="E314" s="385"/>
      <c r="F314" s="385" t="s">
        <v>638</v>
      </c>
      <c r="G314" s="327">
        <v>323841</v>
      </c>
      <c r="H314" s="385">
        <v>1</v>
      </c>
      <c r="I314" s="385"/>
    </row>
    <row r="315" spans="1:9" x14ac:dyDescent="0.25">
      <c r="A315" s="2" t="e">
        <v>#VALUE!</v>
      </c>
      <c r="B315" s="2">
        <v>100</v>
      </c>
      <c r="C315" s="2"/>
      <c r="D315" s="385"/>
      <c r="E315" s="385"/>
      <c r="F315" s="385" t="s">
        <v>616</v>
      </c>
      <c r="G315" s="327">
        <v>309445</v>
      </c>
      <c r="H315" s="385">
        <v>1</v>
      </c>
      <c r="I315" s="385"/>
    </row>
    <row r="316" spans="1:9" x14ac:dyDescent="0.25">
      <c r="A316" s="2" t="e">
        <v>#VALUE!</v>
      </c>
      <c r="B316" s="2">
        <v>100</v>
      </c>
      <c r="C316" s="2"/>
      <c r="D316" s="385"/>
      <c r="E316" s="385"/>
      <c r="F316" s="385" t="s">
        <v>607</v>
      </c>
      <c r="G316" s="327">
        <v>252714</v>
      </c>
      <c r="H316" s="385">
        <v>1</v>
      </c>
      <c r="I316" s="385"/>
    </row>
    <row r="317" spans="1:9" x14ac:dyDescent="0.25">
      <c r="A317" s="2" t="e">
        <v>#VALUE!</v>
      </c>
      <c r="B317" s="2">
        <v>100</v>
      </c>
      <c r="C317" s="2"/>
      <c r="D317" s="385"/>
      <c r="E317" s="385"/>
      <c r="F317" s="385" t="s">
        <v>682</v>
      </c>
      <c r="G317" s="327">
        <v>248.29</v>
      </c>
      <c r="H317" s="385">
        <v>1</v>
      </c>
      <c r="I317" s="385"/>
    </row>
    <row r="318" spans="1:9" x14ac:dyDescent="0.25">
      <c r="A318" s="2" t="e">
        <v>#VALUE!</v>
      </c>
      <c r="B318" s="2">
        <v>100</v>
      </c>
      <c r="C318" s="2"/>
      <c r="D318" s="2"/>
    </row>
    <row r="319" spans="1:9" x14ac:dyDescent="0.25">
      <c r="A319" s="2" t="e">
        <v>#VALUE!</v>
      </c>
      <c r="B319" s="2">
        <v>100</v>
      </c>
      <c r="C319" s="2"/>
      <c r="D319" s="2"/>
    </row>
    <row r="320" spans="1:9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  <row r="1051" spans="4:4" x14ac:dyDescent="0.25">
      <c r="D1051" s="2"/>
    </row>
    <row r="1052" spans="4:4" x14ac:dyDescent="0.25">
      <c r="D1052" s="2"/>
    </row>
    <row r="1053" spans="4:4" x14ac:dyDescent="0.25">
      <c r="D1053" s="2"/>
    </row>
    <row r="1054" spans="4:4" x14ac:dyDescent="0.25">
      <c r="D1054" s="2"/>
    </row>
    <row r="1055" spans="4:4" x14ac:dyDescent="0.25">
      <c r="D1055" s="2"/>
    </row>
    <row r="1056" spans="4:4" x14ac:dyDescent="0.25">
      <c r="D1056" s="2"/>
    </row>
    <row r="1057" spans="4:4" x14ac:dyDescent="0.25">
      <c r="D1057" s="2"/>
    </row>
    <row r="1058" spans="4:4" x14ac:dyDescent="0.25">
      <c r="D1058" s="2"/>
    </row>
    <row r="1059" spans="4:4" x14ac:dyDescent="0.25">
      <c r="D1059" s="2"/>
    </row>
    <row r="1060" spans="4:4" x14ac:dyDescent="0.25">
      <c r="D1060" s="2"/>
    </row>
    <row r="1061" spans="4:4" x14ac:dyDescent="0.25">
      <c r="D1061" s="2"/>
    </row>
    <row r="1062" spans="4:4" x14ac:dyDescent="0.25">
      <c r="D1062" s="2"/>
    </row>
    <row r="1063" spans="4:4" x14ac:dyDescent="0.25">
      <c r="D1063" s="2"/>
    </row>
    <row r="1064" spans="4:4" x14ac:dyDescent="0.25">
      <c r="D10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298</v>
      </c>
      <c r="B2" s="298" t="s">
        <v>365</v>
      </c>
      <c r="C2" s="298" t="s">
        <v>299</v>
      </c>
      <c r="D2" s="298" t="s">
        <v>246</v>
      </c>
      <c r="E2" s="298" t="s">
        <v>242</v>
      </c>
      <c r="F2" s="202"/>
    </row>
    <row r="3" spans="1:6" ht="15.75" thickTop="1" x14ac:dyDescent="0.25">
      <c r="A3" s="2" t="s">
        <v>248</v>
      </c>
      <c r="B3" s="328" t="s">
        <v>366</v>
      </c>
      <c r="C3" s="299" t="s">
        <v>247</v>
      </c>
      <c r="D3" s="299" t="s">
        <v>790</v>
      </c>
      <c r="E3" s="299" t="s">
        <v>791</v>
      </c>
    </row>
    <row r="4" spans="1:6" x14ac:dyDescent="0.25">
      <c r="A4" s="2" t="s">
        <v>248</v>
      </c>
      <c r="C4" s="299" t="s">
        <v>302</v>
      </c>
      <c r="D4" s="299" t="s">
        <v>792</v>
      </c>
      <c r="E4" s="299" t="s">
        <v>793</v>
      </c>
    </row>
    <row r="5" spans="1:6" x14ac:dyDescent="0.25">
      <c r="A5" s="2" t="s">
        <v>248</v>
      </c>
      <c r="C5" s="299" t="s">
        <v>288</v>
      </c>
      <c r="D5" s="299" t="s">
        <v>794</v>
      </c>
    </row>
    <row r="6" spans="1:6" x14ac:dyDescent="0.25">
      <c r="A6" s="2" t="s">
        <v>248</v>
      </c>
      <c r="C6" s="299" t="s">
        <v>289</v>
      </c>
      <c r="D6" s="299" t="s">
        <v>795</v>
      </c>
      <c r="E6" s="299" t="s">
        <v>796</v>
      </c>
    </row>
    <row r="7" spans="1:6" x14ac:dyDescent="0.25">
      <c r="A7" s="2" t="s">
        <v>248</v>
      </c>
      <c r="C7" s="299" t="s">
        <v>356</v>
      </c>
      <c r="D7" s="299" t="s">
        <v>797</v>
      </c>
    </row>
    <row r="8" spans="1:6" x14ac:dyDescent="0.25">
      <c r="A8" s="2" t="s">
        <v>248</v>
      </c>
      <c r="C8" s="299" t="s">
        <v>220</v>
      </c>
      <c r="D8" s="299" t="s">
        <v>798</v>
      </c>
      <c r="E8" s="299" t="s">
        <v>799</v>
      </c>
    </row>
    <row r="9" spans="1:6" x14ac:dyDescent="0.25">
      <c r="A9" s="2" t="s">
        <v>248</v>
      </c>
      <c r="C9" s="299" t="s">
        <v>220</v>
      </c>
      <c r="D9" s="299" t="s">
        <v>800</v>
      </c>
      <c r="E9" s="299" t="s">
        <v>793</v>
      </c>
    </row>
    <row r="10" spans="1:6" x14ac:dyDescent="0.25">
      <c r="A10" s="2" t="s">
        <v>248</v>
      </c>
      <c r="C10" s="299" t="s">
        <v>55</v>
      </c>
      <c r="D10" s="299" t="s">
        <v>801</v>
      </c>
      <c r="E10" s="299" t="s">
        <v>802</v>
      </c>
    </row>
    <row r="11" spans="1:6" x14ac:dyDescent="0.25">
      <c r="A11" s="2" t="s">
        <v>248</v>
      </c>
      <c r="C11" s="299" t="s">
        <v>362</v>
      </c>
      <c r="D11" s="299" t="s">
        <v>803</v>
      </c>
    </row>
    <row r="12" spans="1:6" x14ac:dyDescent="0.25">
      <c r="A12" s="2" t="s">
        <v>248</v>
      </c>
      <c r="C12" s="299" t="s">
        <v>362</v>
      </c>
      <c r="D12" s="299" t="s">
        <v>804</v>
      </c>
    </row>
    <row r="13" spans="1:6" x14ac:dyDescent="0.25">
      <c r="A13" s="2" t="s">
        <v>248</v>
      </c>
      <c r="C13" s="299" t="s">
        <v>362</v>
      </c>
      <c r="D13" s="299" t="s">
        <v>805</v>
      </c>
    </row>
    <row r="14" spans="1:6" x14ac:dyDescent="0.25">
      <c r="A14" s="2" t="s">
        <v>1</v>
      </c>
      <c r="B14" s="328" t="s">
        <v>95</v>
      </c>
      <c r="C14" s="299" t="s">
        <v>304</v>
      </c>
      <c r="D14" s="299" t="s">
        <v>792</v>
      </c>
      <c r="E14" s="299" t="s">
        <v>793</v>
      </c>
    </row>
    <row r="15" spans="1:6" x14ac:dyDescent="0.25">
      <c r="A15" s="2" t="s">
        <v>1</v>
      </c>
      <c r="C15" s="299" t="s">
        <v>806</v>
      </c>
      <c r="D15" s="299" t="s">
        <v>807</v>
      </c>
      <c r="E15" s="299" t="s">
        <v>808</v>
      </c>
    </row>
    <row r="16" spans="1:6" x14ac:dyDescent="0.25">
      <c r="A16" s="2" t="s">
        <v>1</v>
      </c>
      <c r="C16" s="299" t="s">
        <v>809</v>
      </c>
      <c r="D16" s="299" t="s">
        <v>810</v>
      </c>
      <c r="E16" s="299" t="s">
        <v>811</v>
      </c>
    </row>
    <row r="17" spans="1:5" x14ac:dyDescent="0.25">
      <c r="A17" s="2" t="s">
        <v>1</v>
      </c>
      <c r="C17" s="299" t="s">
        <v>367</v>
      </c>
      <c r="D17" s="299" t="s">
        <v>812</v>
      </c>
      <c r="E17" s="299" t="s">
        <v>813</v>
      </c>
    </row>
    <row r="18" spans="1:5" x14ac:dyDescent="0.25">
      <c r="A18" s="2" t="s">
        <v>1</v>
      </c>
      <c r="C18" s="299" t="s">
        <v>367</v>
      </c>
      <c r="D18" s="299" t="s">
        <v>814</v>
      </c>
      <c r="E18" s="299" t="s">
        <v>815</v>
      </c>
    </row>
    <row r="19" spans="1:5" x14ac:dyDescent="0.25">
      <c r="A19" s="2" t="s">
        <v>1</v>
      </c>
      <c r="C19" s="299" t="s">
        <v>367</v>
      </c>
      <c r="D19" s="299" t="s">
        <v>816</v>
      </c>
      <c r="E19" s="299" t="s">
        <v>815</v>
      </c>
    </row>
    <row r="20" spans="1:5" x14ac:dyDescent="0.25">
      <c r="A20" s="2" t="s">
        <v>1</v>
      </c>
      <c r="C20" s="299" t="s">
        <v>363</v>
      </c>
      <c r="D20" s="299" t="s">
        <v>817</v>
      </c>
      <c r="E20" s="299" t="s">
        <v>818</v>
      </c>
    </row>
    <row r="21" spans="1:5" x14ac:dyDescent="0.25">
      <c r="A21" s="2" t="s">
        <v>1</v>
      </c>
      <c r="C21" s="299" t="s">
        <v>363</v>
      </c>
      <c r="D21" s="299" t="s">
        <v>819</v>
      </c>
      <c r="E21" s="299" t="s">
        <v>820</v>
      </c>
    </row>
    <row r="22" spans="1:5" x14ac:dyDescent="0.25">
      <c r="A22" s="2" t="s">
        <v>1</v>
      </c>
      <c r="C22" s="299" t="s">
        <v>821</v>
      </c>
      <c r="D22" s="299" t="s">
        <v>822</v>
      </c>
      <c r="E22" s="299" t="s">
        <v>823</v>
      </c>
    </row>
    <row r="23" spans="1:5" x14ac:dyDescent="0.25">
      <c r="A23" s="2" t="s">
        <v>1</v>
      </c>
      <c r="C23" s="299" t="s">
        <v>824</v>
      </c>
      <c r="D23" s="299" t="s">
        <v>825</v>
      </c>
      <c r="E23" s="299" t="s">
        <v>826</v>
      </c>
    </row>
    <row r="24" spans="1:5" x14ac:dyDescent="0.25">
      <c r="A24" s="2" t="s">
        <v>1</v>
      </c>
      <c r="C24" s="299" t="s">
        <v>824</v>
      </c>
      <c r="D24" s="299" t="s">
        <v>827</v>
      </c>
      <c r="E24" s="299" t="s">
        <v>828</v>
      </c>
    </row>
    <row r="25" spans="1:5" x14ac:dyDescent="0.25">
      <c r="A25" s="2" t="s">
        <v>1</v>
      </c>
      <c r="C25" s="299" t="s">
        <v>824</v>
      </c>
      <c r="D25" s="299" t="s">
        <v>829</v>
      </c>
      <c r="E25" s="299" t="s">
        <v>815</v>
      </c>
    </row>
    <row r="26" spans="1:5" x14ac:dyDescent="0.25">
      <c r="A26" s="2" t="s">
        <v>1</v>
      </c>
      <c r="C26" s="299" t="s">
        <v>824</v>
      </c>
      <c r="D26" s="299" t="s">
        <v>830</v>
      </c>
      <c r="E26" s="299" t="s">
        <v>813</v>
      </c>
    </row>
    <row r="27" spans="1:5" x14ac:dyDescent="0.25">
      <c r="A27" s="2" t="s">
        <v>14</v>
      </c>
      <c r="B27" s="328" t="s">
        <v>96</v>
      </c>
      <c r="C27" s="299" t="s">
        <v>306</v>
      </c>
      <c r="D27" s="299" t="s">
        <v>831</v>
      </c>
      <c r="E27" s="299" t="s">
        <v>832</v>
      </c>
    </row>
    <row r="28" spans="1:5" x14ac:dyDescent="0.25">
      <c r="A28" s="2" t="s">
        <v>14</v>
      </c>
      <c r="C28" s="299" t="s">
        <v>833</v>
      </c>
      <c r="D28" s="299" t="s">
        <v>834</v>
      </c>
      <c r="E28" s="299" t="s">
        <v>835</v>
      </c>
    </row>
    <row r="29" spans="1:5" x14ac:dyDescent="0.25">
      <c r="A29" s="2" t="s">
        <v>14</v>
      </c>
      <c r="C29" s="299" t="s">
        <v>368</v>
      </c>
      <c r="D29" s="299" t="s">
        <v>836</v>
      </c>
      <c r="E29" s="299" t="s">
        <v>837</v>
      </c>
    </row>
    <row r="30" spans="1:5" x14ac:dyDescent="0.25">
      <c r="A30" s="2" t="s">
        <v>14</v>
      </c>
      <c r="C30" s="299" t="s">
        <v>368</v>
      </c>
      <c r="D30" s="299" t="s">
        <v>838</v>
      </c>
      <c r="E30" s="299" t="s">
        <v>839</v>
      </c>
    </row>
    <row r="31" spans="1:5" x14ac:dyDescent="0.25">
      <c r="A31" s="2" t="s">
        <v>14</v>
      </c>
      <c r="C31" s="299" t="s">
        <v>368</v>
      </c>
      <c r="D31" s="299" t="s">
        <v>840</v>
      </c>
      <c r="E31" s="299" t="s">
        <v>841</v>
      </c>
    </row>
    <row r="32" spans="1:5" x14ac:dyDescent="0.25">
      <c r="A32" s="2" t="s">
        <v>14</v>
      </c>
      <c r="C32" s="299" t="s">
        <v>364</v>
      </c>
      <c r="D32" s="299" t="s">
        <v>842</v>
      </c>
      <c r="E32" s="299" t="s">
        <v>843</v>
      </c>
    </row>
    <row r="33" spans="1:5" x14ac:dyDescent="0.25">
      <c r="A33" s="2" t="s">
        <v>14</v>
      </c>
      <c r="C33" s="299" t="s">
        <v>364</v>
      </c>
      <c r="D33" s="299" t="s">
        <v>844</v>
      </c>
      <c r="E33" s="299" t="s">
        <v>845</v>
      </c>
    </row>
    <row r="34" spans="1:5" x14ac:dyDescent="0.25">
      <c r="A34" s="2" t="s">
        <v>14</v>
      </c>
      <c r="C34" s="299" t="s">
        <v>364</v>
      </c>
      <c r="D34" s="299" t="s">
        <v>846</v>
      </c>
      <c r="E34" s="299" t="s">
        <v>847</v>
      </c>
    </row>
    <row r="35" spans="1:5" x14ac:dyDescent="0.25">
      <c r="A35" s="2" t="s">
        <v>14</v>
      </c>
      <c r="C35" s="299" t="s">
        <v>848</v>
      </c>
      <c r="D35" s="299" t="s">
        <v>849</v>
      </c>
      <c r="E35" s="299" t="s">
        <v>850</v>
      </c>
    </row>
    <row r="36" spans="1:5" x14ac:dyDescent="0.25">
      <c r="A36" s="2" t="s">
        <v>14</v>
      </c>
      <c r="C36" s="299" t="s">
        <v>848</v>
      </c>
      <c r="D36" s="299" t="s">
        <v>851</v>
      </c>
      <c r="E36" s="299" t="s">
        <v>852</v>
      </c>
    </row>
    <row r="37" spans="1:5" x14ac:dyDescent="0.25">
      <c r="A37" s="2" t="s">
        <v>14</v>
      </c>
      <c r="C37" s="299" t="s">
        <v>848</v>
      </c>
      <c r="D37" s="299" t="s">
        <v>853</v>
      </c>
      <c r="E37" s="299" t="s">
        <v>854</v>
      </c>
    </row>
    <row r="38" spans="1:5" x14ac:dyDescent="0.25">
      <c r="A38" s="2" t="s">
        <v>14</v>
      </c>
      <c r="C38" s="299" t="s">
        <v>848</v>
      </c>
      <c r="D38" s="299" t="s">
        <v>855</v>
      </c>
      <c r="E38" s="299" t="s">
        <v>856</v>
      </c>
    </row>
    <row r="39" spans="1:5" x14ac:dyDescent="0.25">
      <c r="A39" s="2" t="s">
        <v>14</v>
      </c>
      <c r="C39" s="299" t="s">
        <v>857</v>
      </c>
      <c r="D39" s="299" t="s">
        <v>858</v>
      </c>
      <c r="E39" s="299" t="s">
        <v>859</v>
      </c>
    </row>
    <row r="40" spans="1:5" x14ac:dyDescent="0.25">
      <c r="A40" s="2" t="s">
        <v>14</v>
      </c>
      <c r="C40" s="299" t="s">
        <v>860</v>
      </c>
      <c r="D40" s="299" t="s">
        <v>861</v>
      </c>
      <c r="E40" s="299" t="s">
        <v>837</v>
      </c>
    </row>
    <row r="41" spans="1:5" x14ac:dyDescent="0.25">
      <c r="A41" s="2" t="s">
        <v>14</v>
      </c>
      <c r="C41" s="299" t="s">
        <v>860</v>
      </c>
      <c r="D41" s="299" t="s">
        <v>862</v>
      </c>
      <c r="E41" s="299" t="s">
        <v>863</v>
      </c>
    </row>
    <row r="42" spans="1:5" x14ac:dyDescent="0.25">
      <c r="A42" s="2" t="s">
        <v>14</v>
      </c>
      <c r="C42" s="299" t="s">
        <v>860</v>
      </c>
      <c r="D42" s="299" t="s">
        <v>864</v>
      </c>
      <c r="E42" s="299" t="s">
        <v>841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7" width="5.7109375" customWidth="1"/>
    <col min="18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12</v>
      </c>
      <c r="M1" s="16">
        <v>14</v>
      </c>
      <c r="N1" s="16">
        <v>15</v>
      </c>
      <c r="O1" s="16">
        <v>16</v>
      </c>
      <c r="P1" s="16">
        <v>17</v>
      </c>
      <c r="Q1" s="16">
        <v>18</v>
      </c>
      <c r="R1" s="16" t="s">
        <v>787</v>
      </c>
      <c r="S1" s="16" t="s">
        <v>752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4</v>
      </c>
      <c r="C2" s="118">
        <v>4</v>
      </c>
      <c r="D2" s="118">
        <v>4</v>
      </c>
      <c r="E2" s="118">
        <v>3</v>
      </c>
      <c r="F2" s="118">
        <v>3</v>
      </c>
      <c r="G2" s="118">
        <v>5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4</v>
      </c>
      <c r="N2" s="118">
        <v>4</v>
      </c>
      <c r="O2" s="118">
        <v>3</v>
      </c>
      <c r="P2" s="118">
        <v>3</v>
      </c>
      <c r="Q2" s="118">
        <v>3</v>
      </c>
      <c r="R2" s="118" t="s">
        <v>50</v>
      </c>
      <c r="S2" s="118" t="s">
        <v>50</v>
      </c>
      <c r="T2" s="119" t="s">
        <v>50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39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3.4</v>
      </c>
      <c r="C3" s="128">
        <v>3.7</v>
      </c>
      <c r="D3" s="128">
        <v>4.5999999999999996</v>
      </c>
      <c r="E3" s="128">
        <v>2.6</v>
      </c>
      <c r="F3" s="128">
        <v>2.6</v>
      </c>
      <c r="G3" s="128">
        <v>4.5</v>
      </c>
      <c r="H3" s="128">
        <v>2.5</v>
      </c>
      <c r="I3" s="128">
        <v>2.8</v>
      </c>
      <c r="J3" s="128">
        <v>3.7</v>
      </c>
      <c r="K3" s="128">
        <v>3.2</v>
      </c>
      <c r="L3" s="128">
        <v>3</v>
      </c>
      <c r="M3" s="128">
        <v>4.2</v>
      </c>
      <c r="N3" s="128">
        <v>3.4</v>
      </c>
      <c r="O3" s="128">
        <v>2.8</v>
      </c>
      <c r="P3" s="128">
        <v>3.3</v>
      </c>
      <c r="Q3" s="128">
        <v>2.6</v>
      </c>
      <c r="R3" s="128" t="s">
        <v>50</v>
      </c>
      <c r="S3" s="128" t="s">
        <v>50</v>
      </c>
      <c r="T3" s="128" t="s">
        <v>50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0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5</v>
      </c>
      <c r="C4" s="131">
        <v>4.4000000000000004</v>
      </c>
      <c r="D4" s="131">
        <v>5.3</v>
      </c>
      <c r="E4" s="131">
        <v>3.6</v>
      </c>
      <c r="F4" s="131">
        <v>3.9</v>
      </c>
      <c r="G4" s="131">
        <v>6.5</v>
      </c>
      <c r="H4" s="131">
        <v>3.8</v>
      </c>
      <c r="I4" s="131">
        <v>3.1</v>
      </c>
      <c r="J4" s="131">
        <v>5.0999999999999996</v>
      </c>
      <c r="K4" s="131">
        <v>4</v>
      </c>
      <c r="L4" s="131">
        <v>3.1</v>
      </c>
      <c r="M4" s="131">
        <v>5.6</v>
      </c>
      <c r="N4" s="131">
        <v>4.7</v>
      </c>
      <c r="O4" s="131">
        <v>3.5</v>
      </c>
      <c r="P4" s="131">
        <v>4.2</v>
      </c>
      <c r="Q4" s="131">
        <v>3.4</v>
      </c>
      <c r="R4" s="131" t="s">
        <v>50</v>
      </c>
      <c r="S4" s="131" t="s">
        <v>50</v>
      </c>
      <c r="T4" s="131" t="s">
        <v>50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1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151</v>
      </c>
      <c r="B5" s="219">
        <v>-0.60000000000000009</v>
      </c>
      <c r="C5" s="220">
        <v>-0.29999999999999982</v>
      </c>
      <c r="D5" s="219">
        <v>0.59999999999999964</v>
      </c>
      <c r="E5" s="219">
        <v>-0.39999999999999991</v>
      </c>
      <c r="F5" s="219">
        <v>-0.39999999999999991</v>
      </c>
      <c r="G5" s="219">
        <v>-0.5</v>
      </c>
      <c r="H5" s="219">
        <v>-0.5</v>
      </c>
      <c r="I5" s="219">
        <v>-0.20000000000000018</v>
      </c>
      <c r="J5" s="219">
        <v>-0.29999999999999982</v>
      </c>
      <c r="K5" s="219">
        <v>0.20000000000000018</v>
      </c>
      <c r="L5" s="219">
        <v>0</v>
      </c>
      <c r="M5" s="219">
        <v>0.20000000000000018</v>
      </c>
      <c r="N5" s="219">
        <v>-0.60000000000000009</v>
      </c>
      <c r="O5" s="219">
        <v>-0.20000000000000018</v>
      </c>
      <c r="P5" s="219">
        <v>0.29999999999999982</v>
      </c>
      <c r="Q5" s="219">
        <v>-0.39999999999999991</v>
      </c>
      <c r="R5" s="219" t="s">
        <v>50</v>
      </c>
      <c r="S5" s="219" t="s">
        <v>50</v>
      </c>
      <c r="T5" s="219" t="s">
        <v>50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122</v>
      </c>
      <c r="B6" s="219">
        <v>1</v>
      </c>
      <c r="C6" s="220">
        <v>0.40000000000000036</v>
      </c>
      <c r="D6" s="219">
        <v>1.2999999999999998</v>
      </c>
      <c r="E6" s="219">
        <v>0.60000000000000009</v>
      </c>
      <c r="F6" s="219">
        <v>0.89999999999999991</v>
      </c>
      <c r="G6" s="219">
        <v>1.5</v>
      </c>
      <c r="H6" s="219">
        <v>0.79999999999999982</v>
      </c>
      <c r="I6" s="219">
        <v>0.10000000000000009</v>
      </c>
      <c r="J6" s="219">
        <v>1.0999999999999996</v>
      </c>
      <c r="K6" s="219">
        <v>1</v>
      </c>
      <c r="L6" s="219">
        <v>0.10000000000000009</v>
      </c>
      <c r="M6" s="219">
        <v>1.5999999999999996</v>
      </c>
      <c r="N6" s="219">
        <v>0.70000000000000018</v>
      </c>
      <c r="O6" s="219">
        <v>0.5</v>
      </c>
      <c r="P6" s="219">
        <v>1.2000000000000002</v>
      </c>
      <c r="Q6" s="219">
        <v>0.39999999999999991</v>
      </c>
      <c r="R6" s="219" t="s">
        <v>50</v>
      </c>
      <c r="S6" s="219" t="s">
        <v>50</v>
      </c>
      <c r="T6" s="219" t="s">
        <v>50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-1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-1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95</v>
      </c>
    </row>
    <row r="8" spans="1:156" s="203" customFormat="1" x14ac:dyDescent="0.25">
      <c r="A8" s="203" t="s">
        <v>42</v>
      </c>
      <c r="B8" s="203">
        <v>-22</v>
      </c>
      <c r="C8" s="203">
        <v>-18</v>
      </c>
      <c r="D8" s="203">
        <v>-3</v>
      </c>
      <c r="E8" s="203">
        <v>-17</v>
      </c>
      <c r="F8" s="203">
        <v>-10</v>
      </c>
      <c r="G8" s="203">
        <v>-18</v>
      </c>
      <c r="H8" s="203">
        <v>-11</v>
      </c>
      <c r="I8" s="203">
        <v>-15</v>
      </c>
      <c r="J8" s="203">
        <v>-13</v>
      </c>
      <c r="K8" s="203">
        <v>-1</v>
      </c>
      <c r="L8" s="203">
        <v>-13</v>
      </c>
      <c r="M8" s="203">
        <v>-4</v>
      </c>
      <c r="N8" s="203">
        <v>-15</v>
      </c>
      <c r="O8" s="203">
        <v>-22</v>
      </c>
      <c r="P8" s="203">
        <v>-3</v>
      </c>
      <c r="Q8" s="203">
        <v>-19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95</v>
      </c>
      <c r="AJ8" s="203" t="s">
        <v>44</v>
      </c>
      <c r="AK8" s="203" t="s">
        <v>42</v>
      </c>
      <c r="AL8" s="203" t="s">
        <v>25</v>
      </c>
      <c r="AM8" s="203" t="s">
        <v>43</v>
      </c>
    </row>
    <row r="9" spans="1:156" s="203" customFormat="1" x14ac:dyDescent="0.25">
      <c r="A9" s="203" t="s">
        <v>25</v>
      </c>
      <c r="B9" s="203">
        <v>14</v>
      </c>
      <c r="C9" s="203">
        <v>19</v>
      </c>
      <c r="D9" s="203">
        <v>36</v>
      </c>
      <c r="E9" s="203">
        <v>9</v>
      </c>
      <c r="F9" s="203">
        <v>24</v>
      </c>
      <c r="G9" s="203">
        <v>18</v>
      </c>
      <c r="H9" s="203">
        <v>18</v>
      </c>
      <c r="I9" s="203">
        <v>13</v>
      </c>
      <c r="J9" s="203">
        <v>33</v>
      </c>
      <c r="K9" s="203">
        <v>28</v>
      </c>
      <c r="L9" s="203">
        <v>10</v>
      </c>
      <c r="M9" s="203">
        <v>19</v>
      </c>
      <c r="N9" s="203">
        <v>22</v>
      </c>
      <c r="O9" s="203">
        <v>40</v>
      </c>
      <c r="P9" s="203">
        <v>26</v>
      </c>
      <c r="Q9" s="203">
        <v>22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95</v>
      </c>
      <c r="AH9" s="203">
        <v>104.00091</v>
      </c>
      <c r="AI9" s="203" t="s">
        <v>764</v>
      </c>
      <c r="AJ9" s="203">
        <v>-1</v>
      </c>
      <c r="AK9" s="203">
        <v>-13</v>
      </c>
      <c r="AL9" s="203">
        <v>7</v>
      </c>
      <c r="AM9" s="203">
        <v>0</v>
      </c>
    </row>
    <row r="10" spans="1:156" s="203" customFormat="1" x14ac:dyDescent="0.25">
      <c r="A10" s="203" t="s">
        <v>43</v>
      </c>
      <c r="B10" s="203">
        <v>13</v>
      </c>
      <c r="C10" s="203">
        <v>15</v>
      </c>
      <c r="D10" s="203">
        <v>26</v>
      </c>
      <c r="E10" s="203">
        <v>3</v>
      </c>
      <c r="F10" s="203">
        <v>3</v>
      </c>
      <c r="G10" s="203">
        <v>11</v>
      </c>
      <c r="H10" s="203">
        <v>6</v>
      </c>
      <c r="I10" s="203">
        <v>3</v>
      </c>
      <c r="J10" s="203">
        <v>7</v>
      </c>
      <c r="K10" s="203">
        <v>13</v>
      </c>
      <c r="L10" s="203">
        <v>2</v>
      </c>
      <c r="M10" s="203">
        <v>30</v>
      </c>
      <c r="N10" s="203">
        <v>7</v>
      </c>
      <c r="O10" s="203">
        <v>4</v>
      </c>
      <c r="P10" s="203">
        <v>13</v>
      </c>
      <c r="Q10" s="203">
        <v>2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95</v>
      </c>
      <c r="AH10" s="203">
        <v>106.00115</v>
      </c>
      <c r="AI10" s="203" t="s">
        <v>4</v>
      </c>
      <c r="AJ10" s="203">
        <v>0</v>
      </c>
      <c r="AK10" s="203">
        <v>-8</v>
      </c>
      <c r="AL10" s="203">
        <v>2</v>
      </c>
      <c r="AM10" s="203">
        <v>0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96</v>
      </c>
      <c r="AH11" s="203">
        <v>106.00127000000001</v>
      </c>
      <c r="AI11" s="203" t="s">
        <v>10</v>
      </c>
      <c r="AJ11" s="203">
        <v>0</v>
      </c>
      <c r="AK11" s="203">
        <v>-14</v>
      </c>
      <c r="AL11" s="203">
        <v>4</v>
      </c>
      <c r="AM11" s="203">
        <v>2</v>
      </c>
    </row>
    <row r="12" spans="1:156" s="203" customFormat="1" x14ac:dyDescent="0.25">
      <c r="A12" s="203" t="s">
        <v>42</v>
      </c>
      <c r="B12" s="203">
        <v>0</v>
      </c>
      <c r="C12" s="203">
        <v>-1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-1</v>
      </c>
      <c r="J12" s="203">
        <v>0</v>
      </c>
      <c r="K12" s="203">
        <v>0</v>
      </c>
      <c r="L12" s="203">
        <v>-1</v>
      </c>
      <c r="M12" s="203">
        <v>0</v>
      </c>
      <c r="N12" s="203">
        <v>-1</v>
      </c>
      <c r="O12" s="203">
        <v>-1</v>
      </c>
      <c r="P12" s="203">
        <v>0</v>
      </c>
      <c r="Q12" s="203">
        <v>-1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96</v>
      </c>
      <c r="AH12" s="203">
        <v>106.0013</v>
      </c>
      <c r="AI12" s="203" t="s">
        <v>783</v>
      </c>
      <c r="AJ12" s="203">
        <v>0</v>
      </c>
      <c r="AK12" s="203">
        <v>-12</v>
      </c>
      <c r="AL12" s="203">
        <v>6</v>
      </c>
      <c r="AM12" s="203">
        <v>0</v>
      </c>
    </row>
    <row r="13" spans="1:156" s="203" customFormat="1" x14ac:dyDescent="0.25">
      <c r="A13" s="203" t="s">
        <v>25</v>
      </c>
      <c r="B13" s="203">
        <v>0</v>
      </c>
      <c r="C13" s="203">
        <v>6</v>
      </c>
      <c r="D13" s="203">
        <v>7</v>
      </c>
      <c r="E13" s="203">
        <v>6</v>
      </c>
      <c r="F13" s="203">
        <v>5</v>
      </c>
      <c r="G13" s="203">
        <v>4</v>
      </c>
      <c r="H13" s="203">
        <v>9</v>
      </c>
      <c r="I13" s="203">
        <v>4</v>
      </c>
      <c r="J13" s="203">
        <v>4</v>
      </c>
      <c r="K13" s="203">
        <v>9</v>
      </c>
      <c r="L13" s="203">
        <v>3</v>
      </c>
      <c r="M13" s="203">
        <v>4</v>
      </c>
      <c r="N13" s="203">
        <v>5</v>
      </c>
      <c r="O13" s="203">
        <v>5</v>
      </c>
      <c r="P13" s="203">
        <v>5</v>
      </c>
      <c r="Q13" s="203">
        <v>8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96</v>
      </c>
      <c r="AH13" s="203">
        <v>107.00095</v>
      </c>
      <c r="AI13" s="203" t="s">
        <v>0</v>
      </c>
      <c r="AJ13" s="203">
        <v>0</v>
      </c>
      <c r="AK13" s="203">
        <v>-12</v>
      </c>
      <c r="AL13" s="203">
        <v>7</v>
      </c>
      <c r="AM13" s="203">
        <v>0</v>
      </c>
    </row>
    <row r="14" spans="1:156" s="203" customFormat="1" x14ac:dyDescent="0.25">
      <c r="A14" s="203" t="s">
        <v>43</v>
      </c>
      <c r="B14" s="203">
        <v>7</v>
      </c>
      <c r="C14" s="203">
        <v>3</v>
      </c>
      <c r="D14" s="203">
        <v>6</v>
      </c>
      <c r="E14" s="203">
        <v>2</v>
      </c>
      <c r="F14" s="203">
        <v>4</v>
      </c>
      <c r="G14" s="203">
        <v>8</v>
      </c>
      <c r="H14" s="203">
        <v>4</v>
      </c>
      <c r="I14" s="203">
        <v>1</v>
      </c>
      <c r="J14" s="203">
        <v>6</v>
      </c>
      <c r="K14" s="203">
        <v>4</v>
      </c>
      <c r="L14" s="203">
        <v>1</v>
      </c>
      <c r="M14" s="203">
        <v>8</v>
      </c>
      <c r="N14" s="203">
        <v>4</v>
      </c>
      <c r="O14" s="203">
        <v>3</v>
      </c>
      <c r="P14" s="203">
        <v>7</v>
      </c>
      <c r="Q14" s="203">
        <v>1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96</v>
      </c>
      <c r="AH14" s="203">
        <v>109.0014</v>
      </c>
      <c r="AI14" s="203" t="s">
        <v>491</v>
      </c>
      <c r="AJ14" s="203">
        <v>0</v>
      </c>
      <c r="AK14" s="203">
        <v>-10</v>
      </c>
      <c r="AL14" s="203">
        <v>7</v>
      </c>
      <c r="AM14" s="203">
        <v>0</v>
      </c>
    </row>
    <row r="15" spans="1:156" s="203" customFormat="1" x14ac:dyDescent="0.25">
      <c r="AH15" s="203">
        <v>110.001</v>
      </c>
      <c r="AI15" s="203" t="s">
        <v>767</v>
      </c>
      <c r="AJ15" s="203">
        <v>0</v>
      </c>
      <c r="AK15" s="203">
        <v>-9</v>
      </c>
      <c r="AL15" s="203">
        <v>4</v>
      </c>
      <c r="AM15" s="203">
        <v>1</v>
      </c>
    </row>
    <row r="16" spans="1:156" s="203" customFormat="1" x14ac:dyDescent="0.25">
      <c r="AH16" s="203">
        <v>110.00103</v>
      </c>
      <c r="AI16" s="203" t="s">
        <v>13</v>
      </c>
      <c r="AJ16" s="203">
        <v>0</v>
      </c>
      <c r="AK16" s="203">
        <v>-8</v>
      </c>
      <c r="AL16" s="203">
        <v>4</v>
      </c>
      <c r="AM16" s="203">
        <v>1</v>
      </c>
    </row>
    <row r="17" spans="34:39" s="203" customFormat="1" x14ac:dyDescent="0.25">
      <c r="AH17" s="203">
        <v>110.00111</v>
      </c>
      <c r="AI17" s="203" t="s">
        <v>392</v>
      </c>
      <c r="AJ17" s="203">
        <v>0</v>
      </c>
      <c r="AK17" s="203">
        <v>-9</v>
      </c>
      <c r="AL17" s="203">
        <v>3</v>
      </c>
      <c r="AM17" s="203">
        <v>2</v>
      </c>
    </row>
    <row r="18" spans="34:39" s="203" customFormat="1" x14ac:dyDescent="0.25">
      <c r="AH18" s="203">
        <v>112.00091999999999</v>
      </c>
      <c r="AI18" s="203" t="s">
        <v>772</v>
      </c>
      <c r="AJ18" s="203">
        <v>0</v>
      </c>
      <c r="AK18" s="203">
        <v>-8</v>
      </c>
      <c r="AL18" s="203">
        <v>5</v>
      </c>
      <c r="AM18" s="203">
        <v>1</v>
      </c>
    </row>
    <row r="19" spans="34:39" s="203" customFormat="1" x14ac:dyDescent="0.25">
      <c r="AH19" s="203">
        <v>113.00123000000001</v>
      </c>
      <c r="AI19" s="203" t="s">
        <v>494</v>
      </c>
      <c r="AJ19" s="203">
        <v>0</v>
      </c>
      <c r="AK19" s="203">
        <v>-11</v>
      </c>
      <c r="AL19" s="203">
        <v>6</v>
      </c>
      <c r="AM19" s="203">
        <v>3</v>
      </c>
    </row>
    <row r="20" spans="34:39" s="203" customFormat="1" x14ac:dyDescent="0.25">
      <c r="AH20" s="203">
        <v>113.00133</v>
      </c>
      <c r="AI20" s="203" t="s">
        <v>785</v>
      </c>
      <c r="AJ20" s="203">
        <v>0</v>
      </c>
      <c r="AK20" s="203">
        <v>-8</v>
      </c>
      <c r="AL20" s="203">
        <v>9</v>
      </c>
      <c r="AM20" s="203">
        <v>0</v>
      </c>
    </row>
    <row r="21" spans="34:39" s="203" customFormat="1" x14ac:dyDescent="0.25">
      <c r="AH21" s="203">
        <v>114.00096000000001</v>
      </c>
      <c r="AI21" s="203" t="s">
        <v>428</v>
      </c>
      <c r="AJ21" s="203">
        <v>0</v>
      </c>
      <c r="AK21" s="203">
        <v>-6</v>
      </c>
      <c r="AL21" s="203">
        <v>8</v>
      </c>
      <c r="AM21" s="203">
        <v>0</v>
      </c>
    </row>
    <row r="22" spans="34:39" s="203" customFormat="1" x14ac:dyDescent="0.25">
      <c r="AH22" s="203">
        <v>114.00109999999999</v>
      </c>
      <c r="AI22" s="203" t="s">
        <v>765</v>
      </c>
      <c r="AJ22" s="203">
        <v>0</v>
      </c>
      <c r="AK22" s="203">
        <v>-3</v>
      </c>
      <c r="AL22" s="203">
        <v>5</v>
      </c>
      <c r="AM22" s="203">
        <v>0</v>
      </c>
    </row>
    <row r="23" spans="34:39" s="203" customFormat="1" x14ac:dyDescent="0.25">
      <c r="AH23" s="203">
        <v>116.00107</v>
      </c>
      <c r="AI23" s="203" t="s">
        <v>518</v>
      </c>
      <c r="AJ23" s="203">
        <v>0</v>
      </c>
      <c r="AK23" s="203">
        <v>-7</v>
      </c>
      <c r="AL23" s="203">
        <v>9</v>
      </c>
      <c r="AM23" s="203">
        <v>1</v>
      </c>
    </row>
    <row r="24" spans="34:39" s="203" customFormat="1" x14ac:dyDescent="0.25">
      <c r="AH24" s="203">
        <v>116.00118999999999</v>
      </c>
      <c r="AI24" s="203" t="s">
        <v>323</v>
      </c>
      <c r="AJ24" s="203">
        <v>0</v>
      </c>
      <c r="AK24" s="203">
        <v>-7</v>
      </c>
      <c r="AL24" s="203">
        <v>7</v>
      </c>
      <c r="AM24" s="203">
        <v>2</v>
      </c>
    </row>
    <row r="25" spans="34:39" s="203" customFormat="1" x14ac:dyDescent="0.25">
      <c r="AH25" s="203">
        <v>120.00136000000001</v>
      </c>
      <c r="AI25" s="203" t="s">
        <v>404</v>
      </c>
      <c r="AJ25" s="203">
        <v>0</v>
      </c>
      <c r="AK25" s="203">
        <v>-4</v>
      </c>
      <c r="AL25" s="203">
        <v>10</v>
      </c>
      <c r="AM25" s="203">
        <v>1</v>
      </c>
    </row>
    <row r="26" spans="34:39" s="203" customFormat="1" x14ac:dyDescent="0.25">
      <c r="AH26" s="203">
        <v>121.00113</v>
      </c>
      <c r="AI26" s="203" t="s">
        <v>500</v>
      </c>
      <c r="AJ26" s="203">
        <v>0</v>
      </c>
      <c r="AK26" s="203">
        <v>-3</v>
      </c>
      <c r="AL26" s="203">
        <v>6</v>
      </c>
      <c r="AM26" s="203">
        <v>3</v>
      </c>
    </row>
    <row r="27" spans="34:39" s="203" customFormat="1" x14ac:dyDescent="0.25">
      <c r="AH27" s="203">
        <v>121.00124</v>
      </c>
      <c r="AI27" s="203" t="s">
        <v>611</v>
      </c>
      <c r="AJ27" s="203">
        <v>0</v>
      </c>
      <c r="AK27" s="203">
        <v>-7</v>
      </c>
      <c r="AL27" s="203">
        <v>9</v>
      </c>
      <c r="AM27" s="203">
        <v>3</v>
      </c>
    </row>
    <row r="28" spans="34:39" s="203" customFormat="1" x14ac:dyDescent="0.25">
      <c r="AH28" s="203">
        <v>122.00112</v>
      </c>
      <c r="AI28" s="203" t="s">
        <v>394</v>
      </c>
      <c r="AJ28" s="203">
        <v>0</v>
      </c>
      <c r="AK28" s="203">
        <v>-3</v>
      </c>
      <c r="AL28" s="203">
        <v>9</v>
      </c>
      <c r="AM28" s="203">
        <v>2</v>
      </c>
    </row>
    <row r="29" spans="34:39" s="203" customFormat="1" x14ac:dyDescent="0.25">
      <c r="AH29" s="203">
        <v>122.00131</v>
      </c>
      <c r="AI29" s="203" t="s">
        <v>784</v>
      </c>
      <c r="AJ29" s="203">
        <v>0</v>
      </c>
      <c r="AK29" s="203">
        <v>-4</v>
      </c>
      <c r="AL29" s="203">
        <v>6</v>
      </c>
      <c r="AM29" s="203">
        <v>3</v>
      </c>
    </row>
    <row r="30" spans="34:39" s="203" customFormat="1" x14ac:dyDescent="0.25">
      <c r="AH30" s="203">
        <v>124.00093</v>
      </c>
      <c r="AI30" s="203" t="s">
        <v>588</v>
      </c>
      <c r="AJ30" s="203">
        <v>0</v>
      </c>
      <c r="AK30" s="203">
        <v>-5</v>
      </c>
      <c r="AL30" s="203">
        <v>9</v>
      </c>
      <c r="AM30" s="203">
        <v>4</v>
      </c>
    </row>
    <row r="31" spans="34:39" s="203" customFormat="1" x14ac:dyDescent="0.25">
      <c r="AH31" s="203">
        <v>124.00104</v>
      </c>
      <c r="AI31" s="203" t="s">
        <v>15</v>
      </c>
      <c r="AJ31" s="203">
        <v>0</v>
      </c>
      <c r="AK31" s="203">
        <v>-3</v>
      </c>
      <c r="AL31" s="203">
        <v>11</v>
      </c>
      <c r="AM31" s="203">
        <v>2</v>
      </c>
    </row>
    <row r="32" spans="34:39" s="203" customFormat="1" x14ac:dyDescent="0.25">
      <c r="AH32" s="203">
        <v>124.00116</v>
      </c>
      <c r="AI32" s="203" t="s">
        <v>778</v>
      </c>
      <c r="AJ32" s="203">
        <v>0</v>
      </c>
      <c r="AK32" s="203">
        <v>-3</v>
      </c>
      <c r="AL32" s="203">
        <v>9</v>
      </c>
      <c r="AM32" s="203">
        <v>3</v>
      </c>
    </row>
    <row r="33" spans="34:39" s="203" customFormat="1" x14ac:dyDescent="0.25">
      <c r="AH33" s="203">
        <v>127.00102</v>
      </c>
      <c r="AI33" s="203" t="s">
        <v>774</v>
      </c>
      <c r="AJ33" s="203">
        <v>0</v>
      </c>
      <c r="AK33" s="203">
        <v>-1</v>
      </c>
      <c r="AL33" s="203">
        <v>10</v>
      </c>
      <c r="AM33" s="203">
        <v>3</v>
      </c>
    </row>
    <row r="34" spans="34:39" s="203" customFormat="1" x14ac:dyDescent="0.25">
      <c r="AH34" s="203">
        <v>127.00126</v>
      </c>
      <c r="AI34" s="203" t="s">
        <v>623</v>
      </c>
      <c r="AJ34" s="203">
        <v>0</v>
      </c>
      <c r="AL34" s="203">
        <v>6</v>
      </c>
      <c r="AM34" s="203">
        <v>4</v>
      </c>
    </row>
    <row r="35" spans="34:39" s="203" customFormat="1" x14ac:dyDescent="0.25">
      <c r="AH35" s="203">
        <v>127.00139</v>
      </c>
      <c r="AI35" s="203" t="s">
        <v>405</v>
      </c>
      <c r="AJ35" s="203">
        <v>0</v>
      </c>
      <c r="AK35" s="203">
        <v>-9</v>
      </c>
      <c r="AL35" s="203">
        <v>5</v>
      </c>
      <c r="AM35" s="203">
        <v>8</v>
      </c>
    </row>
    <row r="36" spans="34:39" s="203" customFormat="1" x14ac:dyDescent="0.25">
      <c r="AH36" s="203">
        <v>128.00121999999999</v>
      </c>
      <c r="AI36" s="203" t="s">
        <v>782</v>
      </c>
      <c r="AJ36" s="203">
        <v>0</v>
      </c>
      <c r="AK36" s="203">
        <v>-4</v>
      </c>
      <c r="AL36" s="203">
        <v>9</v>
      </c>
      <c r="AM36" s="203">
        <v>5</v>
      </c>
    </row>
    <row r="37" spans="34:39" s="203" customFormat="1" x14ac:dyDescent="0.25">
      <c r="AH37" s="203">
        <v>128.96087</v>
      </c>
      <c r="AI37" s="203" t="s">
        <v>206</v>
      </c>
      <c r="AJ37" s="203">
        <v>0</v>
      </c>
      <c r="AK37" s="203">
        <v>-1</v>
      </c>
      <c r="AL37" s="203">
        <v>11</v>
      </c>
      <c r="AM37" s="203">
        <v>4</v>
      </c>
    </row>
    <row r="38" spans="34:39" s="203" customFormat="1" x14ac:dyDescent="0.25">
      <c r="AH38" s="203">
        <v>128.96101000000002</v>
      </c>
      <c r="AI38" s="203" t="s">
        <v>769</v>
      </c>
      <c r="AJ38" s="203">
        <v>0</v>
      </c>
      <c r="AK38" s="203">
        <v>-1</v>
      </c>
      <c r="AL38" s="203">
        <v>12</v>
      </c>
      <c r="AM38" s="203">
        <v>3</v>
      </c>
    </row>
    <row r="39" spans="34:39" s="203" customFormat="1" x14ac:dyDescent="0.25">
      <c r="AH39" s="203">
        <v>129.00120000000001</v>
      </c>
      <c r="AI39" s="203" t="s">
        <v>780</v>
      </c>
      <c r="AJ39" s="203">
        <v>0</v>
      </c>
      <c r="AK39" s="203">
        <v>-1</v>
      </c>
      <c r="AL39" s="203">
        <v>11</v>
      </c>
      <c r="AM39" s="203">
        <v>3</v>
      </c>
    </row>
    <row r="40" spans="34:39" s="203" customFormat="1" x14ac:dyDescent="0.25">
      <c r="AH40" s="203">
        <v>130.00108</v>
      </c>
      <c r="AI40" s="203" t="s">
        <v>766</v>
      </c>
      <c r="AJ40" s="203">
        <v>-1</v>
      </c>
      <c r="AK40" s="203">
        <v>-2</v>
      </c>
      <c r="AL40" s="203">
        <v>13</v>
      </c>
      <c r="AM40" s="203">
        <v>4</v>
      </c>
    </row>
    <row r="41" spans="34:39" s="203" customFormat="1" x14ac:dyDescent="0.25">
      <c r="AH41" s="203">
        <v>133.00109</v>
      </c>
      <c r="AI41" s="203" t="s">
        <v>776</v>
      </c>
      <c r="AJ41" s="203">
        <v>0</v>
      </c>
      <c r="AK41" s="203">
        <v>-3</v>
      </c>
      <c r="AL41" s="203">
        <v>12</v>
      </c>
      <c r="AM41" s="203">
        <v>5</v>
      </c>
    </row>
    <row r="42" spans="34:39" s="203" customFormat="1" x14ac:dyDescent="0.25">
      <c r="AH42" s="203">
        <v>133.00118000000001</v>
      </c>
      <c r="AI42" s="203" t="s">
        <v>779</v>
      </c>
      <c r="AJ42" s="203">
        <v>0</v>
      </c>
      <c r="AK42" s="203">
        <v>-2</v>
      </c>
      <c r="AL42" s="203">
        <v>13</v>
      </c>
      <c r="AM42" s="203">
        <v>4</v>
      </c>
    </row>
    <row r="43" spans="34:39" s="203" customFormat="1" x14ac:dyDescent="0.25">
      <c r="AH43" s="203">
        <v>133.00120999999999</v>
      </c>
      <c r="AI43" s="203" t="s">
        <v>781</v>
      </c>
      <c r="AJ43" s="203">
        <v>0</v>
      </c>
      <c r="AL43" s="203">
        <v>12</v>
      </c>
      <c r="AM43" s="203">
        <v>4</v>
      </c>
    </row>
    <row r="44" spans="34:39" s="203" customFormat="1" x14ac:dyDescent="0.25">
      <c r="AH44" s="203">
        <v>139.00098</v>
      </c>
      <c r="AI44" s="203" t="s">
        <v>591</v>
      </c>
      <c r="AJ44" s="203">
        <v>0</v>
      </c>
      <c r="AK44" s="203">
        <v>-1</v>
      </c>
      <c r="AL44" s="203">
        <v>11</v>
      </c>
      <c r="AM44" s="203">
        <v>7</v>
      </c>
    </row>
    <row r="45" spans="34:39" s="203" customFormat="1" x14ac:dyDescent="0.25">
      <c r="AH45" s="203">
        <v>140.00104999999999</v>
      </c>
      <c r="AI45" s="203" t="s">
        <v>775</v>
      </c>
      <c r="AJ45" s="203">
        <v>0</v>
      </c>
      <c r="AK45" s="203">
        <v>-1</v>
      </c>
      <c r="AL45" s="203">
        <v>9</v>
      </c>
      <c r="AM45" s="203">
        <v>8</v>
      </c>
    </row>
    <row r="46" spans="34:39" s="203" customFormat="1" x14ac:dyDescent="0.25">
      <c r="AH46" s="203">
        <v>142.00140999999999</v>
      </c>
      <c r="AI46" s="203" t="s">
        <v>483</v>
      </c>
      <c r="AJ46" s="203">
        <v>0</v>
      </c>
      <c r="AK46" s="203">
        <v>-1</v>
      </c>
      <c r="AL46" s="203">
        <v>14</v>
      </c>
      <c r="AM46" s="203">
        <v>7</v>
      </c>
    </row>
    <row r="47" spans="34:39" s="203" customFormat="1" x14ac:dyDescent="0.25">
      <c r="AH47" s="203">
        <v>146.00138000000001</v>
      </c>
      <c r="AI47" s="203" t="s">
        <v>786</v>
      </c>
      <c r="AJ47" s="203">
        <v>0</v>
      </c>
      <c r="AK47" s="203">
        <v>-1</v>
      </c>
      <c r="AL47" s="203">
        <v>15</v>
      </c>
      <c r="AM47" s="203">
        <v>8</v>
      </c>
    </row>
    <row r="48" spans="34:39" s="203" customFormat="1" x14ac:dyDescent="0.25">
      <c r="AH48" s="203">
        <v>149.00131999999999</v>
      </c>
      <c r="AI48" s="203" t="s">
        <v>400</v>
      </c>
      <c r="AJ48" s="203">
        <v>0</v>
      </c>
      <c r="AL48" s="203">
        <v>10</v>
      </c>
      <c r="AM48" s="203">
        <v>12</v>
      </c>
    </row>
    <row r="49" spans="34:39" s="203" customFormat="1" x14ac:dyDescent="0.25">
      <c r="AH49" s="203">
        <v>150.00134</v>
      </c>
      <c r="AI49" s="203" t="s">
        <v>615</v>
      </c>
      <c r="AJ49" s="203">
        <v>0</v>
      </c>
      <c r="AL49" s="203">
        <v>10</v>
      </c>
      <c r="AM49" s="203">
        <v>12</v>
      </c>
    </row>
    <row r="50" spans="34:39" s="203" customFormat="1" x14ac:dyDescent="0.25">
      <c r="AH50" s="203">
        <v>153.00106</v>
      </c>
      <c r="AI50" s="203" t="s">
        <v>634</v>
      </c>
      <c r="AJ50" s="203">
        <v>0</v>
      </c>
      <c r="AL50" s="203">
        <v>17</v>
      </c>
      <c r="AM50" s="203">
        <v>9</v>
      </c>
    </row>
    <row r="51" spans="34:39" s="203" customFormat="1" x14ac:dyDescent="0.25">
      <c r="AH51" s="203">
        <v>155.00125</v>
      </c>
      <c r="AI51" s="203" t="s">
        <v>208</v>
      </c>
      <c r="AJ51" s="203">
        <v>0</v>
      </c>
      <c r="AL51" s="203">
        <v>15</v>
      </c>
      <c r="AM51" s="203">
        <v>12</v>
      </c>
    </row>
    <row r="52" spans="34:39" s="203" customFormat="1" x14ac:dyDescent="0.25">
      <c r="AH52" s="203">
        <v>155.00135</v>
      </c>
      <c r="AI52" s="203" t="s">
        <v>631</v>
      </c>
      <c r="AJ52" s="203">
        <v>0</v>
      </c>
      <c r="AL52" s="203">
        <v>10</v>
      </c>
      <c r="AM52" s="203">
        <v>12</v>
      </c>
    </row>
    <row r="53" spans="34:39" s="203" customFormat="1" x14ac:dyDescent="0.25">
      <c r="AH53" s="203">
        <v>156.00129000000001</v>
      </c>
      <c r="AI53" s="203" t="s">
        <v>768</v>
      </c>
      <c r="AJ53" s="203">
        <v>0</v>
      </c>
      <c r="AL53" s="203">
        <v>15</v>
      </c>
      <c r="AM53" s="203">
        <v>12</v>
      </c>
    </row>
    <row r="54" spans="34:39" s="203" customFormat="1" x14ac:dyDescent="0.25">
      <c r="AH54" s="203">
        <v>157.00094000000001</v>
      </c>
      <c r="AI54" s="203" t="s">
        <v>773</v>
      </c>
      <c r="AJ54" s="203">
        <v>0</v>
      </c>
      <c r="AL54" s="203">
        <v>11</v>
      </c>
      <c r="AM54" s="203">
        <v>14</v>
      </c>
    </row>
    <row r="55" spans="34:39" s="203" customFormat="1" x14ac:dyDescent="0.25">
      <c r="AH55" s="203">
        <v>186.00113999999999</v>
      </c>
      <c r="AI55" s="203" t="s">
        <v>777</v>
      </c>
      <c r="AJ55" s="203">
        <v>0</v>
      </c>
      <c r="AL55" s="203">
        <v>8</v>
      </c>
      <c r="AM55" s="203">
        <v>23</v>
      </c>
    </row>
    <row r="56" spans="34:39" s="203" customFormat="1" x14ac:dyDescent="0.25">
      <c r="AH56" s="203">
        <v>1062.00117</v>
      </c>
      <c r="AI56" s="203" t="s">
        <v>398</v>
      </c>
      <c r="AJ56" s="203">
        <v>0</v>
      </c>
      <c r="AK56" s="203">
        <v>-1</v>
      </c>
      <c r="AL56" s="203">
        <v>11</v>
      </c>
      <c r="AM56" s="203">
        <v>7</v>
      </c>
    </row>
    <row r="57" spans="34:39" s="203" customFormat="1" x14ac:dyDescent="0.25">
      <c r="AH57" s="203">
        <v>1998.00099</v>
      </c>
      <c r="AI57" s="203" t="s">
        <v>331</v>
      </c>
      <c r="AJ57" s="203">
        <v>0</v>
      </c>
      <c r="AK57" s="203">
        <v>-4</v>
      </c>
      <c r="AL57" s="203">
        <v>3</v>
      </c>
      <c r="AM57" s="203">
        <v>3</v>
      </c>
    </row>
    <row r="58" spans="34:39" s="203" customFormat="1" x14ac:dyDescent="0.25">
      <c r="AH58" s="203">
        <v>1998.00128</v>
      </c>
      <c r="AI58" s="203" t="s">
        <v>420</v>
      </c>
      <c r="AJ58" s="203">
        <v>0</v>
      </c>
      <c r="AL58" s="203">
        <v>0</v>
      </c>
      <c r="AM58" s="203">
        <v>0</v>
      </c>
    </row>
    <row r="59" spans="34:39" s="203" customFormat="1" x14ac:dyDescent="0.25">
      <c r="AH59" s="203">
        <v>1998.00137</v>
      </c>
      <c r="AI59" s="203" t="s">
        <v>474</v>
      </c>
      <c r="AJ59" s="203">
        <v>0</v>
      </c>
      <c r="AL59" s="203">
        <v>0</v>
      </c>
      <c r="AM59" s="203">
        <v>0</v>
      </c>
    </row>
    <row r="60" spans="34:39" s="203" customFormat="1" x14ac:dyDescent="0.25">
      <c r="AH60" s="203">
        <v>1998.0014200000001</v>
      </c>
      <c r="AI60" s="203">
        <v>0</v>
      </c>
      <c r="AJ60" s="203">
        <v>0</v>
      </c>
      <c r="AL60" s="203">
        <v>0</v>
      </c>
      <c r="AM60" s="203">
        <v>0</v>
      </c>
    </row>
    <row r="61" spans="34:39" s="203" customFormat="1" x14ac:dyDescent="0.25">
      <c r="AH61" s="203">
        <v>1998.00143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1998.00144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1998.00145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1998.00146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1998.0014699999999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1998.0014799999999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1998.0014900000001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1998.0015000000001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1998.0015100000001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1998.00152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1998.00153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1998.00154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1998.00155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1998.0015599999999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1998.0015699999999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1998.0015800000001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1998.0015900000001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1998.0016000000001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1998.00161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1998.00162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33</v>
      </c>
      <c r="B1" s="414" t="s">
        <v>95</v>
      </c>
      <c r="C1" s="414"/>
      <c r="D1" s="414"/>
      <c r="E1" s="414"/>
      <c r="F1" s="414"/>
      <c r="G1" s="414"/>
      <c r="H1" s="415"/>
      <c r="I1" s="416" t="s">
        <v>96</v>
      </c>
      <c r="J1" s="417"/>
      <c r="K1" s="417"/>
      <c r="L1" s="417"/>
      <c r="M1" s="417"/>
      <c r="N1" s="417"/>
      <c r="O1" s="418"/>
      <c r="V1" s="258"/>
      <c r="W1" s="269"/>
      <c r="X1" s="407" t="s">
        <v>26</v>
      </c>
      <c r="Y1" s="407" t="s">
        <v>27</v>
      </c>
      <c r="Z1" s="407" t="s">
        <v>28</v>
      </c>
      <c r="AA1" s="407" t="s">
        <v>29</v>
      </c>
      <c r="AB1" s="407" t="s">
        <v>30</v>
      </c>
      <c r="AC1" s="208" t="s">
        <v>44</v>
      </c>
      <c r="AD1" s="208" t="s">
        <v>42</v>
      </c>
      <c r="AE1" s="208" t="s">
        <v>21</v>
      </c>
      <c r="AF1" s="213" t="s">
        <v>25</v>
      </c>
      <c r="AG1" s="203" t="s">
        <v>97</v>
      </c>
      <c r="AH1" s="203" t="s">
        <v>107</v>
      </c>
      <c r="AI1" s="203" t="s">
        <v>152</v>
      </c>
      <c r="AJ1" s="407" t="s">
        <v>44</v>
      </c>
      <c r="AK1" s="407" t="s">
        <v>42</v>
      </c>
      <c r="AL1" s="407" t="s">
        <v>21</v>
      </c>
      <c r="AM1" s="407" t="s">
        <v>25</v>
      </c>
      <c r="AN1" s="407" t="s">
        <v>97</v>
      </c>
      <c r="AO1" s="407" t="s">
        <v>107</v>
      </c>
      <c r="AP1" s="407" t="s">
        <v>152</v>
      </c>
      <c r="AQ1" s="343"/>
    </row>
    <row r="2" spans="1:89" s="80" customFormat="1" ht="59.25" customHeight="1" thickBot="1" x14ac:dyDescent="0.3">
      <c r="A2" s="151">
        <v>1</v>
      </c>
      <c r="B2" s="428" t="s">
        <v>44</v>
      </c>
      <c r="C2" s="403" t="s">
        <v>42</v>
      </c>
      <c r="D2" s="403" t="s">
        <v>21</v>
      </c>
      <c r="E2" s="403" t="s">
        <v>25</v>
      </c>
      <c r="F2" s="405" t="s">
        <v>97</v>
      </c>
      <c r="G2" s="405" t="s">
        <v>107</v>
      </c>
      <c r="H2" s="429" t="s">
        <v>108</v>
      </c>
      <c r="I2" s="408" t="s">
        <v>44</v>
      </c>
      <c r="J2" s="426" t="s">
        <v>42</v>
      </c>
      <c r="K2" s="426" t="s">
        <v>21</v>
      </c>
      <c r="L2" s="426" t="s">
        <v>25</v>
      </c>
      <c r="M2" s="410" t="s">
        <v>97</v>
      </c>
      <c r="N2" s="410" t="s">
        <v>107</v>
      </c>
      <c r="O2" s="412" t="s">
        <v>108</v>
      </c>
      <c r="P2" s="214"/>
      <c r="Q2" s="214"/>
      <c r="R2" s="214"/>
      <c r="S2" s="214"/>
      <c r="T2" s="214"/>
      <c r="U2" s="215"/>
      <c r="V2" s="257"/>
      <c r="W2" s="270" t="s">
        <v>123</v>
      </c>
      <c r="X2" s="407"/>
      <c r="Y2" s="407"/>
      <c r="Z2" s="407"/>
      <c r="AA2" s="407"/>
      <c r="AB2" s="407"/>
      <c r="AC2" s="215">
        <f ca="1">OFFSET(Parameter!$A10,0,MATCH($A2,Parameter!9:9,0)-1)-2</f>
        <v>2</v>
      </c>
      <c r="AD2" s="213">
        <f ca="1">OFFSET(Parameter!$A10,0,MATCH($A2,Parameter!9:9,0)-1)-1</f>
        <v>3</v>
      </c>
      <c r="AE2" s="213">
        <f ca="1">OFFSET(Parameter!$A10,0,MATCH($A2,Parameter!9:9,0)-1)</f>
        <v>4</v>
      </c>
      <c r="AF2" s="213">
        <f ca="1">OFFSET(Parameter!$A10,0,MATCH($A2,Parameter!9:9,0)-1)+1</f>
        <v>5</v>
      </c>
      <c r="AG2" s="213">
        <f ca="1">OFFSET(Parameter!$A10,0,MATCH($A2,Parameter!9:9,0)-1)+2</f>
        <v>6</v>
      </c>
      <c r="AH2" s="213">
        <f ca="1">OFFSET(Parameter!$A10,0,MATCH($A2,Parameter!9:9,0)-1)+3</f>
        <v>7</v>
      </c>
      <c r="AI2" s="213">
        <f ca="1">OFFSET(Parameter!$A10,0,MATCH($A2,Parameter!9:9,0)-1)+4</f>
        <v>8</v>
      </c>
      <c r="AJ2" s="407"/>
      <c r="AK2" s="407"/>
      <c r="AL2" s="407"/>
      <c r="AM2" s="407"/>
      <c r="AN2" s="407"/>
      <c r="AO2" s="407"/>
      <c r="AP2" s="407"/>
      <c r="AQ2" s="343" t="s">
        <v>182</v>
      </c>
      <c r="AR2" s="204" t="s">
        <v>60</v>
      </c>
      <c r="AS2" s="271" t="s">
        <v>53</v>
      </c>
      <c r="AT2" s="271" t="s">
        <v>192</v>
      </c>
      <c r="AU2" s="271" t="s">
        <v>52</v>
      </c>
      <c r="AV2" s="204" t="s">
        <v>184</v>
      </c>
      <c r="AW2" s="204" t="s">
        <v>183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4</v>
      </c>
      <c r="B3" s="404"/>
      <c r="C3" s="404"/>
      <c r="D3" s="404"/>
      <c r="E3" s="404"/>
      <c r="F3" s="406"/>
      <c r="G3" s="406"/>
      <c r="H3" s="430"/>
      <c r="I3" s="409"/>
      <c r="J3" s="427"/>
      <c r="K3" s="427"/>
      <c r="L3" s="427"/>
      <c r="M3" s="411"/>
      <c r="N3" s="411"/>
      <c r="O3" s="413"/>
      <c r="P3" s="214"/>
      <c r="Q3" s="214"/>
      <c r="R3" s="214"/>
      <c r="S3" s="214"/>
      <c r="T3" s="214"/>
      <c r="U3" s="215"/>
      <c r="V3" s="257"/>
      <c r="W3" s="213" t="str">
        <f>Data!DT91</f>
        <v>Michal Kúdela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0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/R1/R2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Michal Kúdela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R1/R2</v>
      </c>
      <c r="AW3" s="204" t="str">
        <f t="array" aca="1" ref="AW3" ca="1">INDEX($AR$3:$AR$102,MATCH(LARGE(COUNTIF($AQ$3:$AQ$102,"&lt;"&amp;$AQ$3:$AQ$102),ROWS(AQ$3:AQ3)),COUNTIF($AQ$3:$AQ$102,"&lt;"&amp;$AQ$3:$AQ$102),0))</f>
        <v>2 / Michal Kúdela (1)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110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11</v>
      </c>
      <c r="D4" s="82">
        <f ca="1">OFFSET(Data!$A$1,MATCH("# "&amp;D$2&amp;" Men",Data!$DT:$DT,0)-1,MATCH(MID($A4,3,20)&amp;"/"&amp;$A$2,Data!$1:$1,0)-1)</f>
        <v>16</v>
      </c>
      <c r="E4" s="82">
        <f ca="1">OFFSET(Data!$A$1,MATCH("# "&amp;E$2&amp;" Men",Data!$DT:$DT,0)-1,MATCH(MID($A4,3,20)&amp;"/"&amp;$A$2,Data!$1:$1,0)-1)</f>
        <v>9</v>
      </c>
      <c r="F4" s="82">
        <f ca="1">OFFSET(Data!$A$1,MATCH("# "&amp;F$2&amp;" Men",Data!$DT:$DT,0)-1,MATCH(MID($A4,3,20)&amp;"/"&amp;$A$2,Data!$1:$1,0)-1)</f>
        <v>5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1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3</v>
      </c>
      <c r="L4" s="85">
        <f ca="1">OFFSET(Data!$A$1,MATCH("# "&amp;L$2&amp;" Women",Data!$DT:$DT,0)-1,MATCH(MID($A4,3,20)&amp;"/"&amp;$A$2,Data!$1:$1,0)-1)</f>
        <v>0</v>
      </c>
      <c r="M4" s="85">
        <f ca="1">OFFSET(Data!$A$1,MATCH("# "&amp;M$2&amp;" Women",Data!$DT:$DT,0)-1,MATCH(MID($A4,3,20)&amp;"/"&amp;$A$2,Data!$1:$1,0)-1)</f>
        <v>3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1</v>
      </c>
      <c r="P4" s="203"/>
      <c r="Q4" s="203"/>
      <c r="R4" s="203"/>
      <c r="S4" s="203"/>
      <c r="T4" s="203"/>
      <c r="U4" s="215"/>
      <c r="V4" s="257"/>
      <c r="W4" s="213" t="str">
        <f>Data!DT92</f>
        <v>Bálint Kazai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0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2490M</v>
      </c>
      <c r="AR4" s="204" t="str">
        <f ca="1">IF(OFFSET($AB4,0,MATCH(A$17,AC$1:AI$1,0))=0,"",OFFSET($AB4,0,MATCH(A$17,AC$1:AI$1,0))&amp;" / "&amp;W4 &amp;" ("&amp;INDEX(Data!DX:DX,MATCH(W4,Data!DT:DT,0))&amp;")")</f>
        <v>2 / Bálint Kazai (10)</v>
      </c>
      <c r="AS4" s="204">
        <f>INDEX(Data!DX:DX,MATCH(W4,Data!DT:DT,0))</f>
        <v>10</v>
      </c>
      <c r="AT4" s="204" t="str">
        <f>MID(INDEX(Data!A:A,MATCH(W4,Data!DT:DT,0)),2,5)</f>
        <v>10</v>
      </c>
      <c r="AU4" s="204" t="str">
        <f>INDEX(Data!DW:DW,MATCH(W4,Data!DT:DT,0))</f>
        <v>M</v>
      </c>
      <c r="AV4" s="204" t="str">
        <f t="shared" ca="1" si="4"/>
        <v>R1/R2</v>
      </c>
      <c r="AW4" s="204" t="str">
        <f t="array" aca="1" ref="AW4" ca="1">INDEX($AR$3:$AR$102,MATCH(LARGE(COUNTIF($AQ$3:$AQ$102,"&lt;"&amp;$AQ$3:$AQ$102),ROWS(AQ$3:AQ4)),COUNTIF($AQ$3:$AQ$102,"&lt;"&amp;$AQ$3:$AQ$102),0))</f>
        <v>2 / Róbert Furka (2)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111</v>
      </c>
      <c r="B5" s="87">
        <f ca="1">OFFSET(Data!$A$1,MATCH("# "&amp;B$2&amp;" Men",Data!$DT:$DT,0)-1,MATCH(MID($A5,3,20)&amp;"/"&amp;$A$2,Data!$1:$1,0)-1)</f>
        <v>1</v>
      </c>
      <c r="C5" s="88">
        <f ca="1">OFFSET(Data!$A$1,MATCH("# "&amp;C$2&amp;" Men",Data!$DT:$DT,0)-1,MATCH(MID($A5,3,20)&amp;"/"&amp;$A$2,Data!$1:$1,0)-1)</f>
        <v>11</v>
      </c>
      <c r="D5" s="88">
        <f ca="1">OFFSET(Data!$A$1,MATCH("# "&amp;D$2&amp;" Men",Data!$DT:$DT,0)-1,MATCH(MID($A5,3,20)&amp;"/"&amp;$A$2,Data!$1:$1,0)-1)</f>
        <v>17</v>
      </c>
      <c r="E5" s="88">
        <f ca="1">OFFSET(Data!$A$1,MATCH("# "&amp;E$2&amp;" Men",Data!$DT:$DT,0)-1,MATCH(MID($A5,3,20)&amp;"/"&amp;$A$2,Data!$1:$1,0)-1)</f>
        <v>5</v>
      </c>
      <c r="F5" s="88">
        <f ca="1">OFFSET(Data!$A$1,MATCH("# "&amp;F$2&amp;" Men",Data!$DT:$DT,0)-1,MATCH(MID($A5,3,20)&amp;"/"&amp;$A$2,Data!$1:$1,0)-1)</f>
        <v>3</v>
      </c>
      <c r="G5" s="88">
        <f ca="1">OFFSET(Data!$A$1,MATCH("# "&amp;G$2&amp;" Men",Data!$DT:$DT,0)-1,MATCH(MID($A5,3,20)&amp;"/"&amp;$A$2,Data!$1:$1,0)-1)</f>
        <v>4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4</v>
      </c>
      <c r="L5" s="91">
        <f ca="1">OFFSET(Data!$A$1,MATCH("# "&amp;L$2&amp;" Women",Data!$DT:$DT,0)-1,MATCH(MID($A5,3,20)&amp;"/"&amp;$A$2,Data!$1:$1,0)-1)</f>
        <v>0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2</v>
      </c>
      <c r="P5" s="203"/>
      <c r="Q5" s="203"/>
      <c r="R5" s="203"/>
      <c r="S5" s="203"/>
      <c r="T5" s="203"/>
      <c r="U5" s="215"/>
      <c r="V5" s="257"/>
      <c r="W5" s="213" t="str">
        <f>Data!DT93</f>
        <v>Alexander Horvath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2</v>
      </c>
      <c r="AE5" s="213">
        <f t="shared" ca="1" si="0"/>
        <v>0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/R1/R2</v>
      </c>
      <c r="AL5" s="213" t="str">
        <f t="shared" ca="1" si="6"/>
        <v/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2478M</v>
      </c>
      <c r="AR5" s="204" t="str">
        <f ca="1">IF(OFFSET($AB5,0,MATCH(A$17,AC$1:AI$1,0))=0,"",OFFSET($AB5,0,MATCH(A$17,AC$1:AI$1,0))&amp;" / "&amp;W5 &amp;" ("&amp;INDEX(Data!DX:DX,MATCH(W5,Data!DT:DT,0))&amp;")")</f>
        <v>2 / Alexander Horvath (22)</v>
      </c>
      <c r="AS5" s="204">
        <f>INDEX(Data!DX:DX,MATCH(W5,Data!DT:DT,0))</f>
        <v>22</v>
      </c>
      <c r="AT5" s="204" t="str">
        <f>MID(INDEX(Data!A:A,MATCH(W5,Data!DT:DT,0)),2,5)</f>
        <v>22</v>
      </c>
      <c r="AU5" s="204" t="str">
        <f>INDEX(Data!DW:DW,MATCH(W5,Data!DT:DT,0))</f>
        <v>M</v>
      </c>
      <c r="AV5" s="204" t="str">
        <f t="shared" ca="1" si="4"/>
        <v>R1/R2</v>
      </c>
      <c r="AW5" s="204" t="str">
        <f t="array" aca="1" ref="AW5" ca="1">INDEX($AR$3:$AR$102,MATCH(LARGE(COUNTIF($AQ$3:$AQ$102,"&lt;"&amp;$AQ$3:$AQ$102),ROWS(AQ$3:AQ5)),COUNTIF($AQ$3:$AQ$102,"&lt;"&amp;$AQ$3:$AQ$102),0))</f>
        <v>2 / Otfried Derschmidt (5)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112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7"/>
      <c r="W6" s="213" t="str">
        <f>Data!DT94</f>
        <v>Alíz Török</v>
      </c>
      <c r="X6" s="215">
        <f>IF(ISERROR(INDEX(Data!$DY:$IB,MATCH($W6,Data!$DT:$DT,0),MATCH(X$1&amp;"/"&amp;$A$2,Data!$DY$1:$IB$1,0)))=TRUE,0,INDEX(Data!$DY:$IB,MATCH($W6,Data!$DT:$DT,0),MATCH(X$1&amp;"/"&amp;$A$2,Data!$DY$1:$IB$1,0)))</f>
        <v>4</v>
      </c>
      <c r="Y6" s="215">
        <f>IF(ISERROR(INDEX(Data!$DY:$IB,MATCH($W6,Data!$DT:$DT,0),MATCH(Y$1&amp;"/"&amp;$A$2,Data!$DY$1:$IB$1,0)))=TRUE,0,INDEX(Data!$DY:$IB,MATCH($W6,Data!$DT:$DT,0),MATCH(Y$1&amp;"/"&amp;$A$2,Data!$DY$1:$IB$1,0)))</f>
        <v>6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1</v>
      </c>
      <c r="AF6" s="213">
        <f t="shared" ca="1" si="0"/>
        <v>0</v>
      </c>
      <c r="AG6" s="213">
        <f t="shared" ca="1" si="0"/>
        <v>1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</v>
      </c>
      <c r="AM6" s="213" t="str">
        <f t="shared" ca="1" si="7"/>
        <v/>
      </c>
      <c r="AN6" s="213" t="str">
        <f t="shared" ca="1" si="8"/>
        <v>/R2</v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6</v>
      </c>
      <c r="AT6" s="204" t="str">
        <f>MID(INDEX(Data!A:A,MATCH(W6,Data!DT:DT,0)),2,5)</f>
        <v>6</v>
      </c>
      <c r="AU6" s="204" t="str">
        <f>INDEX(Data!DW:DW,MATCH(W6,Data!DT:DT,0))</f>
        <v>W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2 / Dinko Šimenc (7)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113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Otfried Derschmidt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0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/R1/R2</v>
      </c>
      <c r="AL7" s="213" t="str">
        <f t="shared" ca="1" si="6"/>
        <v/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2495M</v>
      </c>
      <c r="AR7" s="204" t="str">
        <f ca="1">IF(OFFSET($AB7,0,MATCH(A$17,AC$1:AI$1,0))=0,"",OFFSET($AB7,0,MATCH(A$17,AC$1:AI$1,0))&amp;" / "&amp;W7 &amp;" ("&amp;INDEX(Data!DX:DX,MATCH(W7,Data!DT:DT,0))&amp;")")</f>
        <v>2 / Otfried Derschmidt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R1/R2</v>
      </c>
      <c r="AW7" s="204" t="str">
        <f t="array" aca="1" ref="AW7" ca="1">INDEX($AR$3:$AR$102,MATCH(LARGE(COUNTIF($AQ$3:$AQ$102,"&lt;"&amp;$AQ$3:$AQ$102),ROWS(AQ$3:AQ7)),COUNTIF($AQ$3:$AQ$102,"&lt;"&amp;$AQ$3:$AQ$102),0))</f>
        <v>2 / Bálint Kazai (10)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114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Manuel Oman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1</v>
      </c>
      <c r="AE8" s="213">
        <f t="shared" ca="1" si="0"/>
        <v>1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/R2</v>
      </c>
      <c r="AL8" s="213" t="str">
        <f t="shared" ca="1" si="6"/>
        <v>/R1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1487M</v>
      </c>
      <c r="AR8" s="204" t="str">
        <f ca="1">IF(OFFSET($AB8,0,MATCH(A$17,AC$1:AI$1,0))=0,"",OFFSET($AB8,0,MATCH(A$17,AC$1:AI$1,0))&amp;" / "&amp;W8 &amp;" ("&amp;INDEX(Data!DX:DX,MATCH(W8,Data!DT:DT,0))&amp;")")</f>
        <v>1 / Manuel Oman (13)</v>
      </c>
      <c r="AS8" s="204">
        <f>INDEX(Data!DX:DX,MATCH(W8,Data!DT:DT,0))</f>
        <v>13</v>
      </c>
      <c r="AT8" s="204" t="str">
        <f>MID(INDEX(Data!A:A,MATCH(W8,Data!DT:DT,0)),2,5)</f>
        <v>13</v>
      </c>
      <c r="AU8" s="204" t="str">
        <f>INDEX(Data!DW:DW,MATCH(W8,Data!DT:DT,0))</f>
        <v>M</v>
      </c>
      <c r="AV8" s="204" t="str">
        <f t="shared" ca="1" si="4"/>
        <v>R2</v>
      </c>
      <c r="AW8" s="204" t="str">
        <f t="array" aca="1" ref="AW8" ca="1">INDEX($AR$3:$AR$102,MATCH(LARGE(COUNTIF($AQ$3:$AQ$102,"&lt;"&amp;$AQ$3:$AQ$102),ROWS(AQ$3:AQ8)),COUNTIF($AQ$3:$AQ$102,"&lt;"&amp;$AQ$3:$AQ$102),0))</f>
        <v>2 / Wolfgang Aichinger (11)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115</v>
      </c>
      <c r="B9" s="105">
        <f ca="1">OFFSET(Data!$A$1,MATCH("# "&amp;B$2&amp;" Men",Data!$DT:$DT,0)-1,MATCH(MID($A9,3,20)&amp;"/"&amp;$A$2,Data!$1:$1,0)-1)</f>
        <v>1</v>
      </c>
      <c r="C9" s="106">
        <f ca="1">OFFSET(Data!$A$1,MATCH("# "&amp;C$2&amp;" Men",Data!$DT:$DT,0)-1,MATCH(MID($A9,3,20)&amp;"/"&amp;$A$2,Data!$1:$1,0)-1)</f>
        <v>22</v>
      </c>
      <c r="D9" s="106">
        <f ca="1">OFFSET(Data!$A$1,MATCH("# "&amp;D$2&amp;" Men",Data!$DT:$DT,0)-1,MATCH(MID($A9,3,20)&amp;"/"&amp;$A$2,Data!$1:$1,0)-1)</f>
        <v>33</v>
      </c>
      <c r="E9" s="106">
        <f ca="1">OFFSET(Data!$A$1,MATCH("# "&amp;E$2&amp;" Men",Data!$DT:$DT,0)-1,MATCH(MID($A9,3,20)&amp;"/"&amp;$A$2,Data!$1:$1,0)-1)</f>
        <v>14</v>
      </c>
      <c r="F9" s="106">
        <f ca="1">OFFSET(Data!$A$1,MATCH("# "&amp;F$2&amp;" Men",Data!$DT:$DT,0)-1,MATCH(MID($A9,3,20)&amp;"/"&amp;$A$2,Data!$1:$1,0)-1)</f>
        <v>8</v>
      </c>
      <c r="G9" s="106">
        <f ca="1">OFFSET(Data!$A$1,MATCH("# "&amp;G$2&amp;" Men",Data!$DT:$DT,0)-1,MATCH(MID($A9,3,20)&amp;"/"&amp;$A$2,Data!$1:$1,0)-1)</f>
        <v>4</v>
      </c>
      <c r="H9" s="107">
        <f ca="1">OFFSET(Data!$A$1,MATCH("# "&amp;H$2&amp;" Men",Data!$DT:$DT,0)-1,MATCH(MID($A9,3,20)&amp;"/"&amp;$A$2,Data!$1:$1,0)-1)</f>
        <v>1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7</v>
      </c>
      <c r="L9" s="109">
        <f ca="1">OFFSET(Data!$A$1,MATCH("# "&amp;L$2&amp;" Women",Data!$DT:$DT,0)-1,MATCH(MID($A9,3,20)&amp;"/"&amp;$A$2,Data!$1:$1,0)-1)</f>
        <v>0</v>
      </c>
      <c r="M9" s="109">
        <f ca="1">OFFSET(Data!$A$1,MATCH("# "&amp;M$2&amp;" Women",Data!$DT:$DT,0)-1,MATCH(MID($A9,3,20)&amp;"/"&amp;$A$2,Data!$1:$1,0)-1)</f>
        <v>4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3</v>
      </c>
      <c r="P9" s="203"/>
      <c r="Q9" s="203"/>
      <c r="R9" s="203"/>
      <c r="S9" s="203"/>
      <c r="T9" s="203"/>
      <c r="U9" s="215"/>
      <c r="V9" s="257"/>
      <c r="W9" s="213" t="str">
        <f>Data!DT97</f>
        <v>Irmgard Derschmidt</v>
      </c>
      <c r="X9" s="215">
        <f>IF(ISERROR(INDEX(Data!$DY:$IB,MATCH($W9,Data!$DT:$DT,0),MATCH(X$1&amp;"/"&amp;$A$2,Data!$DY$1:$IB$1,0)))=TRUE,0,INDEX(Data!$DY:$IB,MATCH($W9,Data!$DT:$DT,0),MATCH(X$1&amp;"/"&amp;$A$2,Data!$DY$1:$IB$1,0)))</f>
        <v>6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1</v>
      </c>
      <c r="AF9" s="213">
        <f t="shared" ca="1" si="11"/>
        <v>0</v>
      </c>
      <c r="AG9" s="213">
        <f t="shared" ca="1" si="11"/>
        <v>1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/R2</v>
      </c>
      <c r="AM9" s="213" t="str">
        <f t="shared" ca="1" si="7"/>
        <v/>
      </c>
      <c r="AN9" s="213" t="str">
        <f t="shared" ca="1" si="8"/>
        <v>/R1</v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2</v>
      </c>
      <c r="AT9" s="204" t="str">
        <f>MID(INDEX(Data!A:A,MATCH(W9,Data!DT:DT,0)),2,5)</f>
        <v>2</v>
      </c>
      <c r="AU9" s="204" t="str">
        <f>INDEX(Data!DW:DW,MATCH(W9,Data!DT:DT,0))</f>
        <v>W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>2 / Alexander Horvath (22)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116</v>
      </c>
      <c r="B10" s="111">
        <f ca="1">B4/SUM($B4:$H4)</f>
        <v>0</v>
      </c>
      <c r="C10" s="112">
        <f t="shared" ref="C10:H10" ca="1" si="13">C4/SUM($B4:$H4)</f>
        <v>0.26190476190476192</v>
      </c>
      <c r="D10" s="112">
        <f t="shared" ca="1" si="13"/>
        <v>0.38095238095238093</v>
      </c>
      <c r="E10" s="112">
        <f t="shared" ca="1" si="13"/>
        <v>0.21428571428571427</v>
      </c>
      <c r="F10" s="112">
        <f t="shared" ca="1" si="13"/>
        <v>0.11904761904761904</v>
      </c>
      <c r="G10" s="112">
        <f t="shared" ca="1" si="13"/>
        <v>0</v>
      </c>
      <c r="H10" s="113">
        <f t="shared" ca="1" si="13"/>
        <v>2.3809523809523808E-2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0.42857142857142855</v>
      </c>
      <c r="L10" s="115">
        <f t="shared" ca="1" si="15"/>
        <v>0</v>
      </c>
      <c r="M10" s="115">
        <f t="shared" ca="1" si="15"/>
        <v>0.42857142857142855</v>
      </c>
      <c r="N10" s="115">
        <f t="shared" ca="1" si="15"/>
        <v>0</v>
      </c>
      <c r="O10" s="116">
        <f t="shared" ca="1" si="15"/>
        <v>0.14285714285714285</v>
      </c>
      <c r="P10" s="216"/>
      <c r="Q10" s="216"/>
      <c r="R10" s="216"/>
      <c r="S10" s="216"/>
      <c r="T10" s="216"/>
      <c r="U10" s="215"/>
      <c r="V10" s="257"/>
      <c r="W10" s="213" t="str">
        <f>Data!DT98</f>
        <v>Herbert Kasses</v>
      </c>
      <c r="X10" s="215">
        <f>IF(ISERROR(INDEX(Data!$DY:$IB,MATCH($W10,Data!$DT:$DT,0),MATCH(X$1&amp;"/"&amp;$A$2,Data!$DY$1:$IB$1,0)))=TRUE,0,INDEX(Data!$DY:$IB,MATCH($W10,Data!$DT:$DT,0),MATCH(X$1&amp;"/"&amp;$A$2,Data!$DY$1:$IB$1,0)))</f>
        <v>4</v>
      </c>
      <c r="Y10" s="215">
        <f>IF(ISERROR(INDEX(Data!$DY:$IB,MATCH($W10,Data!$DT:$DT,0),MATCH(Y$1&amp;"/"&amp;$A$2,Data!$DY$1:$IB$1,0)))=TRUE,0,INDEX(Data!$DY:$IB,MATCH($W10,Data!$DT:$DT,0),MATCH(Y$1&amp;"/"&amp;$A$2,Data!$DY$1:$IB$1,0)))</f>
        <v>4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33</v>
      </c>
      <c r="AT10" s="204" t="str">
        <f>MID(INDEX(Data!A:A,MATCH(W10,Data!DT:DT,0)),2,5)</f>
        <v>33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2 / Robin Binder (25)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117</v>
      </c>
      <c r="B11" s="93">
        <f t="shared" ref="B11:H11" ca="1" si="17">B5/SUM($B5:$H5)</f>
        <v>2.4390243902439025E-2</v>
      </c>
      <c r="C11" s="94">
        <f t="shared" ca="1" si="17"/>
        <v>0.26829268292682928</v>
      </c>
      <c r="D11" s="94">
        <f t="shared" ca="1" si="17"/>
        <v>0.41463414634146339</v>
      </c>
      <c r="E11" s="94">
        <f t="shared" ca="1" si="17"/>
        <v>0.12195121951219512</v>
      </c>
      <c r="F11" s="94">
        <f t="shared" ca="1" si="17"/>
        <v>7.3170731707317069E-2</v>
      </c>
      <c r="G11" s="94">
        <f t="shared" ca="1" si="17"/>
        <v>9.7560975609756101E-2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0.5714285714285714</v>
      </c>
      <c r="L11" s="97">
        <f t="shared" ca="1" si="18"/>
        <v>0</v>
      </c>
      <c r="M11" s="97">
        <f t="shared" ca="1" si="18"/>
        <v>0.14285714285714285</v>
      </c>
      <c r="N11" s="97">
        <f t="shared" ca="1" si="18"/>
        <v>0</v>
      </c>
      <c r="O11" s="98">
        <f t="shared" ca="1" si="18"/>
        <v>0.2857142857142857</v>
      </c>
      <c r="P11" s="216"/>
      <c r="Q11" s="216"/>
      <c r="R11" s="216"/>
      <c r="S11" s="216"/>
      <c r="T11" s="216"/>
      <c r="U11" s="215"/>
      <c r="V11" s="257"/>
      <c r="W11" s="213" t="str">
        <f>Data!DT99</f>
        <v>Eric Osterwinter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0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0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</v>
      </c>
      <c r="AL11" s="213" t="str">
        <f t="shared" ca="1" si="6"/>
        <v/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1200M</v>
      </c>
      <c r="AR11" s="204" t="str">
        <f ca="1">IF(OFFSET($AB11,0,MATCH(A$17,AC$1:AI$1,0))=0,"",OFFSET($AB11,0,MATCH(A$17,AC$1:AI$1,0))&amp;" / "&amp;W11 &amp;" ("&amp;INDEX(Data!DX:DX,MATCH(W11,Data!DT:DT,0))&amp;")")</f>
        <v>1 / Eric Osterwinter (NF)</v>
      </c>
      <c r="AS11" s="204" t="str">
        <f>INDEX(Data!DX:DX,MATCH(W11,Data!DT:DT,0))</f>
        <v>NF</v>
      </c>
      <c r="AT11" s="204" t="str">
        <f>MID(INDEX(Data!A:A,MATCH(W11,Data!DT:DT,0)),2,5)</f>
        <v>NF0</v>
      </c>
      <c r="AU11" s="204" t="str">
        <f>INDEX(Data!DW:DW,MATCH(W11,Data!DT:DT,0))</f>
        <v>M</v>
      </c>
      <c r="AV11" s="204" t="str">
        <f t="shared" ca="1" si="4"/>
        <v>R1</v>
      </c>
      <c r="AW11" s="204" t="str">
        <f t="array" aca="1" ref="AW11" ca="1">INDEX($AR$3:$AR$102,MATCH(LARGE(COUNTIF($AQ$3:$AQ$102,"&lt;"&amp;$AQ$3:$AQ$102),ROWS(AQ$3:AQ11)),COUNTIF($AQ$3:$AQ$102,"&lt;"&amp;$AQ$3:$AQ$102),0))</f>
        <v>1 / Mike Bischof-Horak (2)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118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7"/>
      <c r="W12" s="213" t="str">
        <f>Data!DT100</f>
        <v>Dinko Šimenc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2</v>
      </c>
      <c r="AE12" s="213">
        <f t="shared" ca="1" si="0"/>
        <v>0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/R1/R2</v>
      </c>
      <c r="AL12" s="213" t="str">
        <f t="shared" ca="1" si="6"/>
        <v/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2493M</v>
      </c>
      <c r="AR12" s="204" t="str">
        <f ca="1">IF(OFFSET($AB12,0,MATCH(A$17,AC$1:AI$1,0))=0,"",OFFSET($AB12,0,MATCH(A$17,AC$1:AI$1,0))&amp;" / "&amp;W12 &amp;" ("&amp;INDEX(Data!DX:DX,MATCH(W12,Data!DT:DT,0))&amp;")")</f>
        <v>2 / Dinko Šimenc (7)</v>
      </c>
      <c r="AS12" s="204">
        <f>INDEX(Data!DX:DX,MATCH(W12,Data!DT:DT,0))</f>
        <v>7</v>
      </c>
      <c r="AT12" s="204" t="str">
        <f>MID(INDEX(Data!A:A,MATCH(W12,Data!DT:DT,0)),2,5)</f>
        <v>7</v>
      </c>
      <c r="AU12" s="204" t="str">
        <f>INDEX(Data!DW:DW,MATCH(W12,Data!DT:DT,0))</f>
        <v>M</v>
      </c>
      <c r="AV12" s="204" t="str">
        <f t="shared" ca="1" si="4"/>
        <v>R1/R2</v>
      </c>
      <c r="AW12" s="204" t="str">
        <f t="array" aca="1" ref="AW12" ca="1">INDEX($AR$3:$AR$102,MATCH(LARGE(COUNTIF($AQ$3:$AQ$102,"&lt;"&amp;$AQ$3:$AQ$102),ROWS(AQ$3:AQ12)),COUNTIF($AQ$3:$AQ$102,"&lt;"&amp;$AQ$3:$AQ$102),0))</f>
        <v>1 / Reinhold Schachner (2)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119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Danica Pajtak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</v>
      </c>
      <c r="AT13" s="204" t="str">
        <f>MID(INDEX(Data!A:A,MATCH(W13,Data!DT:DT,0)),2,5)</f>
        <v>1</v>
      </c>
      <c r="AU13" s="204" t="str">
        <f>INDEX(Data!DW:DW,MATCH(W13,Data!DT:DT,0))</f>
        <v>W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>1 / Lukas Froschauer (7)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120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Aleksandar Sudzukovic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6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1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/R1</v>
      </c>
      <c r="AM14" s="213" t="str">
        <f t="shared" ca="1" si="7"/>
        <v/>
      </c>
      <c r="AN14" s="213" t="str">
        <f t="shared" ca="1" si="8"/>
        <v>/R2</v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25</v>
      </c>
      <c r="AT14" s="204" t="str">
        <f>MID(INDEX(Data!A:A,MATCH(W14,Data!DT:DT,0)),2,5)</f>
        <v>25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1 / Manuel Oman (13)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121</v>
      </c>
      <c r="B15" s="99">
        <f t="shared" ref="B15:H15" ca="1" si="25">B9/SUM($B9:$H9)</f>
        <v>1.2048192771084338E-2</v>
      </c>
      <c r="C15" s="100">
        <f t="shared" ca="1" si="25"/>
        <v>0.26506024096385544</v>
      </c>
      <c r="D15" s="100">
        <f t="shared" ca="1" si="25"/>
        <v>0.39759036144578314</v>
      </c>
      <c r="E15" s="100">
        <f t="shared" ca="1" si="25"/>
        <v>0.16867469879518071</v>
      </c>
      <c r="F15" s="100">
        <f t="shared" ca="1" si="25"/>
        <v>9.6385542168674704E-2</v>
      </c>
      <c r="G15" s="100">
        <f t="shared" ca="1" si="25"/>
        <v>4.8192771084337352E-2</v>
      </c>
      <c r="H15" s="101">
        <f t="shared" ca="1" si="25"/>
        <v>1.2048192771084338E-2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0.5</v>
      </c>
      <c r="L15" s="103">
        <f t="shared" ca="1" si="26"/>
        <v>0</v>
      </c>
      <c r="M15" s="103">
        <f t="shared" ca="1" si="26"/>
        <v>0.2857142857142857</v>
      </c>
      <c r="N15" s="103">
        <f t="shared" ca="1" si="26"/>
        <v>0</v>
      </c>
      <c r="O15" s="104">
        <f t="shared" ca="1" si="26"/>
        <v>0.21428571428571427</v>
      </c>
      <c r="P15" s="216"/>
      <c r="Q15" s="216"/>
      <c r="R15" s="216"/>
      <c r="S15" s="216"/>
      <c r="T15" s="216"/>
      <c r="U15" s="215"/>
      <c r="V15" s="257"/>
      <c r="W15" s="213" t="str">
        <f>Data!DT103</f>
        <v>Christian Klima</v>
      </c>
      <c r="X15" s="215">
        <f>IF(ISERROR(INDEX(Data!$DY:$IB,MATCH($W15,Data!$DT:$DT,0),MATCH(X$1&amp;"/"&amp;$A$2,Data!$DY$1:$IB$1,0)))=TRUE,0,INDEX(Data!$DY:$IB,MATCH($W15,Data!$DT:$DT,0),MATCH(X$1&amp;"/"&amp;$A$2,Data!$DY$1:$IB$1,0)))</f>
        <v>4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2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/R1/R2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7</v>
      </c>
      <c r="AT15" s="204" t="str">
        <f>MID(INDEX(Data!A:A,MATCH(W15,Data!DT:DT,0)),2,5)</f>
        <v>8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>1 / Stefan Sonnleitner (15)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Michael Greilinger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2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22</v>
      </c>
      <c r="AT16" s="204" t="str">
        <f>MID(INDEX(Data!A:A,MATCH(W16,Data!DT:DT,0)),2,5)</f>
        <v>23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>1 / Eric Osterwinter (NF)</v>
      </c>
      <c r="AX16" s="342"/>
    </row>
    <row r="17" spans="1:49" ht="15" customHeight="1" thickBot="1" x14ac:dyDescent="0.3">
      <c r="A17" s="421" t="s">
        <v>42</v>
      </c>
      <c r="B17" s="422"/>
      <c r="C17" s="422"/>
      <c r="D17" s="422"/>
      <c r="E17" s="42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György Csepeli</v>
      </c>
      <c r="X17" s="215">
        <f>IF(ISERROR(INDEX(Data!$DY:$IB,MATCH($W17,Data!$DT:$DT,0),MATCH(X$1&amp;"/"&amp;$A$2,Data!$DY$1:$IB$1,0)))=TRUE,0,INDEX(Data!$DY:$IB,MATCH($W17,Data!$DT:$DT,0),MATCH(X$1&amp;"/"&amp;$A$2,Data!$DY$1:$IB$1,0)))</f>
        <v>6</v>
      </c>
      <c r="Y17" s="215">
        <f>IF(ISERROR(INDEX(Data!$DY:$IB,MATCH($W17,Data!$DT:$DT,0),MATCH(Y$1&amp;"/"&amp;$A$2,Data!$DY$1:$IB$1,0)))=TRUE,0,INDEX(Data!$DY:$IB,MATCH($W17,Data!$DT:$DT,0),MATCH(Y$1&amp;"/"&amp;$A$2,Data!$DY$1:$IB$1,0)))</f>
        <v>6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0</v>
      </c>
      <c r="AF17" s="213">
        <f t="shared" ca="1" si="11"/>
        <v>0</v>
      </c>
      <c r="AG17" s="213">
        <f t="shared" ca="1" si="11"/>
        <v>2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/>
      </c>
      <c r="AM17" s="213" t="str">
        <f t="shared" ca="1" si="7"/>
        <v/>
      </c>
      <c r="AN17" s="213" t="str">
        <f t="shared" ca="1" si="8"/>
        <v>/R1/R2</v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34</v>
      </c>
      <c r="AT17" s="204" t="str">
        <f>MID(INDEX(Data!A:A,MATCH(W17,Data!DT:DT,0)),2,5)</f>
        <v>34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/>
      </c>
    </row>
    <row r="18" spans="1:49" ht="15" customHeight="1" x14ac:dyDescent="0.25">
      <c r="A18" s="260" t="s">
        <v>185</v>
      </c>
      <c r="B18" s="261"/>
      <c r="C18" s="261"/>
      <c r="D18" s="424" t="s">
        <v>186</v>
      </c>
      <c r="E18" s="425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Sebastian Katteneder</v>
      </c>
      <c r="X18" s="215">
        <f>IF(ISERROR(INDEX(Data!$DY:$IB,MATCH($W18,Data!$DT:$DT,0),MATCH(X$1&amp;"/"&amp;$A$2,Data!$DY$1:$IB$1,0)))=TRUE,0,INDEX(Data!$DY:$IB,MATCH($W18,Data!$DT:$DT,0),MATCH(X$1&amp;"/"&amp;$A$2,Data!$DY$1:$IB$1,0)))</f>
        <v>5</v>
      </c>
      <c r="Y18" s="215">
        <f>IF(ISERROR(INDEX(Data!$DY:$IB,MATCH($W18,Data!$DT:$DT,0),MATCH(Y$1&amp;"/"&amp;$A$2,Data!$DY$1:$IB$1,0)))=TRUE,0,INDEX(Data!$DY:$IB,MATCH($W18,Data!$DT:$DT,0),MATCH(Y$1&amp;"/"&amp;$A$2,Data!$DY$1:$IB$1,0)))</f>
        <v>5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0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/>
      </c>
      <c r="AM18" s="213" t="str">
        <f t="shared" ca="1" si="7"/>
        <v>/R1/R2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38</v>
      </c>
      <c r="AT18" s="204" t="str">
        <f>MID(INDEX(Data!A:A,MATCH(W18,Data!DT:DT,0)),2,5)</f>
        <v>38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/>
      </c>
    </row>
    <row r="19" spans="1:49" ht="15" customHeight="1" x14ac:dyDescent="0.25">
      <c r="A19" s="262" t="str">
        <f ca="1">AW3</f>
        <v>2 / Michal Kúdela (1)</v>
      </c>
      <c r="B19" s="263"/>
      <c r="C19" s="264"/>
      <c r="D19" s="419" t="str">
        <f t="shared" ref="D19:D50" ca="1" si="27">INDEX(AV:AV,MATCH(A19,AR:AR,0))</f>
        <v>R1/R2</v>
      </c>
      <c r="E19" s="420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Stefan Sonnleitner</v>
      </c>
      <c r="X19" s="215">
        <f>IF(ISERROR(INDEX(Data!$DY:$IB,MATCH($W19,Data!$DT:$DT,0),MATCH(X$1&amp;"/"&amp;$A$2,Data!$DY$1:$IB$1,0)))=TRUE,0,INDEX(Data!$DY:$IB,MATCH($W19,Data!$DT:$DT,0),MATCH(X$1&amp;"/"&amp;$A$2,Data!$DY$1:$IB$1,0)))</f>
        <v>5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0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/R2</v>
      </c>
      <c r="AL19" s="213" t="str">
        <f t="shared" ca="1" si="6"/>
        <v/>
      </c>
      <c r="AM19" s="213" t="str">
        <f t="shared" ca="1" si="7"/>
        <v>/R1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1485M</v>
      </c>
      <c r="AR19" s="204" t="str">
        <f ca="1">IF(OFFSET($AB19,0,MATCH(A$17,AC$1:AI$1,0))=0,"",OFFSET($AB19,0,MATCH(A$17,AC$1:AI$1,0))&amp;" / "&amp;W19 &amp;" ("&amp;INDEX(Data!DX:DX,MATCH(W19,Data!DT:DT,0))&amp;")")</f>
        <v>1 / Stefan Sonnleitner (15)</v>
      </c>
      <c r="AS19" s="204">
        <f>INDEX(Data!DX:DX,MATCH(W19,Data!DT:DT,0))</f>
        <v>15</v>
      </c>
      <c r="AT19" s="204" t="str">
        <f>MID(INDEX(Data!A:A,MATCH(W19,Data!DT:DT,0)),2,5)</f>
        <v>15</v>
      </c>
      <c r="AU19" s="204" t="str">
        <f>INDEX(Data!DW:DW,MATCH(W19,Data!DT:DT,0))</f>
        <v>M</v>
      </c>
      <c r="AV19" s="204" t="str">
        <f t="shared" ca="1" si="4"/>
        <v>R2</v>
      </c>
      <c r="AW19" s="204" t="str">
        <f t="array" aca="1" ref="AW19" ca="1">INDEX($AR$3:$AR$102,MATCH(LARGE(COUNTIF($AQ$3:$AQ$102,"&lt;"&amp;$AQ$3:$AQ$102),ROWS(AQ$3:AQ19)),COUNTIF($AQ$3:$AQ$102,"&lt;"&amp;$AQ$3:$AQ$102),0))</f>
        <v/>
      </c>
    </row>
    <row r="20" spans="1:49" ht="15" customHeight="1" x14ac:dyDescent="0.25">
      <c r="A20" s="262" t="str">
        <f ca="1">AW4</f>
        <v>2 / Róbert Furka (2)</v>
      </c>
      <c r="B20" s="263"/>
      <c r="C20" s="264"/>
      <c r="D20" s="419" t="str">
        <f t="shared" ca="1" si="27"/>
        <v>R1/R2</v>
      </c>
      <c r="E20" s="420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Jakub Matejka</v>
      </c>
      <c r="X20" s="215">
        <f>IF(ISERROR(INDEX(Data!$DY:$IB,MATCH($W20,Data!$DT:$DT,0),MATCH(X$1&amp;"/"&amp;$A$2,Data!$DY$1:$IB$1,0)))=TRUE,0,INDEX(Data!$DY:$IB,MATCH($W20,Data!$DT:$DT,0),MATCH(X$1&amp;"/"&amp;$A$2,Data!$DY$1:$IB$1,0)))</f>
        <v>5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1</v>
      </c>
      <c r="AD20" s="213">
        <f t="shared" ca="1" si="11"/>
        <v>0</v>
      </c>
      <c r="AE20" s="213">
        <f t="shared" ca="1" si="11"/>
        <v>0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>/R2</v>
      </c>
      <c r="AK20" s="213" t="str">
        <f t="shared" ca="1" si="5"/>
        <v/>
      </c>
      <c r="AL20" s="213" t="str">
        <f t="shared" ca="1" si="6"/>
        <v/>
      </c>
      <c r="AM20" s="213" t="str">
        <f t="shared" ca="1" si="7"/>
        <v>/R1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30</v>
      </c>
      <c r="AT20" s="204" t="str">
        <f>MID(INDEX(Data!A:A,MATCH(W20,Data!DT:DT,0)),2,5)</f>
        <v>30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>2 / Otfried Derschmidt (5)</v>
      </c>
      <c r="B21" s="263"/>
      <c r="C21" s="264"/>
      <c r="D21" s="419" t="str">
        <f t="shared" ca="1" si="27"/>
        <v>R1/R2</v>
      </c>
      <c r="E21" s="420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Sona Švecová</v>
      </c>
      <c r="X21" s="215">
        <f>IF(ISERROR(INDEX(Data!$DY:$IB,MATCH($W21,Data!$DT:$DT,0),MATCH(X$1&amp;"/"&amp;$A$2,Data!$DY$1:$IB$1,0)))=TRUE,0,INDEX(Data!$DY:$IB,MATCH($W21,Data!$DT:$DT,0),MATCH(X$1&amp;"/"&amp;$A$2,Data!$DY$1:$IB$1,0)))</f>
        <v>4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2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3</v>
      </c>
      <c r="AT21" s="204" t="str">
        <f>MID(INDEX(Data!A:A,MATCH(W21,Data!DT:DT,0)),2,5)</f>
        <v>3</v>
      </c>
      <c r="AU21" s="204" t="str">
        <f>INDEX(Data!DW:DW,MATCH(W21,Data!DT:DT,0))</f>
        <v>W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>2 / Dinko Šimenc (7)</v>
      </c>
      <c r="B22" s="263"/>
      <c r="C22" s="264"/>
      <c r="D22" s="419" t="str">
        <f t="shared" ca="1" si="27"/>
        <v>R1/R2</v>
      </c>
      <c r="E22" s="420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Karol Hrubják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13</v>
      </c>
      <c r="AT22" s="204" t="str">
        <f>MID(INDEX(Data!A:A,MATCH(W22,Data!DT:DT,0)),2,5)</f>
        <v>14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>2 / Bálint Kazai (10)</v>
      </c>
      <c r="B23" s="263"/>
      <c r="C23" s="264"/>
      <c r="D23" s="419" t="str">
        <f t="shared" ca="1" si="27"/>
        <v>R1/R2</v>
      </c>
      <c r="E23" s="420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Lukas Froschauer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1</v>
      </c>
      <c r="AE23" s="213">
        <f t="shared" ca="1" si="11"/>
        <v>1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</v>
      </c>
      <c r="AL23" s="213" t="str">
        <f t="shared" ca="1" si="6"/>
        <v>/R2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1491M</v>
      </c>
      <c r="AR23" s="204" t="str">
        <f ca="1">IF(OFFSET($AB23,0,MATCH(A$17,AC$1:AI$1,0))=0,"",OFFSET($AB23,0,MATCH(A$17,AC$1:AI$1,0))&amp;" / "&amp;W23 &amp;" ("&amp;INDEX(Data!DX:DX,MATCH(W23,Data!DT:DT,0))&amp;")")</f>
        <v>1 / Lukas Froschauer (7)</v>
      </c>
      <c r="AS23" s="204">
        <f>INDEX(Data!DX:DX,MATCH(W23,Data!DT:DT,0))</f>
        <v>7</v>
      </c>
      <c r="AT23" s="204" t="str">
        <f>MID(INDEX(Data!A:A,MATCH(W23,Data!DT:DT,0)),2,5)</f>
        <v>9</v>
      </c>
      <c r="AU23" s="204" t="str">
        <f>INDEX(Data!DW:DW,MATCH(W23,Data!DT:DT,0))</f>
        <v>M</v>
      </c>
      <c r="AV23" s="204" t="str">
        <f t="shared" ca="1" si="4"/>
        <v>R1</v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>2 / Wolfgang Aichinger (11)</v>
      </c>
      <c r="B24" s="263"/>
      <c r="C24" s="264"/>
      <c r="D24" s="419" t="str">
        <f t="shared" ca="1" si="27"/>
        <v>R1/R2</v>
      </c>
      <c r="E24" s="420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Richard Fasching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/R1/R2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20</v>
      </c>
      <c r="AT24" s="204" t="str">
        <f>MID(INDEX(Data!A:A,MATCH(W24,Data!DT:DT,0)),2,5)</f>
        <v>20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>2 / Alexander Horvath (22)</v>
      </c>
      <c r="B25" s="263"/>
      <c r="C25" s="264"/>
      <c r="D25" s="419" t="str">
        <f t="shared" ca="1" si="27"/>
        <v>R1/R2</v>
      </c>
      <c r="E25" s="420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Reinhard Fuchs</v>
      </c>
      <c r="X25" s="215">
        <f>IF(ISERROR(INDEX(Data!$DY:$IB,MATCH($W25,Data!$DT:$DT,0),MATCH(X$1&amp;"/"&amp;$A$2,Data!$DY$1:$IB$1,0)))=TRUE,0,INDEX(Data!$DY:$IB,MATCH($W25,Data!$DT:$DT,0),MATCH(X$1&amp;"/"&amp;$A$2,Data!$DY$1:$IB$1,0)))</f>
        <v>6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1</v>
      </c>
      <c r="AF25" s="213">
        <f t="shared" ca="1" si="11"/>
        <v>0</v>
      </c>
      <c r="AG25" s="213">
        <f t="shared" ca="1" si="11"/>
        <v>1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/R2</v>
      </c>
      <c r="AM25" s="213" t="str">
        <f t="shared" ca="1" si="7"/>
        <v/>
      </c>
      <c r="AN25" s="213" t="str">
        <f t="shared" ca="1" si="8"/>
        <v>/R1</v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18</v>
      </c>
      <c r="AT25" s="204" t="str">
        <f>MID(INDEX(Data!A:A,MATCH(W25,Data!DT:DT,0)),2,5)</f>
        <v>18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>2 / Robin Binder (25)</v>
      </c>
      <c r="B26" s="263"/>
      <c r="C26" s="264"/>
      <c r="D26" s="419" t="str">
        <f t="shared" ca="1" si="27"/>
        <v>R1/R2</v>
      </c>
      <c r="E26" s="420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Anita Mayrhofer</v>
      </c>
      <c r="X26" s="215">
        <f>IF(ISERROR(INDEX(Data!$DY:$IB,MATCH($W26,Data!$DT:$DT,0),MATCH(X$1&amp;"/"&amp;$A$2,Data!$DY$1:$IB$1,0)))=TRUE,0,INDEX(Data!$DY:$IB,MATCH($W26,Data!$DT:$DT,0),MATCH(X$1&amp;"/"&amp;$A$2,Data!$DY$1:$IB$1,0)))</f>
        <v>9</v>
      </c>
      <c r="Y26" s="215">
        <f>IF(ISERROR(INDEX(Data!$DY:$IB,MATCH($W26,Data!$DT:$DT,0),MATCH(Y$1&amp;"/"&amp;$A$2,Data!$DY$1:$IB$1,0)))=TRUE,0,INDEX(Data!$DY:$IB,MATCH($W26,Data!$DT:$DT,0),MATCH(Y$1&amp;"/"&amp;$A$2,Data!$DY$1:$IB$1,0)))</f>
        <v>10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0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2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/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>/R1/R2</v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7</v>
      </c>
      <c r="AT26" s="204" t="str">
        <f>MID(INDEX(Data!A:A,MATCH(W26,Data!DT:DT,0)),2,5)</f>
        <v>7</v>
      </c>
      <c r="AU26" s="204" t="str">
        <f>INDEX(Data!DW:DW,MATCH(W26,Data!DT:DT,0))</f>
        <v>W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>1 / Mike Bischof-Horak (2)</v>
      </c>
      <c r="B27" s="263"/>
      <c r="C27" s="264"/>
      <c r="D27" s="419" t="str">
        <f t="shared" ca="1" si="27"/>
        <v>R1</v>
      </c>
      <c r="E27" s="420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Mike Bischof-Horak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5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1</v>
      </c>
      <c r="AE27" s="213">
        <f t="shared" ca="1" si="11"/>
        <v>0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</v>
      </c>
      <c r="AL27" s="213" t="str">
        <f t="shared" ca="1" si="6"/>
        <v/>
      </c>
      <c r="AM27" s="213" t="str">
        <f t="shared" ca="1" si="7"/>
        <v>/R2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1498M</v>
      </c>
      <c r="AR27" s="204" t="str">
        <f ca="1">IF(OFFSET($AB27,0,MATCH(A$17,AC$1:AI$1,0))=0,"",OFFSET($AB27,0,MATCH(A$17,AC$1:AI$1,0))&amp;" / "&amp;W27 &amp;" ("&amp;INDEX(Data!DX:DX,MATCH(W27,Data!DT:DT,0))&amp;")")</f>
        <v>1 / Mike Bischof-Horak (2)</v>
      </c>
      <c r="AS27" s="204">
        <f>INDEX(Data!DX:DX,MATCH(W27,Data!DT:DT,0))</f>
        <v>2</v>
      </c>
      <c r="AT27" s="204" t="str">
        <f>MID(INDEX(Data!A:A,MATCH(W27,Data!DT:DT,0)),2,5)</f>
        <v>2</v>
      </c>
      <c r="AU27" s="204" t="str">
        <f>INDEX(Data!DW:DW,MATCH(W27,Data!DT:DT,0))</f>
        <v>M</v>
      </c>
      <c r="AV27" s="204" t="str">
        <f t="shared" ca="1" si="4"/>
        <v>R1</v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Reinhold Schachner (2)</v>
      </c>
      <c r="B28" s="263"/>
      <c r="C28" s="264"/>
      <c r="D28" s="419" t="str">
        <f t="shared" ca="1" si="27"/>
        <v>R2</v>
      </c>
      <c r="E28" s="420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Aki Vuckovic</v>
      </c>
      <c r="X28" s="215">
        <f>IF(ISERROR(INDEX(Data!$DY:$IB,MATCH($W28,Data!$DT:$DT,0),MATCH(X$1&amp;"/"&amp;$A$2,Data!$DY$1:$IB$1,0)))=TRUE,0,INDEX(Data!$DY:$IB,MATCH($W28,Data!$DT:$DT,0),MATCH(X$1&amp;"/"&amp;$A$2,Data!$DY$1:$IB$1,0)))</f>
        <v>4</v>
      </c>
      <c r="Y28" s="215">
        <f>IF(ISERROR(INDEX(Data!$DY:$IB,MATCH($W28,Data!$DT:$DT,0),MATCH(Y$1&amp;"/"&amp;$A$2,Data!$DY$1:$IB$1,0)))=TRUE,0,INDEX(Data!$DY:$IB,MATCH($W28,Data!$DT:$DT,0),MATCH(Y$1&amp;"/"&amp;$A$2,Data!$DY$1:$IB$1,0)))</f>
        <v>5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1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</v>
      </c>
      <c r="AM28" s="213" t="str">
        <f t="shared" ca="1" si="7"/>
        <v>/R2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22</v>
      </c>
      <c r="AT28" s="204" t="str">
        <f>MID(INDEX(Data!A:A,MATCH(W28,Data!DT:DT,0)),2,5)</f>
        <v>24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Lukas Froschauer (7)</v>
      </c>
      <c r="B29" s="263"/>
      <c r="C29" s="264"/>
      <c r="D29" s="419" t="str">
        <f t="shared" ca="1" si="27"/>
        <v>R1</v>
      </c>
      <c r="E29" s="420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Christian Stepanek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2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 t="str">
        <f>INDEX(Data!DX:DX,MATCH(W29,Data!DT:DT,0))</f>
        <v>NF</v>
      </c>
      <c r="AT29" s="204" t="str">
        <f>MID(INDEX(Data!A:A,MATCH(W29,Data!DT:DT,0)),2,5)</f>
        <v>NF1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Manuel Oman (13)</v>
      </c>
      <c r="B30" s="263"/>
      <c r="C30" s="264"/>
      <c r="D30" s="419" t="str">
        <f t="shared" ca="1" si="27"/>
        <v>R2</v>
      </c>
      <c r="E30" s="420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Norbert Szabó</v>
      </c>
      <c r="X30" s="215">
        <f>IF(ISERROR(INDEX(Data!$DY:$IB,MATCH($W30,Data!$DT:$DT,0),MATCH(X$1&amp;"/"&amp;$A$2,Data!$DY$1:$IB$1,0)))=TRUE,0,INDEX(Data!$DY:$IB,MATCH($W30,Data!$DT:$DT,0),MATCH(X$1&amp;"/"&amp;$A$2,Data!$DY$1:$IB$1,0)))</f>
        <v>5</v>
      </c>
      <c r="Y30" s="215">
        <f>IF(ISERROR(INDEX(Data!$DY:$IB,MATCH($W30,Data!$DT:$DT,0),MATCH(Y$1&amp;"/"&amp;$A$2,Data!$DY$1:$IB$1,0)))=TRUE,0,INDEX(Data!$DY:$IB,MATCH($W30,Data!$DT:$DT,0),MATCH(Y$1&amp;"/"&amp;$A$2,Data!$DY$1:$IB$1,0)))</f>
        <v>5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0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/>
      </c>
      <c r="AM30" s="213" t="str">
        <f t="shared" ca="1" si="7"/>
        <v>/R1/R2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31</v>
      </c>
      <c r="AT30" s="204" t="str">
        <f>MID(INDEX(Data!A:A,MATCH(W30,Data!DT:DT,0)),2,5)</f>
        <v>31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Stefan Sonnleitner (15)</v>
      </c>
      <c r="B31" s="263"/>
      <c r="C31" s="264"/>
      <c r="D31" s="419" t="str">
        <f t="shared" ca="1" si="27"/>
        <v>R2</v>
      </c>
      <c r="E31" s="420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Peter Pichler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6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0</v>
      </c>
      <c r="AG31" s="213">
        <f t="shared" ca="1" si="11"/>
        <v>1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</v>
      </c>
      <c r="AM31" s="213" t="str">
        <f t="shared" ca="1" si="7"/>
        <v/>
      </c>
      <c r="AN31" s="213" t="str">
        <f t="shared" ca="1" si="8"/>
        <v>/R2</v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15</v>
      </c>
      <c r="AT31" s="204" t="str">
        <f>MID(INDEX(Data!A:A,MATCH(W31,Data!DT:DT,0)),2,5)</f>
        <v>16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Eric Osterwinter (NF)</v>
      </c>
      <c r="B32" s="263"/>
      <c r="C32" s="264"/>
      <c r="D32" s="419" t="str">
        <f t="shared" ca="1" si="27"/>
        <v>R1</v>
      </c>
      <c r="E32" s="420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János Kazai</v>
      </c>
      <c r="X32" s="215">
        <f>IF(ISERROR(INDEX(Data!$DY:$IB,MATCH($W32,Data!$DT:$DT,0),MATCH(X$1&amp;"/"&amp;$A$2,Data!$DY$1:$IB$1,0)))=TRUE,0,INDEX(Data!$DY:$IB,MATCH($W32,Data!$DT:$DT,0),MATCH(X$1&amp;"/"&amp;$A$2,Data!$DY$1:$IB$1,0)))</f>
        <v>4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2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/R1/R2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29</v>
      </c>
      <c r="AT32" s="204" t="str">
        <f>MID(INDEX(Data!A:A,MATCH(W32,Data!DT:DT,0)),2,5)</f>
        <v>29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/>
      </c>
      <c r="B33" s="263"/>
      <c r="C33" s="264"/>
      <c r="D33" s="419" t="str">
        <f t="shared" ca="1" si="27"/>
        <v/>
      </c>
      <c r="E33" s="420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Péter Kiss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4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2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/R1/R2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31</v>
      </c>
      <c r="AT33" s="204" t="str">
        <f>MID(INDEX(Data!A:A,MATCH(W33,Data!DT:DT,0)),2,5)</f>
        <v>32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/>
      </c>
      <c r="B34" s="263"/>
      <c r="C34" s="264"/>
      <c r="D34" s="419" t="str">
        <f t="shared" ca="1" si="27"/>
        <v/>
      </c>
      <c r="E34" s="420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Andreas Fadinger</v>
      </c>
      <c r="X34" s="215">
        <f>IF(ISERROR(INDEX(Data!$DY:$IB,MATCH($W34,Data!$DT:$DT,0),MATCH(X$1&amp;"/"&amp;$A$2,Data!$DY$1:$IB$1,0)))=TRUE,0,INDEX(Data!$DY:$IB,MATCH($W34,Data!$DT:$DT,0),MATCH(X$1&amp;"/"&amp;$A$2,Data!$DY$1:$IB$1,0)))</f>
        <v>6</v>
      </c>
      <c r="Y34" s="215">
        <f>IF(ISERROR(INDEX(Data!$DY:$IB,MATCH($W34,Data!$DT:$DT,0),MATCH(Y$1&amp;"/"&amp;$A$2,Data!$DY$1:$IB$1,0)))=TRUE,0,INDEX(Data!$DY:$IB,MATCH($W34,Data!$DT:$DT,0),MATCH(Y$1&amp;"/"&amp;$A$2,Data!$DY$1:$IB$1,0)))</f>
        <v>5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0</v>
      </c>
      <c r="AF34" s="213">
        <f t="shared" ca="1" si="11"/>
        <v>1</v>
      </c>
      <c r="AG34" s="213">
        <f t="shared" ca="1" si="11"/>
        <v>1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/>
      </c>
      <c r="AM34" s="213" t="str">
        <f t="shared" ca="1" si="7"/>
        <v>/R2</v>
      </c>
      <c r="AN34" s="213" t="str">
        <f t="shared" ca="1" si="8"/>
        <v>/R1</v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28</v>
      </c>
      <c r="AT34" s="204" t="str">
        <f>MID(INDEX(Data!A:A,MATCH(W34,Data!DT:DT,0)),2,5)</f>
        <v>28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/>
      </c>
      <c r="B35" s="263"/>
      <c r="C35" s="264"/>
      <c r="D35" s="419" t="str">
        <f t="shared" ca="1" si="27"/>
        <v/>
      </c>
      <c r="E35" s="420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Wolfgang Aichinger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2</v>
      </c>
      <c r="AE35" s="213">
        <f t="shared" ca="1" si="11"/>
        <v>0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/R1/R2</v>
      </c>
      <c r="AL35" s="213" t="str">
        <f t="shared" ca="1" si="6"/>
        <v/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2489M</v>
      </c>
      <c r="AR35" s="204" t="str">
        <f ca="1">IF(OFFSET($AB35,0,MATCH(A$17,AC$1:AI$1,0))=0,"",OFFSET($AB35,0,MATCH(A$17,AC$1:AI$1,0))&amp;" / "&amp;W35 &amp;" ("&amp;INDEX(Data!DX:DX,MATCH(W35,Data!DT:DT,0))&amp;")")</f>
        <v>2 / Wolfgang Aichinger (11)</v>
      </c>
      <c r="AS35" s="204">
        <f>INDEX(Data!DX:DX,MATCH(W35,Data!DT:DT,0))</f>
        <v>11</v>
      </c>
      <c r="AT35" s="204" t="str">
        <f>MID(INDEX(Data!A:A,MATCH(W35,Data!DT:DT,0)),2,5)</f>
        <v>11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R1/R2</v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419" t="str">
        <f t="shared" ca="1" si="27"/>
        <v/>
      </c>
      <c r="E36" s="420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Daniel Wilging</v>
      </c>
      <c r="X36" s="215">
        <f>IF(ISERROR(INDEX(Data!$DY:$IB,MATCH($W36,Data!$DT:$DT,0),MATCH(X$1&amp;"/"&amp;$A$2,Data!$DY$1:$IB$1,0)))=TRUE,0,INDEX(Data!$DY:$IB,MATCH($W36,Data!$DT:$DT,0),MATCH(X$1&amp;"/"&amp;$A$2,Data!$DY$1:$IB$1,0)))</f>
        <v>5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/R2</v>
      </c>
      <c r="AM36" s="213" t="str">
        <f t="shared" ref="AM36:AM67" ca="1" si="33">IF(AF36=0,"",IF($X36=AF$2,"/R1","")&amp;IF($Y36=AF$2,"/R2","")&amp;IF($Z36=AF$2,"/R3","")&amp;IF($AA36=AF$2,"/F","")&amp;IF($AB36=AF$2,"/PO",""))</f>
        <v>/R1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18</v>
      </c>
      <c r="AT36" s="204" t="str">
        <f>MID(INDEX(Data!A:A,MATCH(W36,Data!DT:DT,0)),2,5)</f>
        <v>19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419" t="str">
        <f t="shared" ca="1" si="27"/>
        <v/>
      </c>
      <c r="E37" s="420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Magda Kiss</v>
      </c>
      <c r="X37" s="215">
        <f>IF(ISERROR(INDEX(Data!$DY:$IB,MATCH($W37,Data!$DT:$DT,0),MATCH(X$1&amp;"/"&amp;$A$2,Data!$DY$1:$IB$1,0)))=TRUE,0,INDEX(Data!$DY:$IB,MATCH($W37,Data!$DT:$DT,0),MATCH(X$1&amp;"/"&amp;$A$2,Data!$DY$1:$IB$1,0)))</f>
        <v>6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0</v>
      </c>
      <c r="AG37" s="213">
        <f t="shared" ca="1" si="11"/>
        <v>1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/R2</v>
      </c>
      <c r="AM37" s="213" t="str">
        <f t="shared" ca="1" si="33"/>
        <v/>
      </c>
      <c r="AN37" s="213" t="str">
        <f t="shared" ca="1" si="34"/>
        <v>/R1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5</v>
      </c>
      <c r="AT37" s="204" t="str">
        <f>MID(INDEX(Data!A:A,MATCH(W37,Data!DT:DT,0)),2,5)</f>
        <v>5</v>
      </c>
      <c r="AU37" s="204" t="str">
        <f>INDEX(Data!DW:DW,MATCH(W37,Data!DT:DT,0))</f>
        <v>W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419" t="str">
        <f t="shared" ca="1" si="27"/>
        <v/>
      </c>
      <c r="E38" s="420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Andreas Walter</v>
      </c>
      <c r="X38" s="215">
        <f>IF(ISERROR(INDEX(Data!$DY:$IB,MATCH($W38,Data!$DT:$DT,0),MATCH(X$1&amp;"/"&amp;$A$2,Data!$DY$1:$IB$1,0)))=TRUE,0,INDEX(Data!$DY:$IB,MATCH($W38,Data!$DT:$DT,0),MATCH(X$1&amp;"/"&amp;$A$2,Data!$DY$1:$IB$1,0)))</f>
        <v>4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/R1/R2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25</v>
      </c>
      <c r="AT38" s="204" t="str">
        <f>MID(INDEX(Data!A:A,MATCH(W38,Data!DT:DT,0)),2,5)</f>
        <v>26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419" t="str">
        <f t="shared" ca="1" si="27"/>
        <v/>
      </c>
      <c r="E39" s="420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Reinhold Schachner</v>
      </c>
      <c r="X39" s="215">
        <f>IF(ISERROR(INDEX(Data!$DY:$IB,MATCH($W39,Data!$DT:$DT,0),MATCH(X$1&amp;"/"&amp;$A$2,Data!$DY$1:$IB$1,0)))=TRUE,0,INDEX(Data!$DY:$IB,MATCH($W39,Data!$DT:$DT,0),MATCH(X$1&amp;"/"&amp;$A$2,Data!$DY$1:$IB$1,0)))</f>
        <v>5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0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/R2</v>
      </c>
      <c r="AL39" s="213" t="str">
        <f t="shared" ca="1" si="6"/>
        <v/>
      </c>
      <c r="AM39" s="213" t="str">
        <f t="shared" ca="1" si="33"/>
        <v>/R1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1497M</v>
      </c>
      <c r="AR39" s="204" t="str">
        <f ca="1">IF(OFFSET($AB39,0,MATCH(A$17,AC$1:AI$1,0))=0,"",OFFSET($AB39,0,MATCH(A$17,AC$1:AI$1,0))&amp;" / "&amp;W39 &amp;" ("&amp;INDEX(Data!DX:DX,MATCH(W39,Data!DT:DT,0))&amp;")")</f>
        <v>1 / Reinhold Schachner (2)</v>
      </c>
      <c r="AS39" s="204">
        <f>INDEX(Data!DX:DX,MATCH(W39,Data!DT:DT,0))</f>
        <v>2</v>
      </c>
      <c r="AT39" s="204" t="str">
        <f>MID(INDEX(Data!A:A,MATCH(W39,Data!DT:DT,0)),2,5)</f>
        <v>3</v>
      </c>
      <c r="AU39" s="204" t="str">
        <f>INDEX(Data!DW:DW,MATCH(W39,Data!DT:DT,0))</f>
        <v>M</v>
      </c>
      <c r="AV39" s="204" t="str">
        <f t="shared" ca="1" si="31"/>
        <v>R2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419" t="str">
        <f t="shared" ca="1" si="27"/>
        <v/>
      </c>
      <c r="E40" s="420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Alois Obernberger</v>
      </c>
      <c r="X40" s="215">
        <f>IF(ISERROR(INDEX(Data!$DY:$IB,MATCH($W40,Data!$DT:$DT,0),MATCH(X$1&amp;"/"&amp;$A$2,Data!$DY$1:$IB$1,0)))=TRUE,0,INDEX(Data!$DY:$IB,MATCH($W40,Data!$DT:$DT,0),MATCH(X$1&amp;"/"&amp;$A$2,Data!$DY$1:$IB$1,0)))</f>
        <v>0</v>
      </c>
      <c r="Y40" s="215">
        <f>IF(ISERROR(INDEX(Data!$DY:$IB,MATCH($W40,Data!$DT:$DT,0),MATCH(Y$1&amp;"/"&amp;$A$2,Data!$DY$1:$IB$1,0)))=TRUE,0,INDEX(Data!$DY:$IB,MATCH($W40,Data!$DT:$DT,0),MATCH(Y$1&amp;"/"&amp;$A$2,Data!$DY$1:$IB$1,0)))</f>
        <v>0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0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/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 t="str">
        <f>INDEX(Data!DX:DX,MATCH(W40,Data!DT:DT,0))</f>
        <v>NF</v>
      </c>
      <c r="AT40" s="204" t="str">
        <f>MID(INDEX(Data!A:A,MATCH(W40,Data!DT:DT,0)),2,5)</f>
        <v>NF2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419" t="str">
        <f t="shared" ca="1" si="27"/>
        <v/>
      </c>
      <c r="E41" s="420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Martin Mozola</v>
      </c>
      <c r="X41" s="215">
        <f>IF(ISERROR(INDEX(Data!$DY:$IB,MATCH($W41,Data!$DT:$DT,0),MATCH(X$1&amp;"/"&amp;$A$2,Data!$DY$1:$IB$1,0)))=TRUE,0,INDEX(Data!$DY:$IB,MATCH($W41,Data!$DT:$DT,0),MATCH(X$1&amp;"/"&amp;$A$2,Data!$DY$1:$IB$1,0)))</f>
        <v>8</v>
      </c>
      <c r="Y41" s="215">
        <f>IF(ISERROR(INDEX(Data!$DY:$IB,MATCH($W41,Data!$DT:$DT,0),MATCH(Y$1&amp;"/"&amp;$A$2,Data!$DY$1:$IB$1,0)))=TRUE,0,INDEX(Data!$DY:$IB,MATCH($W41,Data!$DT:$DT,0),MATCH(Y$1&amp;"/"&amp;$A$2,Data!$DY$1:$IB$1,0)))</f>
        <v>7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0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1</v>
      </c>
      <c r="AI41" s="213">
        <f t="shared" ca="1" si="12"/>
        <v>1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/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>/R2</v>
      </c>
      <c r="AP41" s="213" t="str">
        <f t="shared" ca="1" si="30"/>
        <v>/R1</v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40</v>
      </c>
      <c r="AT41" s="204" t="str">
        <f>MID(INDEX(Data!A:A,MATCH(W41,Data!DT:DT,0)),2,5)</f>
        <v>40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19" t="str">
        <f t="shared" ca="1" si="27"/>
        <v/>
      </c>
      <c r="E42" s="420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Róbert Furka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2</v>
      </c>
      <c r="AE42" s="213">
        <f t="shared" ca="1" si="36"/>
        <v>0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/R1/R2</v>
      </c>
      <c r="AL42" s="213" t="str">
        <f t="shared" ca="1" si="6"/>
        <v/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2496M</v>
      </c>
      <c r="AR42" s="204" t="str">
        <f ca="1">IF(OFFSET($AB42,0,MATCH(A$17,AC$1:AI$1,0))=0,"",OFFSET($AB42,0,MATCH(A$17,AC$1:AI$1,0))&amp;" / "&amp;W42 &amp;" ("&amp;INDEX(Data!DX:DX,MATCH(W42,Data!DT:DT,0))&amp;")")</f>
        <v>2 / Róbert Furka (2)</v>
      </c>
      <c r="AS42" s="204">
        <f>INDEX(Data!DX:DX,MATCH(W42,Data!DT:DT,0))</f>
        <v>2</v>
      </c>
      <c r="AT42" s="204" t="str">
        <f>MID(INDEX(Data!A:A,MATCH(W42,Data!DT:DT,0)),2,5)</f>
        <v>4</v>
      </c>
      <c r="AU42" s="204" t="str">
        <f>INDEX(Data!DW:DW,MATCH(W42,Data!DT:DT,0))</f>
        <v>M</v>
      </c>
      <c r="AV42" s="204" t="str">
        <f t="shared" ca="1" si="31"/>
        <v>R1/R2</v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19" t="str">
        <f t="shared" ca="1" si="27"/>
        <v/>
      </c>
      <c r="E43" s="420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Benny Zalán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0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/R1/R2</v>
      </c>
      <c r="AM43" s="213" t="str">
        <f t="shared" ca="1" si="33"/>
        <v/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20</v>
      </c>
      <c r="AT43" s="204" t="str">
        <f>MID(INDEX(Data!A:A,MATCH(W43,Data!DT:DT,0)),2,5)</f>
        <v>21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19" t="str">
        <f t="shared" ca="1" si="27"/>
        <v/>
      </c>
      <c r="E44" s="420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Gerald Froschauer</v>
      </c>
      <c r="X44" s="215">
        <f>IF(ISERROR(INDEX(Data!$DY:$IB,MATCH($W44,Data!$DT:$DT,0),MATCH(X$1&amp;"/"&amp;$A$2,Data!$DY$1:$IB$1,0)))=TRUE,0,INDEX(Data!$DY:$IB,MATCH($W44,Data!$DT:$DT,0),MATCH(X$1&amp;"/"&amp;$A$2,Data!$DY$1:$IB$1,0)))</f>
        <v>6</v>
      </c>
      <c r="Y44" s="215">
        <f>IF(ISERROR(INDEX(Data!$DY:$IB,MATCH($W44,Data!$DT:$DT,0),MATCH(Y$1&amp;"/"&amp;$A$2,Data!$DY$1:$IB$1,0)))=TRUE,0,INDEX(Data!$DY:$IB,MATCH($W44,Data!$DT:$DT,0),MATCH(Y$1&amp;"/"&amp;$A$2,Data!$DY$1:$IB$1,0)))</f>
        <v>7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0</v>
      </c>
      <c r="AF44" s="213">
        <f t="shared" ca="1" si="36"/>
        <v>0</v>
      </c>
      <c r="AG44" s="213">
        <f t="shared" ca="1" si="36"/>
        <v>1</v>
      </c>
      <c r="AH44" s="213">
        <f t="shared" ca="1" si="36"/>
        <v>1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/>
      </c>
      <c r="AM44" s="213" t="str">
        <f t="shared" ca="1" si="33"/>
        <v/>
      </c>
      <c r="AN44" s="213" t="str">
        <f t="shared" ca="1" si="34"/>
        <v>/R1</v>
      </c>
      <c r="AO44" s="213" t="str">
        <f t="shared" ca="1" si="35"/>
        <v>/R2</v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36</v>
      </c>
      <c r="AT44" s="204" t="str">
        <f>MID(INDEX(Data!A:A,MATCH(W44,Data!DT:DT,0)),2,5)</f>
        <v>36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19" t="str">
        <f t="shared" ca="1" si="27"/>
        <v/>
      </c>
      <c r="E45" s="420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Barnabas Józsa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11</v>
      </c>
      <c r="AT45" s="204" t="str">
        <f>MID(INDEX(Data!A:A,MATCH(W45,Data!DT:DT,0)),2,5)</f>
        <v>12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19" t="str">
        <f t="shared" ca="1" si="27"/>
        <v/>
      </c>
      <c r="E46" s="420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Peter Mayrhofer</v>
      </c>
      <c r="X46" s="215">
        <f>IF(ISERROR(INDEX(Data!$DY:$IB,MATCH($W46,Data!$DT:$DT,0),MATCH(X$1&amp;"/"&amp;$A$2,Data!$DY$1:$IB$1,0)))=TRUE,0,INDEX(Data!$DY:$IB,MATCH($W46,Data!$DT:$DT,0),MATCH(X$1&amp;"/"&amp;$A$2,Data!$DY$1:$IB$1,0)))</f>
        <v>6</v>
      </c>
      <c r="Y46" s="215">
        <f>IF(ISERROR(INDEX(Data!$DY:$IB,MATCH($W46,Data!$DT:$DT,0),MATCH(Y$1&amp;"/"&amp;$A$2,Data!$DY$1:$IB$1,0)))=TRUE,0,INDEX(Data!$DY:$IB,MATCH($W46,Data!$DT:$DT,0),MATCH(Y$1&amp;"/"&amp;$A$2,Data!$DY$1:$IB$1,0)))</f>
        <v>7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0</v>
      </c>
      <c r="AG46" s="213">
        <f t="shared" ca="1" si="36"/>
        <v>1</v>
      </c>
      <c r="AH46" s="213">
        <f t="shared" ca="1" si="36"/>
        <v>1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/>
      </c>
      <c r="AN46" s="213" t="str">
        <f t="shared" ca="1" si="34"/>
        <v>/R1</v>
      </c>
      <c r="AO46" s="213" t="str">
        <f t="shared" ca="1" si="35"/>
        <v>/R2</v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37</v>
      </c>
      <c r="AT46" s="204" t="str">
        <f>MID(INDEX(Data!A:A,MATCH(W46,Data!DT:DT,0)),2,5)</f>
        <v>37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19" t="str">
        <f t="shared" ca="1" si="27"/>
        <v/>
      </c>
      <c r="E47" s="420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Daniel Mayrhofer</v>
      </c>
      <c r="X47" s="215">
        <f>IF(ISERROR(INDEX(Data!$DY:$IB,MATCH($W47,Data!$DT:$DT,0),MATCH(X$1&amp;"/"&amp;$A$2,Data!$DY$1:$IB$1,0)))=TRUE,0,INDEX(Data!$DY:$IB,MATCH($W47,Data!$DT:$DT,0),MATCH(X$1&amp;"/"&amp;$A$2,Data!$DY$1:$IB$1,0)))</f>
        <v>5</v>
      </c>
      <c r="Y47" s="215">
        <f>IF(ISERROR(INDEX(Data!$DY:$IB,MATCH($W47,Data!$DT:$DT,0),MATCH(Y$1&amp;"/"&amp;$A$2,Data!$DY$1:$IB$1,0)))=TRUE,0,INDEX(Data!$DY:$IB,MATCH($W47,Data!$DT:$DT,0),MATCH(Y$1&amp;"/"&amp;$A$2,Data!$DY$1:$IB$1,0)))</f>
        <v>7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1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>/R1</v>
      </c>
      <c r="AN47" s="213" t="str">
        <f t="shared" ca="1" si="34"/>
        <v/>
      </c>
      <c r="AO47" s="213" t="str">
        <f t="shared" ca="1" si="35"/>
        <v>/R2</v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39</v>
      </c>
      <c r="AT47" s="204" t="str">
        <f>MID(INDEX(Data!A:A,MATCH(W47,Data!DT:DT,0)),2,5)</f>
        <v>39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19" t="str">
        <f t="shared" ca="1" si="27"/>
        <v/>
      </c>
      <c r="E48" s="420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Laurenz Schaurhofer</v>
      </c>
      <c r="X48" s="215">
        <f>IF(ISERROR(INDEX(Data!$DY:$IB,MATCH($W48,Data!$DT:$DT,0),MATCH(X$1&amp;"/"&amp;$A$2,Data!$DY$1:$IB$1,0)))=TRUE,0,INDEX(Data!$DY:$IB,MATCH($W48,Data!$DT:$DT,0),MATCH(X$1&amp;"/"&amp;$A$2,Data!$DY$1:$IB$1,0)))</f>
        <v>5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1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/R2</v>
      </c>
      <c r="AM48" s="213" t="str">
        <f t="shared" ca="1" si="33"/>
        <v>/R1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17</v>
      </c>
      <c r="AT48" s="204" t="str">
        <f>MID(INDEX(Data!A:A,MATCH(W48,Data!DT:DT,0)),2,5)</f>
        <v>17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19" t="str">
        <f t="shared" ca="1" si="27"/>
        <v/>
      </c>
      <c r="E49" s="420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Stefan Brunner</v>
      </c>
      <c r="X49" s="215">
        <f>IF(ISERROR(INDEX(Data!$DY:$IB,MATCH($W49,Data!$DT:$DT,0),MATCH(X$1&amp;"/"&amp;$A$2,Data!$DY$1:$IB$1,0)))=TRUE,0,INDEX(Data!$DY:$IB,MATCH($W49,Data!$DT:$DT,0),MATCH(X$1&amp;"/"&amp;$A$2,Data!$DY$1:$IB$1,0)))</f>
        <v>0</v>
      </c>
      <c r="Y49" s="215">
        <f>IF(ISERROR(INDEX(Data!$DY:$IB,MATCH($W49,Data!$DT:$DT,0),MATCH(Y$1&amp;"/"&amp;$A$2,Data!$DY$1:$IB$1,0)))=TRUE,0,INDEX(Data!$DY:$IB,MATCH($W49,Data!$DT:$DT,0),MATCH(Y$1&amp;"/"&amp;$A$2,Data!$DY$1:$IB$1,0)))</f>
        <v>0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 t="str">
        <f>INDEX(Data!DX:DX,MATCH(W49,Data!DT:DT,0))</f>
        <v>NF</v>
      </c>
      <c r="AT49" s="204" t="str">
        <f>MID(INDEX(Data!A:A,MATCH(W49,Data!DT:DT,0)),2,5)</f>
        <v>NF3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19" t="str">
        <f t="shared" ca="1" si="27"/>
        <v/>
      </c>
      <c r="E50" s="420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Veronika Tóth</v>
      </c>
      <c r="X50" s="215">
        <f>IF(ISERROR(INDEX(Data!$DY:$IB,MATCH($W50,Data!$DT:$DT,0),MATCH(X$1&amp;"/"&amp;$A$2,Data!$DY$1:$IB$1,0)))=TRUE,0,INDEX(Data!$DY:$IB,MATCH($W50,Data!$DT:$DT,0),MATCH(X$1&amp;"/"&amp;$A$2,Data!$DY$1:$IB$1,0)))</f>
        <v>6</v>
      </c>
      <c r="Y50" s="215">
        <f>IF(ISERROR(INDEX(Data!$DY:$IB,MATCH($W50,Data!$DT:$DT,0),MATCH(Y$1&amp;"/"&amp;$A$2,Data!$DY$1:$IB$1,0)))=TRUE,0,INDEX(Data!$DY:$IB,MATCH($W50,Data!$DT:$DT,0),MATCH(Y$1&amp;"/"&amp;$A$2,Data!$DY$1:$IB$1,0)))</f>
        <v>8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1</v>
      </c>
      <c r="AH50" s="213">
        <f t="shared" ca="1" si="36"/>
        <v>0</v>
      </c>
      <c r="AI50" s="213">
        <f t="shared" ca="1" si="12"/>
        <v>1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>/R1</v>
      </c>
      <c r="AO50" s="213" t="str">
        <f t="shared" ca="1" si="35"/>
        <v/>
      </c>
      <c r="AP50" s="213" t="str">
        <f t="shared" ca="1" si="30"/>
        <v>/R2</v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</v>
      </c>
      <c r="AT50" s="204" t="str">
        <f>MID(INDEX(Data!A:A,MATCH(W50,Data!DT:DT,0)),2,5)</f>
        <v>4</v>
      </c>
      <c r="AU50" s="204" t="str">
        <f>INDEX(Data!DW:DW,MATCH(W50,Data!DT:DT,0))</f>
        <v>W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19" t="str">
        <f t="shared" ref="D51:D82" ca="1" si="37">INDEX(AV:AV,MATCH(A51,AR:AR,0))</f>
        <v/>
      </c>
      <c r="E51" s="420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Robin Binder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2</v>
      </c>
      <c r="AE51" s="213">
        <f t="shared" ca="1" si="36"/>
        <v>0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>/R1/R2</v>
      </c>
      <c r="AL51" s="213" t="str">
        <f t="shared" ca="1" si="6"/>
        <v/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>2473M</v>
      </c>
      <c r="AR51" s="204" t="str">
        <f ca="1">IF(OFFSET($AB51,0,MATCH(A$17,AC$1:AI$1,0))=0,"",OFFSET($AB51,0,MATCH(A$17,AC$1:AI$1,0))&amp;" / "&amp;W51 &amp;" ("&amp;INDEX(Data!DX:DX,MATCH(W51,Data!DT:DT,0))&amp;")")</f>
        <v>2 / Robin Binder (25)</v>
      </c>
      <c r="AS51" s="204">
        <f>INDEX(Data!DX:DX,MATCH(W51,Data!DT:DT,0))</f>
        <v>25</v>
      </c>
      <c r="AT51" s="204" t="str">
        <f>MID(INDEX(Data!A:A,MATCH(W51,Data!DT:DT,0)),2,5)</f>
        <v>27</v>
      </c>
      <c r="AU51" s="204" t="str">
        <f>INDEX(Data!DW:DW,MATCH(W51,Data!DT:DT,0))</f>
        <v>M</v>
      </c>
      <c r="AV51" s="204" t="str">
        <f t="shared" ca="1" si="31"/>
        <v>R1/R2</v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19" t="str">
        <f t="shared" ca="1" si="37"/>
        <v/>
      </c>
      <c r="E52" s="420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Jonas Neulinger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2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/R1/R2</v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6</v>
      </c>
      <c r="AT52" s="204" t="str">
        <f>MID(INDEX(Data!A:A,MATCH(W52,Data!DT:DT,0)),2,5)</f>
        <v>6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19" t="str">
        <f t="shared" ca="1" si="37"/>
        <v/>
      </c>
      <c r="E53" s="420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Andreas Neulinger</v>
      </c>
      <c r="X53" s="215">
        <f>IF(ISERROR(INDEX(Data!$DY:$IB,MATCH($W53,Data!$DT:$DT,0),MATCH(X$1&amp;"/"&amp;$A$2,Data!$DY$1:$IB$1,0)))=TRUE,0,INDEX(Data!$DY:$IB,MATCH($W53,Data!$DT:$DT,0),MATCH(X$1&amp;"/"&amp;$A$2,Data!$DY$1:$IB$1,0)))</f>
        <v>5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1</v>
      </c>
      <c r="AF53" s="213">
        <f t="shared" ca="1" si="36"/>
        <v>1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/R2</v>
      </c>
      <c r="AM53" s="213" t="str">
        <f t="shared" ca="1" si="33"/>
        <v>/R1</v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35</v>
      </c>
      <c r="AT53" s="204" t="str">
        <f>MID(INDEX(Data!A:A,MATCH(W53,Data!DT:DT,0)),2,5)</f>
        <v>35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19" t="str">
        <f t="shared" ca="1" si="37"/>
        <v/>
      </c>
      <c r="E54" s="420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>
        <f>Data!DT142</f>
        <v>0</v>
      </c>
      <c r="X54" s="215">
        <f>IF(ISERROR(INDEX(Data!$DY:$IB,MATCH($W54,Data!$DT:$DT,0),MATCH(X$1&amp;"/"&amp;$A$2,Data!$DY$1:$IB$1,0)))=TRUE,0,INDEX(Data!$DY:$IB,MATCH($W54,Data!$DT:$DT,0),MATCH(X$1&amp;"/"&amp;$A$2,Data!$DY$1:$IB$1,0)))</f>
        <v>0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e">
        <f>INDEX(Data!DX:DX,MATCH(W54,Data!DT:DT,0))</f>
        <v>#N/A</v>
      </c>
      <c r="AT54" s="204" t="e">
        <f>MID(INDEX(Data!A:A,MATCH(W54,Data!DT:DT,0)),2,5)</f>
        <v>#N/A</v>
      </c>
      <c r="AU54" s="204" t="e">
        <f>INDEX(Data!DW:DW,MATCH(W54,Data!DT:DT,0))</f>
        <v>#N/A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19" t="str">
        <f t="shared" ca="1" si="37"/>
        <v/>
      </c>
      <c r="E55" s="420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19" t="str">
        <f t="shared" ca="1" si="37"/>
        <v/>
      </c>
      <c r="E56" s="420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19" t="str">
        <f t="shared" ca="1" si="37"/>
        <v/>
      </c>
      <c r="E57" s="420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19" t="str">
        <f t="shared" ca="1" si="37"/>
        <v/>
      </c>
      <c r="E58" s="420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19" t="str">
        <f t="shared" ca="1" si="37"/>
        <v/>
      </c>
      <c r="E59" s="420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19" t="str">
        <f t="shared" ca="1" si="37"/>
        <v/>
      </c>
      <c r="E60" s="420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19" t="str">
        <f t="shared" ca="1" si="37"/>
        <v/>
      </c>
      <c r="E61" s="420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19" t="str">
        <f t="shared" ca="1" si="37"/>
        <v/>
      </c>
      <c r="E62" s="420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19" t="str">
        <f t="shared" ca="1" si="37"/>
        <v/>
      </c>
      <c r="E63" s="420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19" t="str">
        <f t="shared" ca="1" si="37"/>
        <v/>
      </c>
      <c r="E64" s="420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19" t="str">
        <f t="shared" ca="1" si="37"/>
        <v/>
      </c>
      <c r="E65" s="420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19" t="str">
        <f t="shared" ca="1" si="37"/>
        <v/>
      </c>
      <c r="E66" s="420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19" t="str">
        <f t="shared" ca="1" si="37"/>
        <v/>
      </c>
      <c r="E67" s="420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19" t="str">
        <f t="shared" ca="1" si="37"/>
        <v/>
      </c>
      <c r="E68" s="420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19" t="str">
        <f t="shared" ca="1" si="37"/>
        <v/>
      </c>
      <c r="E69" s="420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19" t="str">
        <f t="shared" ca="1" si="37"/>
        <v/>
      </c>
      <c r="E70" s="420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19" t="str">
        <f t="shared" ca="1" si="37"/>
        <v/>
      </c>
      <c r="E71" s="420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19" t="str">
        <f t="shared" ca="1" si="37"/>
        <v/>
      </c>
      <c r="E72" s="420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19" t="str">
        <f t="shared" ca="1" si="37"/>
        <v/>
      </c>
      <c r="E73" s="420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19" t="str">
        <f t="shared" ca="1" si="37"/>
        <v/>
      </c>
      <c r="E74" s="420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19" t="str">
        <f t="shared" ca="1" si="37"/>
        <v/>
      </c>
      <c r="E75" s="420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19" t="str">
        <f t="shared" ca="1" si="37"/>
        <v/>
      </c>
      <c r="E76" s="420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19" t="str">
        <f t="shared" ca="1" si="37"/>
        <v/>
      </c>
      <c r="E77" s="420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19" t="str">
        <f t="shared" ca="1" si="37"/>
        <v/>
      </c>
      <c r="E78" s="420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19" t="str">
        <f t="shared" ca="1" si="37"/>
        <v/>
      </c>
      <c r="E79" s="420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19" t="str">
        <f t="shared" ca="1" si="37"/>
        <v/>
      </c>
      <c r="E80" s="420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19" t="str">
        <f t="shared" ca="1" si="37"/>
        <v/>
      </c>
      <c r="E81" s="420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19" t="str">
        <f t="shared" ca="1" si="37"/>
        <v/>
      </c>
      <c r="E82" s="420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19" t="str">
        <f t="shared" ref="D83:D98" ca="1" si="49">INDEX(AV:AV,MATCH(A83,AR:AR,0))</f>
        <v/>
      </c>
      <c r="E83" s="420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19" t="str">
        <f t="shared" ca="1" si="49"/>
        <v/>
      </c>
      <c r="E84" s="420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19" t="str">
        <f t="shared" ca="1" si="49"/>
        <v/>
      </c>
      <c r="E85" s="420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19" t="str">
        <f t="shared" ca="1" si="49"/>
        <v/>
      </c>
      <c r="E86" s="420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19" t="str">
        <f t="shared" ca="1" si="49"/>
        <v/>
      </c>
      <c r="E87" s="420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19" t="str">
        <f t="shared" ca="1" si="49"/>
        <v/>
      </c>
      <c r="E88" s="420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19" t="str">
        <f t="shared" ca="1" si="49"/>
        <v/>
      </c>
      <c r="E89" s="420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19" t="str">
        <f t="shared" ca="1" si="49"/>
        <v/>
      </c>
      <c r="E90" s="420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19" t="str">
        <f t="shared" ca="1" si="49"/>
        <v/>
      </c>
      <c r="E91" s="420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19" t="str">
        <f t="shared" ca="1" si="49"/>
        <v/>
      </c>
      <c r="E92" s="420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19" t="str">
        <f t="shared" ca="1" si="49"/>
        <v/>
      </c>
      <c r="E93" s="420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19" t="str">
        <f t="shared" ca="1" si="49"/>
        <v/>
      </c>
      <c r="E94" s="420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19" t="str">
        <f t="shared" ca="1" si="49"/>
        <v/>
      </c>
      <c r="E95" s="420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19" t="str">
        <f t="shared" ca="1" si="49"/>
        <v/>
      </c>
      <c r="E96" s="420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19" t="str">
        <f t="shared" ca="1" si="49"/>
        <v/>
      </c>
      <c r="E97" s="420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31" t="str">
        <f t="shared" ca="1" si="49"/>
        <v/>
      </c>
      <c r="E98" s="432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33" t="s">
        <v>26</v>
      </c>
      <c r="C1" s="434"/>
      <c r="D1" s="433" t="s">
        <v>27</v>
      </c>
      <c r="E1" s="434"/>
      <c r="F1" s="433" t="s">
        <v>28</v>
      </c>
      <c r="G1" s="434"/>
      <c r="H1" s="433" t="s">
        <v>29</v>
      </c>
      <c r="I1" s="434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300</v>
      </c>
      <c r="B2" s="304">
        <v>16</v>
      </c>
      <c r="C2" s="305">
        <v>56</v>
      </c>
      <c r="D2" s="306">
        <v>16</v>
      </c>
      <c r="E2" s="307">
        <v>56</v>
      </c>
      <c r="F2" s="304">
        <v>0</v>
      </c>
      <c r="G2" s="307">
        <v>0</v>
      </c>
      <c r="H2" s="304">
        <v>0</v>
      </c>
      <c r="I2" s="307">
        <v>0</v>
      </c>
    </row>
    <row r="3" spans="1:26" x14ac:dyDescent="0.25">
      <c r="A3" s="303" t="s">
        <v>308</v>
      </c>
      <c r="B3" s="310"/>
      <c r="C3" s="309"/>
      <c r="D3" s="311">
        <v>20</v>
      </c>
      <c r="E3" s="312">
        <v>24</v>
      </c>
      <c r="F3" s="311">
        <v>0</v>
      </c>
      <c r="G3" s="305">
        <v>0</v>
      </c>
      <c r="H3" s="369">
        <v>0</v>
      </c>
      <c r="I3" s="309">
        <v>0</v>
      </c>
    </row>
    <row r="4" spans="1:26" x14ac:dyDescent="0.25">
      <c r="A4" s="303" t="s">
        <v>301</v>
      </c>
      <c r="B4" s="310"/>
      <c r="C4" s="309"/>
      <c r="D4" s="435" t="s">
        <v>865</v>
      </c>
      <c r="E4" s="436"/>
      <c r="F4" s="435" t="e">
        <v>#DIV/0!</v>
      </c>
      <c r="G4" s="436"/>
      <c r="H4" s="437" t="e">
        <v>#DIV/0!</v>
      </c>
      <c r="I4" s="438"/>
    </row>
    <row r="5" spans="1:26" x14ac:dyDescent="0.25">
      <c r="A5" s="303" t="s">
        <v>311</v>
      </c>
      <c r="B5" s="306">
        <v>110</v>
      </c>
      <c r="C5" s="307">
        <v>325</v>
      </c>
      <c r="D5" s="306">
        <v>98</v>
      </c>
      <c r="E5" s="307">
        <v>318</v>
      </c>
      <c r="F5" s="306">
        <v>0</v>
      </c>
      <c r="G5" s="307">
        <v>0</v>
      </c>
      <c r="H5" s="306">
        <v>0</v>
      </c>
      <c r="I5" s="307">
        <v>0</v>
      </c>
    </row>
    <row r="6" spans="1:26" x14ac:dyDescent="0.25">
      <c r="A6" s="303" t="s">
        <v>302</v>
      </c>
      <c r="B6" s="435" t="s">
        <v>866</v>
      </c>
      <c r="C6" s="436"/>
      <c r="D6" s="435" t="s">
        <v>867</v>
      </c>
      <c r="E6" s="436"/>
      <c r="F6" s="435" t="s">
        <v>868</v>
      </c>
      <c r="G6" s="436"/>
      <c r="H6" s="435" t="s">
        <v>868</v>
      </c>
      <c r="I6" s="436"/>
    </row>
    <row r="7" spans="1:26" x14ac:dyDescent="0.25">
      <c r="A7" s="303" t="s">
        <v>288</v>
      </c>
      <c r="B7" s="435" t="s">
        <v>869</v>
      </c>
      <c r="C7" s="436"/>
      <c r="D7" s="435" t="s">
        <v>870</v>
      </c>
      <c r="E7" s="436"/>
      <c r="F7" s="435" t="e">
        <v>#NUM!</v>
      </c>
      <c r="G7" s="436"/>
      <c r="H7" s="435" t="e">
        <v>#NUM!</v>
      </c>
      <c r="I7" s="436"/>
    </row>
    <row r="8" spans="1:26" x14ac:dyDescent="0.25">
      <c r="A8" s="303" t="s">
        <v>289</v>
      </c>
      <c r="B8" s="435" t="s">
        <v>871</v>
      </c>
      <c r="C8" s="436"/>
      <c r="D8" s="435" t="s">
        <v>871</v>
      </c>
      <c r="E8" s="436"/>
      <c r="F8" s="435" t="e">
        <v>#NUM!</v>
      </c>
      <c r="G8" s="436"/>
      <c r="H8" s="439" t="e">
        <v>#NUM!</v>
      </c>
      <c r="I8" s="440"/>
    </row>
    <row r="9" spans="1:26" x14ac:dyDescent="0.25">
      <c r="A9" s="303" t="s">
        <v>426</v>
      </c>
      <c r="B9" s="304">
        <v>11</v>
      </c>
      <c r="C9" s="305">
        <v>948</v>
      </c>
      <c r="D9" s="304">
        <v>13</v>
      </c>
      <c r="E9" s="305">
        <v>968</v>
      </c>
      <c r="F9" s="304">
        <v>0</v>
      </c>
      <c r="G9" s="305" t="e">
        <v>#DIV/0!</v>
      </c>
      <c r="H9" s="304">
        <v>0</v>
      </c>
      <c r="I9" s="305" t="e">
        <v>#DIV/0!</v>
      </c>
    </row>
    <row r="10" spans="1:26" x14ac:dyDescent="0.25">
      <c r="A10" s="303" t="s">
        <v>427</v>
      </c>
      <c r="B10" s="344" t="s">
        <v>872</v>
      </c>
      <c r="C10" s="345"/>
      <c r="D10" s="344" t="s">
        <v>873</v>
      </c>
      <c r="E10" s="345"/>
      <c r="F10" s="344" t="s">
        <v>874</v>
      </c>
      <c r="G10" s="345"/>
      <c r="H10" s="344" t="s">
        <v>874</v>
      </c>
      <c r="I10" s="345"/>
    </row>
    <row r="11" spans="1:26" x14ac:dyDescent="0.25">
      <c r="A11" s="303" t="s">
        <v>312</v>
      </c>
      <c r="B11" s="322">
        <v>3.8582317073170733</v>
      </c>
      <c r="C11" s="309"/>
      <c r="D11" s="322">
        <v>3.8968750000000001</v>
      </c>
      <c r="E11" s="323" t="s">
        <v>875</v>
      </c>
      <c r="F11" s="322" t="e">
        <v>#DIV/0!</v>
      </c>
      <c r="G11" s="323" t="e">
        <v>#DIV/0!</v>
      </c>
      <c r="H11" s="370" t="e">
        <v>#DIV/0!</v>
      </c>
      <c r="I11" s="321"/>
    </row>
    <row r="12" spans="1:26" x14ac:dyDescent="0.25">
      <c r="A12" s="303" t="s">
        <v>876</v>
      </c>
      <c r="B12" s="316">
        <v>91</v>
      </c>
      <c r="C12" s="317">
        <v>71</v>
      </c>
      <c r="D12" s="316">
        <v>69</v>
      </c>
      <c r="E12" s="317">
        <v>67</v>
      </c>
      <c r="F12" s="316">
        <v>0</v>
      </c>
      <c r="G12" s="317">
        <v>0</v>
      </c>
      <c r="H12" s="316">
        <v>0</v>
      </c>
      <c r="I12" s="317">
        <v>0</v>
      </c>
    </row>
    <row r="13" spans="1:26" x14ac:dyDescent="0.25">
      <c r="A13" s="303" t="s">
        <v>303</v>
      </c>
      <c r="B13" s="437"/>
      <c r="C13" s="438"/>
      <c r="D13" s="441" t="s">
        <v>865</v>
      </c>
      <c r="E13" s="442"/>
      <c r="F13" s="441" t="e">
        <v>#DIV/0!</v>
      </c>
      <c r="G13" s="442"/>
      <c r="H13" s="437" t="e">
        <v>#DIV/0!</v>
      </c>
      <c r="I13" s="438"/>
    </row>
    <row r="14" spans="1:26" x14ac:dyDescent="0.25">
      <c r="A14" s="303" t="s">
        <v>877</v>
      </c>
      <c r="B14" s="437"/>
      <c r="C14" s="438"/>
      <c r="D14" s="441" t="s">
        <v>878</v>
      </c>
      <c r="E14" s="442"/>
      <c r="F14" s="441" t="e">
        <v>#DIV/0!</v>
      </c>
      <c r="G14" s="442"/>
      <c r="H14" s="437" t="e">
        <v>#DIV/0!</v>
      </c>
      <c r="I14" s="438"/>
    </row>
    <row r="15" spans="1:26" x14ac:dyDescent="0.25">
      <c r="A15" s="303" t="s">
        <v>879</v>
      </c>
      <c r="B15" s="437"/>
      <c r="C15" s="438"/>
      <c r="D15" s="441" t="s">
        <v>880</v>
      </c>
      <c r="E15" s="442"/>
      <c r="F15" s="441" t="e">
        <v>#DIV/0!</v>
      </c>
      <c r="G15" s="442"/>
      <c r="H15" s="437" t="e">
        <v>#DIV/0!</v>
      </c>
      <c r="I15" s="438"/>
    </row>
    <row r="16" spans="1:26" x14ac:dyDescent="0.25">
      <c r="A16" s="303" t="s">
        <v>304</v>
      </c>
      <c r="B16" s="441" t="s">
        <v>866</v>
      </c>
      <c r="C16" s="442"/>
      <c r="D16" s="441" t="s">
        <v>867</v>
      </c>
      <c r="E16" s="442"/>
      <c r="F16" s="441" t="s">
        <v>868</v>
      </c>
      <c r="G16" s="442"/>
      <c r="H16" s="441" t="s">
        <v>868</v>
      </c>
      <c r="I16" s="442"/>
    </row>
    <row r="17" spans="1:9" x14ac:dyDescent="0.25">
      <c r="A17" s="303" t="s">
        <v>881</v>
      </c>
      <c r="B17" s="441" t="s">
        <v>882</v>
      </c>
      <c r="C17" s="442"/>
      <c r="D17" s="441" t="s">
        <v>883</v>
      </c>
      <c r="E17" s="442"/>
      <c r="F17" s="441" t="s">
        <v>868</v>
      </c>
      <c r="G17" s="442"/>
      <c r="H17" s="443" t="s">
        <v>868</v>
      </c>
      <c r="I17" s="444"/>
    </row>
    <row r="18" spans="1:9" x14ac:dyDescent="0.25">
      <c r="A18" s="303" t="s">
        <v>313</v>
      </c>
      <c r="B18" s="324">
        <v>4.6428571428571432</v>
      </c>
      <c r="C18" s="309"/>
      <c r="D18" s="324">
        <v>4.5982142857142856</v>
      </c>
      <c r="E18" s="325" t="s">
        <v>884</v>
      </c>
      <c r="F18" s="324" t="e">
        <v>#DIV/0!</v>
      </c>
      <c r="G18" s="325" t="e">
        <v>#DIV/0!</v>
      </c>
      <c r="H18" s="371" t="e">
        <v>#DIV/0!</v>
      </c>
      <c r="I18" s="321"/>
    </row>
    <row r="19" spans="1:9" x14ac:dyDescent="0.25">
      <c r="A19" s="303" t="s">
        <v>885</v>
      </c>
      <c r="B19" s="318">
        <v>2</v>
      </c>
      <c r="C19" s="319">
        <v>38</v>
      </c>
      <c r="D19" s="318">
        <v>4</v>
      </c>
      <c r="E19" s="319">
        <v>30</v>
      </c>
      <c r="F19" s="318">
        <v>0</v>
      </c>
      <c r="G19" s="319">
        <v>0</v>
      </c>
      <c r="H19" s="318">
        <v>0</v>
      </c>
      <c r="I19" s="319">
        <v>0</v>
      </c>
    </row>
    <row r="20" spans="1:9" x14ac:dyDescent="0.25">
      <c r="A20" s="303" t="s">
        <v>305</v>
      </c>
      <c r="B20" s="437"/>
      <c r="C20" s="438"/>
      <c r="D20" s="445" t="s">
        <v>886</v>
      </c>
      <c r="E20" s="446"/>
      <c r="F20" s="445" t="e">
        <v>#DIV/0!</v>
      </c>
      <c r="G20" s="446"/>
      <c r="H20" s="437" t="e">
        <v>#DIV/0!</v>
      </c>
      <c r="I20" s="438"/>
    </row>
    <row r="21" spans="1:9" x14ac:dyDescent="0.25">
      <c r="A21" s="303" t="s">
        <v>887</v>
      </c>
      <c r="B21" s="437"/>
      <c r="C21" s="438"/>
      <c r="D21" s="445" t="s">
        <v>886</v>
      </c>
      <c r="E21" s="446"/>
      <c r="F21" s="445" t="e">
        <v>#DIV/0!</v>
      </c>
      <c r="G21" s="446"/>
      <c r="H21" s="437" t="e">
        <v>#DIV/0!</v>
      </c>
      <c r="I21" s="438"/>
    </row>
    <row r="22" spans="1:9" x14ac:dyDescent="0.25">
      <c r="A22" s="303" t="s">
        <v>888</v>
      </c>
      <c r="B22" s="437"/>
      <c r="C22" s="438"/>
      <c r="D22" s="445" t="s">
        <v>889</v>
      </c>
      <c r="E22" s="446"/>
      <c r="F22" s="445" t="e">
        <v>#DIV/0!</v>
      </c>
      <c r="G22" s="446"/>
      <c r="H22" s="437" t="e">
        <v>#DIV/0!</v>
      </c>
      <c r="I22" s="438"/>
    </row>
    <row r="23" spans="1:9" x14ac:dyDescent="0.25">
      <c r="A23" s="303" t="s">
        <v>306</v>
      </c>
      <c r="B23" s="445" t="s">
        <v>890</v>
      </c>
      <c r="C23" s="446"/>
      <c r="D23" s="445" t="s">
        <v>891</v>
      </c>
      <c r="E23" s="446"/>
      <c r="F23" s="445" t="s">
        <v>868</v>
      </c>
      <c r="G23" s="446"/>
      <c r="H23" s="445" t="s">
        <v>868</v>
      </c>
      <c r="I23" s="446"/>
    </row>
    <row r="24" spans="1:9" ht="15.75" thickBot="1" x14ac:dyDescent="0.3">
      <c r="A24" s="313" t="s">
        <v>892</v>
      </c>
      <c r="B24" s="447" t="s">
        <v>893</v>
      </c>
      <c r="C24" s="448"/>
      <c r="D24" s="447" t="s">
        <v>894</v>
      </c>
      <c r="E24" s="448"/>
      <c r="F24" s="447" t="s">
        <v>868</v>
      </c>
      <c r="G24" s="448"/>
      <c r="H24" s="449" t="s">
        <v>868</v>
      </c>
      <c r="I24" s="450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12</v>
      </c>
      <c r="N1" s="52">
        <f>INDEX(Parameter!$9:$9,,MATCH(12,Parameter!$8:$8,0))</f>
        <v>14</v>
      </c>
      <c r="O1" s="52">
        <f>INDEX(Parameter!$9:$9,,MATCH(13,Parameter!$8:$8,0))</f>
        <v>15</v>
      </c>
      <c r="P1" s="52">
        <f>INDEX(Parameter!$9:$9,,MATCH(14,Parameter!$8:$8,0))</f>
        <v>16</v>
      </c>
      <c r="Q1" s="52">
        <f>INDEX(Parameter!$9:$9,,MATCH(15,Parameter!$8:$8,0))</f>
        <v>17</v>
      </c>
      <c r="R1" s="52">
        <f>INDEX(Parameter!$9:$9,,MATCH(16,Parameter!$8:$8,0))</f>
        <v>18</v>
      </c>
      <c r="S1" s="52" t="str">
        <f>INDEX(Parameter!$9:$9,,MATCH(17,Parameter!$8:$8,0))</f>
        <v>17a</v>
      </c>
      <c r="T1" s="140" t="str">
        <f>INDEX(Parameter!$9:$9,,MATCH(18,Parameter!$8:$8,0))</f>
        <v>18a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1" t="s">
        <v>59</v>
      </c>
      <c r="AE1" s="452"/>
      <c r="AF1" s="452"/>
      <c r="AG1" s="453"/>
    </row>
    <row r="2" spans="1:123" x14ac:dyDescent="0.25">
      <c r="A2" s="474" t="s">
        <v>21</v>
      </c>
      <c r="B2" s="475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4">
        <f ca="1">SUMIF(C$11:AC$11,"&gt;0",C$2:AC$2)</f>
        <v>56</v>
      </c>
      <c r="AE2" s="455"/>
      <c r="AF2" s="455"/>
      <c r="AG2" s="456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4" t="str">
        <f>IF($A$1="m","Average Men","Average Women")</f>
        <v>Average Men</v>
      </c>
      <c r="B3" s="465"/>
      <c r="C3" s="330">
        <f>IF($A$1="m",'Scores Men'!F3,'Scores Women'!F3)</f>
        <v>4.2650602409638552</v>
      </c>
      <c r="D3" s="331">
        <f>IF($A$1="m",'Scores Men'!G3,'Scores Women'!G3)</f>
        <v>4.4390243902439028</v>
      </c>
      <c r="E3" s="331">
        <f>IF($A$1="m",'Scores Men'!H3,'Scores Women'!H3)</f>
        <v>5.168674698795181</v>
      </c>
      <c r="F3" s="331">
        <f>IF($A$1="m",'Scores Men'!I3,'Scores Women'!I3)</f>
        <v>2.9759036144578315</v>
      </c>
      <c r="G3" s="331">
        <f>IF($A$1="m",'Scores Men'!J3,'Scores Women'!J3)</f>
        <v>3.2530120481927711</v>
      </c>
      <c r="H3" s="331">
        <f>IF($A$1="m",'Scores Men'!K3,'Scores Women'!K3)</f>
        <v>5.3292682926829267</v>
      </c>
      <c r="I3" s="331">
        <f>IF($A$1="m",'Scores Men'!L3,'Scores Women'!L3)</f>
        <v>3.2289156626506026</v>
      </c>
      <c r="J3" s="331">
        <f>IF($A$1="m",'Scores Men'!M3,'Scores Women'!M3)</f>
        <v>3.0602409638554215</v>
      </c>
      <c r="K3" s="331">
        <f>IF($A$1="m",'Scores Men'!N3,'Scores Women'!N3)</f>
        <v>4.4216867469879517</v>
      </c>
      <c r="L3" s="331">
        <f>IF($A$1="m",'Scores Men'!O3,'Scores Women'!O3)</f>
        <v>3.6867469879518073</v>
      </c>
      <c r="M3" s="331">
        <f>IF($A$1="m",'Scores Men'!P3,'Scores Women'!P3)</f>
        <v>3.0120481927710845</v>
      </c>
      <c r="N3" s="331">
        <f>IF($A$1="m",'Scores Men'!Q3,'Scores Women'!Q3)</f>
        <v>5.1566265060240966</v>
      </c>
      <c r="O3" s="331">
        <f>IF($A$1="m",'Scores Men'!R3,'Scores Women'!R3)</f>
        <v>4.2530120481927707</v>
      </c>
      <c r="P3" s="331">
        <f>IF($A$1="m",'Scores Men'!S3,'Scores Women'!S3)</f>
        <v>3.3132530120481927</v>
      </c>
      <c r="Q3" s="331">
        <f>IF($A$1="m",'Scores Men'!T3,'Scores Women'!T3)</f>
        <v>3.6144578313253013</v>
      </c>
      <c r="R3" s="331">
        <f>IF($A$1="m",'Scores Men'!U3,'Scores Women'!U3)</f>
        <v>3.0843373493975905</v>
      </c>
      <c r="S3" s="331" t="str">
        <f>IF($A$1="m",'Scores Men'!V3,'Scores Women'!V3)</f>
        <v>no</v>
      </c>
      <c r="T3" s="329" t="str">
        <f>IF($A$1="m",'Scores Men'!W3,'Scores Women'!W3)</f>
        <v>no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66">
        <f ca="1">SUMIF(C$11:AC$11,"&gt;0",C$3:AC$3)</f>
        <v>62.262268586541289</v>
      </c>
      <c r="AE3" s="467"/>
      <c r="AF3" s="467"/>
      <c r="AG3" s="468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4" t="str">
        <f>IF($A$1="m","Average Top 5 Men","Average Top 5 Women")</f>
        <v>Average Top 5 Men</v>
      </c>
      <c r="B4" s="465"/>
      <c r="C4" s="330">
        <f ca="1">IF(C$2="no","no",OFFSET(Data!$A$1,MATCH($A4,Data!$DT:$DT,0)-1,MATCH("Total/"&amp;C$1,Data!$1:$1,0)-1))</f>
        <v>3.4</v>
      </c>
      <c r="D4" s="331">
        <f ca="1">IF(D$2="no","no",OFFSET(Data!$A$1,MATCH($A4,Data!$DT:$DT,0)-1,MATCH("Total/"&amp;D$1,Data!$1:$1,0)-1))</f>
        <v>3.7</v>
      </c>
      <c r="E4" s="331">
        <f ca="1">IF(E$2="no","no",OFFSET(Data!$A$1,MATCH($A4,Data!$DT:$DT,0)-1,MATCH("Total/"&amp;E$1,Data!$1:$1,0)-1))</f>
        <v>4.5999999999999996</v>
      </c>
      <c r="F4" s="331">
        <f ca="1">IF(F$2="no","no",OFFSET(Data!$A$1,MATCH($A4,Data!$DT:$DT,0)-1,MATCH("Total/"&amp;F$1,Data!$1:$1,0)-1))</f>
        <v>2.6</v>
      </c>
      <c r="G4" s="331">
        <f ca="1">IF(G$2="no","no",OFFSET(Data!$A$1,MATCH($A4,Data!$DT:$DT,0)-1,MATCH("Total/"&amp;G$1,Data!$1:$1,0)-1))</f>
        <v>2.6</v>
      </c>
      <c r="H4" s="331">
        <f ca="1">IF(H$2="no","no",OFFSET(Data!$A$1,MATCH($A4,Data!$DT:$DT,0)-1,MATCH("Total/"&amp;H$1,Data!$1:$1,0)-1))</f>
        <v>4.5</v>
      </c>
      <c r="I4" s="331">
        <f ca="1">IF(I$2="no","no",OFFSET(Data!$A$1,MATCH($A4,Data!$DT:$DT,0)-1,MATCH("Total/"&amp;I$1,Data!$1:$1,0)-1))</f>
        <v>2.5</v>
      </c>
      <c r="J4" s="331">
        <f ca="1">IF(J$2="no","no",OFFSET(Data!$A$1,MATCH($A4,Data!$DT:$DT,0)-1,MATCH("Total/"&amp;J$1,Data!$1:$1,0)-1))</f>
        <v>2.8</v>
      </c>
      <c r="K4" s="331">
        <f ca="1">IF(K$2="no","no",OFFSET(Data!$A$1,MATCH($A4,Data!$DT:$DT,0)-1,MATCH("Total/"&amp;K$1,Data!$1:$1,0)-1))</f>
        <v>3.7</v>
      </c>
      <c r="L4" s="331">
        <f ca="1">IF(L$2="no","no",OFFSET(Data!$A$1,MATCH($A4,Data!$DT:$DT,0)-1,MATCH("Total/"&amp;L$1,Data!$1:$1,0)-1))</f>
        <v>3.2</v>
      </c>
      <c r="M4" s="331">
        <f ca="1">IF(M$2="no","no",OFFSET(Data!$A$1,MATCH($A4,Data!$DT:$DT,0)-1,MATCH("Total/"&amp;M$1,Data!$1:$1,0)-1))</f>
        <v>3</v>
      </c>
      <c r="N4" s="331">
        <f ca="1">IF(N$2="no","no",OFFSET(Data!$A$1,MATCH($A4,Data!$DT:$DT,0)-1,MATCH("Total/"&amp;N$1,Data!$1:$1,0)-1))</f>
        <v>4.2</v>
      </c>
      <c r="O4" s="331">
        <f ca="1">IF(O$2="no","no",OFFSET(Data!$A$1,MATCH($A4,Data!$DT:$DT,0)-1,MATCH("Total/"&amp;O$1,Data!$1:$1,0)-1))</f>
        <v>3.4</v>
      </c>
      <c r="P4" s="331">
        <f ca="1">IF(P$2="no","no",OFFSET(Data!$A$1,MATCH($A4,Data!$DT:$DT,0)-1,MATCH("Total/"&amp;P$1,Data!$1:$1,0)-1))</f>
        <v>2.8</v>
      </c>
      <c r="Q4" s="331">
        <f ca="1">IF(Q$2="no","no",OFFSET(Data!$A$1,MATCH($A4,Data!$DT:$DT,0)-1,MATCH("Total/"&amp;Q$1,Data!$1:$1,0)-1))</f>
        <v>3.3</v>
      </c>
      <c r="R4" s="331">
        <f ca="1">IF(R$2="no","no",OFFSET(Data!$A$1,MATCH($A4,Data!$DT:$DT,0)-1,MATCH("Total/"&amp;R$1,Data!$1:$1,0)-1))</f>
        <v>2.6</v>
      </c>
      <c r="S4" s="331" t="str">
        <f ca="1">IF(S$2="no","no",OFFSET(Data!$A$1,MATCH($A4,Data!$DT:$DT,0)-1,MATCH("Total/"&amp;S$1,Data!$1:$1,0)-1))</f>
        <v>no</v>
      </c>
      <c r="T4" s="329" t="str">
        <f ca="1">IF(T$2="no","no",OFFSET(Data!$A$1,MATCH($A4,Data!$DT:$DT,0)-1,MATCH("Total/"&amp;T$1,Data!$1:$1,0)-1))</f>
        <v>no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66">
        <f ca="1">SUMIF(C$11:AC$11,"&gt;0",C$4:AC$4)</f>
        <v>52.9</v>
      </c>
      <c r="AE4" s="467"/>
      <c r="AF4" s="467"/>
      <c r="AG4" s="468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4" t="str">
        <f>"Average " &amp; A11</f>
        <v>Average Michal Kúdela</v>
      </c>
      <c r="B5" s="465"/>
      <c r="C5" s="330">
        <f ca="1">IF(OR(C$2="no",SUM(C11:C15)=0),"no",AVERAGE(C11:C15))</f>
        <v>3</v>
      </c>
      <c r="D5" s="329">
        <f t="shared" ref="D5:AC5" ca="1" si="0">IF(OR(D$2="no",SUM(D11:D15)=0),"no",AVERAGE(D11:D15))</f>
        <v>4</v>
      </c>
      <c r="E5" s="329">
        <f t="shared" ca="1" si="0"/>
        <v>5</v>
      </c>
      <c r="F5" s="329">
        <f t="shared" ca="1" si="0"/>
        <v>2</v>
      </c>
      <c r="G5" s="329">
        <f t="shared" ca="1" si="0"/>
        <v>2</v>
      </c>
      <c r="H5" s="329">
        <f t="shared" ca="1" si="0"/>
        <v>5</v>
      </c>
      <c r="I5" s="329">
        <f t="shared" ca="1" si="0"/>
        <v>2.5</v>
      </c>
      <c r="J5" s="329">
        <f t="shared" ca="1" si="0"/>
        <v>3</v>
      </c>
      <c r="K5" s="329">
        <f t="shared" ca="1" si="0"/>
        <v>4</v>
      </c>
      <c r="L5" s="329">
        <f t="shared" ca="1" si="0"/>
        <v>3.5</v>
      </c>
      <c r="M5" s="329">
        <f t="shared" ca="1" si="0"/>
        <v>3</v>
      </c>
      <c r="N5" s="329">
        <f t="shared" ca="1" si="0"/>
        <v>3.5</v>
      </c>
      <c r="O5" s="329">
        <f t="shared" ca="1" si="0"/>
        <v>2.5</v>
      </c>
      <c r="P5" s="329">
        <f t="shared" ca="1" si="0"/>
        <v>3</v>
      </c>
      <c r="Q5" s="329">
        <f t="shared" ca="1" si="0"/>
        <v>3.5</v>
      </c>
      <c r="R5" s="329">
        <f t="shared" ca="1" si="0"/>
        <v>2.5</v>
      </c>
      <c r="S5" s="329" t="str">
        <f t="shared" ca="1" si="0"/>
        <v>no</v>
      </c>
      <c r="T5" s="329" t="str">
        <f t="shared" ca="1" si="0"/>
        <v>no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66">
        <f ca="1">SUMIF(C$11:AC$11,"&gt;0",C$5:AC$5)</f>
        <v>52</v>
      </c>
      <c r="AE5" s="467"/>
      <c r="AF5" s="467"/>
      <c r="AG5" s="468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4" t="str">
        <f>IF($A$1="m","Eagles/+ Men","Eagles/+ Women")</f>
        <v>Eagles/+ Men</v>
      </c>
      <c r="B6" s="465"/>
      <c r="C6" s="143">
        <f>IF($A$1="m",'Scores Men'!F4,'Scores Women'!F4)</f>
        <v>1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1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 t="str">
        <f>IF($A$1="m",'Scores Men'!V4,'Scores Women'!V4)</f>
        <v>no</v>
      </c>
      <c r="T6" s="145" t="str">
        <f>IF($A$1="m",'Scores Men'!W4,'Scores Women'!W4)</f>
        <v>no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6">
        <f t="shared" ref="AD6:AD9" si="1">SUM(C6:AC6)</f>
        <v>2</v>
      </c>
      <c r="AE6" s="467"/>
      <c r="AF6" s="467"/>
      <c r="AG6" s="468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4" t="str">
        <f>IF($A$1="m","Birdies Men","Birdies Women")</f>
        <v>Birdies Men</v>
      </c>
      <c r="B7" s="465"/>
      <c r="C7" s="143">
        <f>IF($A$1="m",'Scores Men'!F5,'Scores Women'!F5)</f>
        <v>22</v>
      </c>
      <c r="D7" s="144">
        <f>IF($A$1="m",'Scores Men'!G5,'Scores Women'!G5)</f>
        <v>18</v>
      </c>
      <c r="E7" s="144">
        <f>IF($A$1="m",'Scores Men'!H5,'Scores Women'!H5)</f>
        <v>3</v>
      </c>
      <c r="F7" s="144">
        <f>IF($A$1="m",'Scores Men'!I5,'Scores Women'!I5)</f>
        <v>17</v>
      </c>
      <c r="G7" s="144">
        <f>IF($A$1="m",'Scores Men'!J5,'Scores Women'!J5)</f>
        <v>10</v>
      </c>
      <c r="H7" s="144">
        <f>IF($A$1="m",'Scores Men'!K5,'Scores Women'!K5)</f>
        <v>18</v>
      </c>
      <c r="I7" s="144">
        <f>IF($A$1="m",'Scores Men'!L5,'Scores Women'!L5)</f>
        <v>11</v>
      </c>
      <c r="J7" s="144">
        <f>IF($A$1="m",'Scores Men'!M5,'Scores Women'!M5)</f>
        <v>15</v>
      </c>
      <c r="K7" s="144">
        <f>IF($A$1="m",'Scores Men'!N5,'Scores Women'!N5)</f>
        <v>13</v>
      </c>
      <c r="L7" s="144">
        <f>IF($A$1="m",'Scores Men'!O5,'Scores Women'!O5)</f>
        <v>1</v>
      </c>
      <c r="M7" s="144">
        <f>IF($A$1="m",'Scores Men'!P5,'Scores Women'!P5)</f>
        <v>13</v>
      </c>
      <c r="N7" s="144">
        <f>IF($A$1="m",'Scores Men'!Q5,'Scores Women'!Q5)</f>
        <v>4</v>
      </c>
      <c r="O7" s="144">
        <f>IF($A$1="m",'Scores Men'!R5,'Scores Women'!R5)</f>
        <v>15</v>
      </c>
      <c r="P7" s="144">
        <f>IF($A$1="m",'Scores Men'!S5,'Scores Women'!S5)</f>
        <v>22</v>
      </c>
      <c r="Q7" s="144">
        <f>IF($A$1="m",'Scores Men'!T5,'Scores Women'!T5)</f>
        <v>3</v>
      </c>
      <c r="R7" s="144">
        <f>IF($A$1="m",'Scores Men'!U5,'Scores Women'!U5)</f>
        <v>19</v>
      </c>
      <c r="S7" s="144" t="str">
        <f>IF($A$1="m",'Scores Men'!V5,'Scores Women'!V5)</f>
        <v>no</v>
      </c>
      <c r="T7" s="145" t="str">
        <f>IF($A$1="m",'Scores Men'!W5,'Scores Women'!W5)</f>
        <v>no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6">
        <f t="shared" si="1"/>
        <v>204</v>
      </c>
      <c r="AE7" s="467"/>
      <c r="AF7" s="467"/>
      <c r="AG7" s="468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4" t="str">
        <f>IF($A$1="m","Bogeys Men","Bogeys Women")</f>
        <v>Bogeys Men</v>
      </c>
      <c r="B8" s="465"/>
      <c r="C8" s="143">
        <f>IF($A$1="m",'Scores Men'!F6,'Scores Women'!F6)</f>
        <v>14</v>
      </c>
      <c r="D8" s="144">
        <f>IF($A$1="m",'Scores Men'!G6,'Scores Women'!G6)</f>
        <v>19</v>
      </c>
      <c r="E8" s="144">
        <f>IF($A$1="m",'Scores Men'!H6,'Scores Women'!H6)</f>
        <v>36</v>
      </c>
      <c r="F8" s="144">
        <f>IF($A$1="m",'Scores Men'!I6,'Scores Women'!I6)</f>
        <v>9</v>
      </c>
      <c r="G8" s="144">
        <f>IF($A$1="m",'Scores Men'!J6,'Scores Women'!J6)</f>
        <v>24</v>
      </c>
      <c r="H8" s="144">
        <f>IF($A$1="m",'Scores Men'!K6,'Scores Women'!K6)</f>
        <v>18</v>
      </c>
      <c r="I8" s="144">
        <f>IF($A$1="m",'Scores Men'!L6,'Scores Women'!L6)</f>
        <v>18</v>
      </c>
      <c r="J8" s="144">
        <f>IF($A$1="m",'Scores Men'!M6,'Scores Women'!M6)</f>
        <v>13</v>
      </c>
      <c r="K8" s="144">
        <f>IF($A$1="m",'Scores Men'!N6,'Scores Women'!N6)</f>
        <v>33</v>
      </c>
      <c r="L8" s="144">
        <f>IF($A$1="m",'Scores Men'!O6,'Scores Women'!O6)</f>
        <v>28</v>
      </c>
      <c r="M8" s="144">
        <f>IF($A$1="m",'Scores Men'!P6,'Scores Women'!P6)</f>
        <v>10</v>
      </c>
      <c r="N8" s="144">
        <f>IF($A$1="m",'Scores Men'!Q6,'Scores Women'!Q6)</f>
        <v>19</v>
      </c>
      <c r="O8" s="144">
        <f>IF($A$1="m",'Scores Men'!R6,'Scores Women'!R6)</f>
        <v>22</v>
      </c>
      <c r="P8" s="144">
        <f>IF($A$1="m",'Scores Men'!S6,'Scores Women'!S6)</f>
        <v>40</v>
      </c>
      <c r="Q8" s="144">
        <f>IF($A$1="m",'Scores Men'!T6,'Scores Women'!T6)</f>
        <v>26</v>
      </c>
      <c r="R8" s="144">
        <f>IF($A$1="m",'Scores Men'!U6,'Scores Women'!U6)</f>
        <v>22</v>
      </c>
      <c r="S8" s="144" t="str">
        <f>IF($A$1="m",'Scores Men'!V6,'Scores Women'!V6)</f>
        <v>no</v>
      </c>
      <c r="T8" s="145" t="str">
        <f>IF($A$1="m",'Scores Men'!W6,'Scores Women'!W6)</f>
        <v>no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6">
        <f t="shared" si="1"/>
        <v>351</v>
      </c>
      <c r="AE8" s="467"/>
      <c r="AF8" s="467"/>
      <c r="AG8" s="468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4" t="str">
        <f>IF($A$1="m","Double-Bogeys/+ Men","Double-Bogeys/+ Women")</f>
        <v>Double-Bogeys/+ Men</v>
      </c>
      <c r="B9" s="465"/>
      <c r="C9" s="143">
        <f>IF($A$1="m",'Scores Men'!F7,'Scores Women'!F7)</f>
        <v>13</v>
      </c>
      <c r="D9" s="144">
        <f>IF($A$1="m",'Scores Men'!G7,'Scores Women'!G7)</f>
        <v>15</v>
      </c>
      <c r="E9" s="144">
        <f>IF($A$1="m",'Scores Men'!H7,'Scores Women'!H7)</f>
        <v>26</v>
      </c>
      <c r="F9" s="144">
        <f>IF($A$1="m",'Scores Men'!I7,'Scores Women'!I7)</f>
        <v>3</v>
      </c>
      <c r="G9" s="144">
        <f>IF($A$1="m",'Scores Men'!J7,'Scores Women'!J7)</f>
        <v>3</v>
      </c>
      <c r="H9" s="144">
        <f>IF($A$1="m",'Scores Men'!K7,'Scores Women'!K7)</f>
        <v>11</v>
      </c>
      <c r="I9" s="144">
        <f>IF($A$1="m",'Scores Men'!L7,'Scores Women'!L7)</f>
        <v>6</v>
      </c>
      <c r="J9" s="144">
        <f>IF($A$1="m",'Scores Men'!M7,'Scores Women'!M7)</f>
        <v>3</v>
      </c>
      <c r="K9" s="144">
        <f>IF($A$1="m",'Scores Men'!N7,'Scores Women'!N7)</f>
        <v>7</v>
      </c>
      <c r="L9" s="144">
        <f>IF($A$1="m",'Scores Men'!O7,'Scores Women'!O7)</f>
        <v>13</v>
      </c>
      <c r="M9" s="144">
        <f>IF($A$1="m",'Scores Men'!P7,'Scores Women'!P7)</f>
        <v>2</v>
      </c>
      <c r="N9" s="144">
        <f>IF($A$1="m",'Scores Men'!Q7,'Scores Women'!Q7)</f>
        <v>30</v>
      </c>
      <c r="O9" s="144">
        <f>IF($A$1="m",'Scores Men'!R7,'Scores Women'!R7)</f>
        <v>7</v>
      </c>
      <c r="P9" s="144">
        <f>IF($A$1="m",'Scores Men'!S7,'Scores Women'!S7)</f>
        <v>4</v>
      </c>
      <c r="Q9" s="144">
        <f>IF($A$1="m",'Scores Men'!T7,'Scores Women'!T7)</f>
        <v>13</v>
      </c>
      <c r="R9" s="144">
        <f>IF($A$1="m",'Scores Men'!U7,'Scores Women'!U7)</f>
        <v>2</v>
      </c>
      <c r="S9" s="144" t="str">
        <f>IF($A$1="m",'Scores Men'!V7,'Scores Women'!V7)</f>
        <v>no</v>
      </c>
      <c r="T9" s="145" t="str">
        <f>IF($A$1="m",'Scores Men'!W7,'Scores Women'!W7)</f>
        <v>no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6">
        <f t="shared" si="1"/>
        <v>158</v>
      </c>
      <c r="AE9" s="467"/>
      <c r="AF9" s="467"/>
      <c r="AG9" s="468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162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75</v>
      </c>
      <c r="AF10" s="170" t="s">
        <v>76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764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5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6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2</v>
      </c>
      <c r="S11" s="73" t="str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/>
      </c>
      <c r="T11" s="74" t="str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/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56</v>
      </c>
      <c r="AE11" s="172">
        <f ca="1">AF11-AD11</f>
        <v>-7</v>
      </c>
      <c r="AF11" s="171">
        <f ca="1">SUM(C11:AC11)</f>
        <v>49</v>
      </c>
      <c r="AG11" s="172">
        <f ca="1">AF11</f>
        <v>49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1018)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5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5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4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 t="str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/>
      </c>
      <c r="T12" s="70" t="str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/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56</v>
      </c>
      <c r="AE12" s="174">
        <f ca="1">AF12-AD12</f>
        <v>-1</v>
      </c>
      <c r="AF12" s="173">
        <f ca="1">SUM(C12:AC12)</f>
        <v>55</v>
      </c>
      <c r="AG12" s="174">
        <f ca="1">SUM(AF$11:AF12)</f>
        <v>104</v>
      </c>
      <c r="AI12" s="209"/>
    </row>
    <row r="13" spans="1:123" hidden="1" x14ac:dyDescent="0.25">
      <c r="A13" s="167"/>
      <c r="B13" s="181" t="s">
        <v>28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104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29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104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104</v>
      </c>
    </row>
    <row r="16" spans="1:123" s="138" customFormat="1" ht="15" hidden="1" customHeight="1" x14ac:dyDescent="0.25">
      <c r="A16" s="457" t="s">
        <v>46</v>
      </c>
      <c r="B16" s="458"/>
      <c r="C16" s="152">
        <f t="shared" ref="C16:AC16" ca="1" si="2">IF(C$2="no","no",COUNTIF(C$11:C$15,"="&amp;C$2-1))</f>
        <v>2</v>
      </c>
      <c r="D16" s="153">
        <f t="shared" ca="1" si="2"/>
        <v>1</v>
      </c>
      <c r="E16" s="153">
        <f t="shared" ca="1" si="2"/>
        <v>0</v>
      </c>
      <c r="F16" s="153">
        <f t="shared" ca="1" si="2"/>
        <v>2</v>
      </c>
      <c r="G16" s="153">
        <f t="shared" ca="1" si="2"/>
        <v>2</v>
      </c>
      <c r="H16" s="153">
        <f t="shared" ca="1" si="2"/>
        <v>1</v>
      </c>
      <c r="I16" s="153">
        <f t="shared" ca="1" si="2"/>
        <v>1</v>
      </c>
      <c r="J16" s="153">
        <f t="shared" ca="1" si="2"/>
        <v>0</v>
      </c>
      <c r="K16" s="153">
        <f t="shared" ca="1" si="2"/>
        <v>0</v>
      </c>
      <c r="L16" s="153">
        <f t="shared" ca="1" si="2"/>
        <v>0</v>
      </c>
      <c r="M16" s="153">
        <f t="shared" ca="1" si="2"/>
        <v>0</v>
      </c>
      <c r="N16" s="153">
        <f t="shared" ca="1" si="2"/>
        <v>1</v>
      </c>
      <c r="O16" s="153">
        <f t="shared" ca="1" si="2"/>
        <v>1</v>
      </c>
      <c r="P16" s="153">
        <f t="shared" ca="1" si="2"/>
        <v>1</v>
      </c>
      <c r="Q16" s="153">
        <f t="shared" ca="1" si="2"/>
        <v>0</v>
      </c>
      <c r="R16" s="153">
        <f t="shared" ca="1" si="2"/>
        <v>1</v>
      </c>
      <c r="S16" s="153" t="str">
        <f t="shared" si="2"/>
        <v>no</v>
      </c>
      <c r="T16" s="154" t="str">
        <f t="shared" si="2"/>
        <v>no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6">
        <f ca="1">SUM(C16:AC16)</f>
        <v>13</v>
      </c>
      <c r="AE16" s="477"/>
      <c r="AF16" s="477"/>
      <c r="AG16" s="478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9" t="s">
        <v>47</v>
      </c>
      <c r="B17" s="460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1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 t="str">
        <f t="array" ref="S17">IF(S$2="no","no",SUM((S$11:S$15&lt;S$2-1)*(S$11:S$15&gt;0)))</f>
        <v>no</v>
      </c>
      <c r="T17" s="158" t="str">
        <f t="array" ref="T17">IF(T$2="no","no",SUM((T$11:T$15&lt;T$2-1)*(T$11:T$15&gt;0)))</f>
        <v>no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1">
        <f ca="1">SUM(C17:AC17)</f>
        <v>1</v>
      </c>
      <c r="AE17" s="462"/>
      <c r="AF17" s="462"/>
      <c r="AG17" s="46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9" t="s">
        <v>187</v>
      </c>
      <c r="B18" s="460"/>
      <c r="C18" s="156">
        <f t="shared" ref="C18:AC18" ca="1" si="3">IF(C$2="no","no",COUNTIF(C$11:C$15,"="&amp;C$2+1))</f>
        <v>0</v>
      </c>
      <c r="D18" s="157">
        <f t="shared" ca="1" si="3"/>
        <v>1</v>
      </c>
      <c r="E18" s="157">
        <f t="shared" ca="1" si="3"/>
        <v>2</v>
      </c>
      <c r="F18" s="157">
        <f t="shared" ca="1" si="3"/>
        <v>0</v>
      </c>
      <c r="G18" s="157">
        <f t="shared" ca="1" si="3"/>
        <v>0</v>
      </c>
      <c r="H18" s="157">
        <f t="shared" ca="1" si="3"/>
        <v>1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1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1</v>
      </c>
      <c r="Q18" s="157">
        <f t="shared" ca="1" si="3"/>
        <v>1</v>
      </c>
      <c r="R18" s="157">
        <f t="shared" ca="1" si="3"/>
        <v>0</v>
      </c>
      <c r="S18" s="157" t="str">
        <f t="shared" si="3"/>
        <v>no</v>
      </c>
      <c r="T18" s="158" t="str">
        <f t="shared" si="3"/>
        <v>no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61">
        <f ca="1">SUM(C18:AC18)</f>
        <v>7</v>
      </c>
      <c r="AE18" s="462"/>
      <c r="AF18" s="462"/>
      <c r="AG18" s="46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9" t="s">
        <v>48</v>
      </c>
      <c r="B19" s="470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 t="str">
        <f t="shared" si="4"/>
        <v>no</v>
      </c>
      <c r="T19" s="162" t="str">
        <f t="shared" si="4"/>
        <v>no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71">
        <f ca="1">SUM(C19:AC19)</f>
        <v>0</v>
      </c>
      <c r="AE19" s="472"/>
      <c r="AF19" s="472"/>
      <c r="AG19" s="47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-2</v>
      </c>
      <c r="D20" s="205">
        <f t="shared" ca="1" si="5"/>
        <v>-1</v>
      </c>
      <c r="E20" s="205">
        <f t="shared" ca="1" si="5"/>
        <v>0</v>
      </c>
      <c r="F20" s="205">
        <f t="shared" ca="1" si="5"/>
        <v>-2</v>
      </c>
      <c r="G20" s="205">
        <f t="shared" ca="1" si="5"/>
        <v>-2</v>
      </c>
      <c r="H20" s="205">
        <f t="shared" ca="1" si="5"/>
        <v>-1</v>
      </c>
      <c r="I20" s="205">
        <f t="shared" ca="1" si="5"/>
        <v>-1</v>
      </c>
      <c r="J20" s="205">
        <f t="shared" ca="1" si="5"/>
        <v>0</v>
      </c>
      <c r="K20" s="205">
        <f t="shared" ca="1" si="5"/>
        <v>0</v>
      </c>
      <c r="L20" s="205">
        <f t="shared" ca="1" si="5"/>
        <v>0</v>
      </c>
      <c r="M20" s="205">
        <f t="shared" ca="1" si="5"/>
        <v>0</v>
      </c>
      <c r="N20" s="205">
        <f t="shared" ca="1" si="5"/>
        <v>-1</v>
      </c>
      <c r="O20" s="205">
        <f t="shared" ca="1" si="5"/>
        <v>-1</v>
      </c>
      <c r="P20" s="205">
        <f t="shared" ca="1" si="5"/>
        <v>-1</v>
      </c>
      <c r="Q20" s="205">
        <f t="shared" ca="1" si="5"/>
        <v>0</v>
      </c>
      <c r="R20" s="205">
        <f t="shared" ca="1" si="5"/>
        <v>-1</v>
      </c>
      <c r="S20" s="205" t="e">
        <f t="shared" si="5"/>
        <v>#VALUE!</v>
      </c>
      <c r="T20" s="205" t="e">
        <f t="shared" si="5"/>
        <v>#VALUE!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-1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 t="e">
        <f t="shared" si="6"/>
        <v>#VALUE!</v>
      </c>
      <c r="T21" s="207" t="e">
        <f t="shared" si="6"/>
        <v>#VALUE!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0</v>
      </c>
      <c r="D22" s="207">
        <f t="shared" ca="1" si="7"/>
        <v>1</v>
      </c>
      <c r="E22" s="207">
        <f t="shared" ca="1" si="7"/>
        <v>2</v>
      </c>
      <c r="F22" s="207">
        <f t="shared" ca="1" si="7"/>
        <v>0</v>
      </c>
      <c r="G22" s="207">
        <f t="shared" ca="1" si="7"/>
        <v>0</v>
      </c>
      <c r="H22" s="207">
        <f t="shared" ca="1" si="7"/>
        <v>1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1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1</v>
      </c>
      <c r="Q22" s="207">
        <f t="shared" ca="1" si="7"/>
        <v>1</v>
      </c>
      <c r="R22" s="207">
        <f t="shared" ca="1" si="7"/>
        <v>0</v>
      </c>
      <c r="S22" s="207" t="str">
        <f t="shared" si="7"/>
        <v>no</v>
      </c>
      <c r="T22" s="207" t="str">
        <f t="shared" si="7"/>
        <v>no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 t="str">
        <f t="shared" si="9"/>
        <v>no</v>
      </c>
      <c r="T23" s="207" t="str">
        <f t="shared" si="9"/>
        <v>no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-0.39999999999999991</v>
      </c>
      <c r="D24" s="268">
        <f t="shared" ca="1" si="10"/>
        <v>0.29999999999999982</v>
      </c>
      <c r="E24" s="268">
        <f t="shared" ca="1" si="10"/>
        <v>0.40000000000000036</v>
      </c>
      <c r="F24" s="268">
        <f t="shared" ca="1" si="10"/>
        <v>-0.60000000000000009</v>
      </c>
      <c r="G24" s="268">
        <f t="shared" ca="1" si="10"/>
        <v>-0.60000000000000009</v>
      </c>
      <c r="H24" s="268">
        <f t="shared" ca="1" si="10"/>
        <v>0.5</v>
      </c>
      <c r="I24" s="268">
        <f t="shared" ca="1" si="10"/>
        <v>0</v>
      </c>
      <c r="J24" s="268">
        <f t="shared" ca="1" si="10"/>
        <v>0.20000000000000018</v>
      </c>
      <c r="K24" s="268">
        <f t="shared" ca="1" si="10"/>
        <v>0.29999999999999982</v>
      </c>
      <c r="L24" s="268">
        <f t="shared" ca="1" si="10"/>
        <v>0.29999999999999982</v>
      </c>
      <c r="M24" s="268">
        <f t="shared" ca="1" si="10"/>
        <v>0</v>
      </c>
      <c r="N24" s="268">
        <f t="shared" ca="1" si="10"/>
        <v>-0.70000000000000018</v>
      </c>
      <c r="O24" s="268">
        <f t="shared" ca="1" si="10"/>
        <v>-0.89999999999999991</v>
      </c>
      <c r="P24" s="268">
        <f t="shared" ca="1" si="10"/>
        <v>0.20000000000000018</v>
      </c>
      <c r="Q24" s="268">
        <f t="shared" ca="1" si="10"/>
        <v>0.20000000000000018</v>
      </c>
      <c r="R24" s="268">
        <f t="shared" ca="1" si="10"/>
        <v>-0.10000000000000009</v>
      </c>
      <c r="S24" s="268" t="e">
        <f t="shared" ca="1" si="10"/>
        <v>#VALUE!</v>
      </c>
      <c r="T24" s="268" t="e">
        <f t="shared" ca="1" si="10"/>
        <v>#VALUE!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-1</v>
      </c>
      <c r="D25" s="268">
        <f t="shared" ca="1" si="11"/>
        <v>0</v>
      </c>
      <c r="E25" s="268">
        <f t="shared" ca="1" si="11"/>
        <v>1</v>
      </c>
      <c r="F25" s="268">
        <f t="shared" ca="1" si="11"/>
        <v>-1</v>
      </c>
      <c r="G25" s="268">
        <f t="shared" ca="1" si="11"/>
        <v>-1</v>
      </c>
      <c r="H25" s="268">
        <f t="shared" ca="1" si="11"/>
        <v>0</v>
      </c>
      <c r="I25" s="268">
        <f t="shared" ca="1" si="11"/>
        <v>-0.5</v>
      </c>
      <c r="J25" s="268">
        <f t="shared" ca="1" si="11"/>
        <v>0</v>
      </c>
      <c r="K25" s="268">
        <f t="shared" ca="1" si="11"/>
        <v>0</v>
      </c>
      <c r="L25" s="268">
        <f t="shared" ca="1" si="11"/>
        <v>0.5</v>
      </c>
      <c r="M25" s="268">
        <f t="shared" ca="1" si="11"/>
        <v>0</v>
      </c>
      <c r="N25" s="268">
        <f t="shared" ca="1" si="11"/>
        <v>-0.5</v>
      </c>
      <c r="O25" s="268">
        <f t="shared" ca="1" si="11"/>
        <v>-1.5</v>
      </c>
      <c r="P25" s="268">
        <f t="shared" ca="1" si="11"/>
        <v>0</v>
      </c>
      <c r="Q25" s="268">
        <f t="shared" ca="1" si="11"/>
        <v>0.5</v>
      </c>
      <c r="R25" s="268">
        <f t="shared" ca="1" si="11"/>
        <v>-0.5</v>
      </c>
      <c r="S25" s="268" t="e">
        <f t="shared" ca="1" si="11"/>
        <v>#VALUE!</v>
      </c>
      <c r="T25" s="268" t="e">
        <f t="shared" ca="1" si="11"/>
        <v>#VALUE!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12</v>
      </c>
      <c r="N1" s="52">
        <f>INDEX(Parameter!$9:$9,,MATCH(12,Parameter!$8:$8,0))</f>
        <v>14</v>
      </c>
      <c r="O1" s="52">
        <f>INDEX(Parameter!$9:$9,,MATCH(13,Parameter!$8:$8,0))</f>
        <v>15</v>
      </c>
      <c r="P1" s="52">
        <f>INDEX(Parameter!$9:$9,,MATCH(14,Parameter!$8:$8,0))</f>
        <v>16</v>
      </c>
      <c r="Q1" s="52">
        <f>INDEX(Parameter!$9:$9,,MATCH(15,Parameter!$8:$8,0))</f>
        <v>17</v>
      </c>
      <c r="R1" s="52">
        <f>INDEX(Parameter!$9:$9,,MATCH(16,Parameter!$8:$8,0))</f>
        <v>18</v>
      </c>
      <c r="S1" s="52" t="str">
        <f>INDEX(Parameter!$9:$9,,MATCH(17,Parameter!$8:$8,0))</f>
        <v>17a</v>
      </c>
      <c r="T1" s="140" t="str">
        <f>INDEX(Parameter!$9:$9,,MATCH(18,Parameter!$8:$8,0))</f>
        <v>18a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1" t="s">
        <v>59</v>
      </c>
      <c r="AE1" s="452"/>
      <c r="AF1" s="452"/>
      <c r="AG1" s="453"/>
    </row>
    <row r="2" spans="1:130" x14ac:dyDescent="0.25">
      <c r="A2" s="474" t="s">
        <v>21</v>
      </c>
      <c r="B2" s="475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4">
        <f ca="1">SUMIF(C$12:AC$12,"&gt;0",C2:AC2)</f>
        <v>56</v>
      </c>
      <c r="AE2" s="455"/>
      <c r="AF2" s="455"/>
      <c r="AG2" s="456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Michal Kúdela</v>
      </c>
      <c r="B3" s="275"/>
      <c r="C3" s="332">
        <f ca="1">IF(OR(C$2="no",SUM(C12:C16)=0),"no",AVERAGE(C12:C16))</f>
        <v>3</v>
      </c>
      <c r="D3" s="333">
        <f t="shared" ref="D3:AC3" ca="1" si="0">IF(OR(D$2="no",SUM(D12:D16)=0),"no",AVERAGE(D12:D16))</f>
        <v>4</v>
      </c>
      <c r="E3" s="333">
        <f t="shared" ca="1" si="0"/>
        <v>5</v>
      </c>
      <c r="F3" s="333">
        <f t="shared" ca="1" si="0"/>
        <v>2</v>
      </c>
      <c r="G3" s="333">
        <f t="shared" ca="1" si="0"/>
        <v>2</v>
      </c>
      <c r="H3" s="333">
        <f t="shared" ca="1" si="0"/>
        <v>5</v>
      </c>
      <c r="I3" s="333">
        <f t="shared" ca="1" si="0"/>
        <v>2.5</v>
      </c>
      <c r="J3" s="333">
        <f t="shared" ca="1" si="0"/>
        <v>3</v>
      </c>
      <c r="K3" s="333">
        <f t="shared" ca="1" si="0"/>
        <v>4</v>
      </c>
      <c r="L3" s="333">
        <f t="shared" ca="1" si="0"/>
        <v>3.5</v>
      </c>
      <c r="M3" s="333">
        <f t="shared" ca="1" si="0"/>
        <v>3</v>
      </c>
      <c r="N3" s="333">
        <f t="shared" ca="1" si="0"/>
        <v>3.5</v>
      </c>
      <c r="O3" s="333">
        <f t="shared" ca="1" si="0"/>
        <v>2.5</v>
      </c>
      <c r="P3" s="333">
        <f t="shared" ca="1" si="0"/>
        <v>3</v>
      </c>
      <c r="Q3" s="333">
        <f t="shared" ca="1" si="0"/>
        <v>3.5</v>
      </c>
      <c r="R3" s="333">
        <f t="shared" ca="1" si="0"/>
        <v>2.5</v>
      </c>
      <c r="S3" s="333" t="str">
        <f t="shared" ca="1" si="0"/>
        <v>no</v>
      </c>
      <c r="T3" s="334" t="str">
        <f t="shared" ca="1" si="0"/>
        <v>no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66">
        <f t="shared" ref="AD3:AD10" ca="1" si="1">SUMIF(C$12:AC$12,"&gt;0",C3:AC3)</f>
        <v>52</v>
      </c>
      <c r="AE3" s="467"/>
      <c r="AF3" s="467"/>
      <c r="AG3" s="468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Danica Pajtak</v>
      </c>
      <c r="B4" s="275"/>
      <c r="C4" s="332">
        <f ca="1">IF(OR(C$2="no",SUM(C17:C21)=0),"no",AVERAGE(C17:C21))</f>
        <v>4</v>
      </c>
      <c r="D4" s="333">
        <f t="shared" ref="D4:AC4" ca="1" si="2">IF(OR(D$2="no",SUM(D17:D21)=0),"no",AVERAGE(D17:D21))</f>
        <v>4</v>
      </c>
      <c r="E4" s="333">
        <f t="shared" ca="1" si="2"/>
        <v>5</v>
      </c>
      <c r="F4" s="333">
        <f t="shared" ca="1" si="2"/>
        <v>3.5</v>
      </c>
      <c r="G4" s="333">
        <f t="shared" ca="1" si="2"/>
        <v>4.5</v>
      </c>
      <c r="H4" s="333">
        <f t="shared" ca="1" si="2"/>
        <v>6</v>
      </c>
      <c r="I4" s="333">
        <f t="shared" ca="1" si="2"/>
        <v>3.6666666666666665</v>
      </c>
      <c r="J4" s="333">
        <f t="shared" ca="1" si="2"/>
        <v>3</v>
      </c>
      <c r="K4" s="333">
        <f t="shared" ca="1" si="2"/>
        <v>6</v>
      </c>
      <c r="L4" s="333">
        <f t="shared" ca="1" si="2"/>
        <v>4</v>
      </c>
      <c r="M4" s="333">
        <f t="shared" ca="1" si="2"/>
        <v>3</v>
      </c>
      <c r="N4" s="333">
        <f t="shared" ca="1" si="2"/>
        <v>5.5</v>
      </c>
      <c r="O4" s="333">
        <f t="shared" ca="1" si="2"/>
        <v>4</v>
      </c>
      <c r="P4" s="333">
        <f t="shared" ca="1" si="2"/>
        <v>2.5</v>
      </c>
      <c r="Q4" s="333">
        <f t="shared" ca="1" si="2"/>
        <v>3</v>
      </c>
      <c r="R4" s="333">
        <f t="shared" ca="1" si="2"/>
        <v>3</v>
      </c>
      <c r="S4" s="333" t="str">
        <f t="shared" ca="1" si="2"/>
        <v>no</v>
      </c>
      <c r="T4" s="334" t="str">
        <f t="shared" ca="1" si="2"/>
        <v>no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66">
        <f t="shared" ca="1" si="1"/>
        <v>64.666666666666671</v>
      </c>
      <c r="AE4" s="467"/>
      <c r="AF4" s="467"/>
      <c r="AG4" s="468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4" t="str">
        <f>IF($A$1="m","Average Top 1 Men","Average Top 1 Women")</f>
        <v>Average Top 1 Men</v>
      </c>
      <c r="B5" s="465"/>
      <c r="C5" s="330">
        <f ca="1">IF(C$2="no","no",OFFSET(Data!$A$1,MATCH($A5,Data!$DT:$DT,0)-1,MATCH("Total/"&amp;C$1,Data!$1:$1,0)-1))</f>
        <v>3</v>
      </c>
      <c r="D5" s="331">
        <f ca="1">IF(D$2="no","no",OFFSET(Data!$A$1,MATCH($A5,Data!$DT:$DT,0)-1,MATCH("Total/"&amp;D$1,Data!$1:$1,0)-1))</f>
        <v>4</v>
      </c>
      <c r="E5" s="331">
        <f ca="1">IF(E$2="no","no",OFFSET(Data!$A$1,MATCH($A5,Data!$DT:$DT,0)-1,MATCH("Total/"&amp;E$1,Data!$1:$1,0)-1))</f>
        <v>5</v>
      </c>
      <c r="F5" s="331">
        <f ca="1">IF(F$2="no","no",OFFSET(Data!$A$1,MATCH($A5,Data!$DT:$DT,0)-1,MATCH("Total/"&amp;F$1,Data!$1:$1,0)-1))</f>
        <v>2</v>
      </c>
      <c r="G5" s="331">
        <f ca="1">IF(G$2="no","no",OFFSET(Data!$A$1,MATCH($A5,Data!$DT:$DT,0)-1,MATCH("Total/"&amp;G$1,Data!$1:$1,0)-1))</f>
        <v>2</v>
      </c>
      <c r="H5" s="331">
        <f ca="1">IF(H$2="no","no",OFFSET(Data!$A$1,MATCH($A5,Data!$DT:$DT,0)-1,MATCH("Total/"&amp;H$1,Data!$1:$1,0)-1))</f>
        <v>5</v>
      </c>
      <c r="I5" s="331">
        <f ca="1">IF(I$2="no","no",OFFSET(Data!$A$1,MATCH($A5,Data!$DT:$DT,0)-1,MATCH("Total/"&amp;I$1,Data!$1:$1,0)-1))</f>
        <v>2.5</v>
      </c>
      <c r="J5" s="331">
        <f ca="1">IF(J$2="no","no",OFFSET(Data!$A$1,MATCH($A5,Data!$DT:$DT,0)-1,MATCH("Total/"&amp;J$1,Data!$1:$1,0)-1))</f>
        <v>3</v>
      </c>
      <c r="K5" s="331">
        <f ca="1">IF(K$2="no","no",OFFSET(Data!$A$1,MATCH($A5,Data!$DT:$DT,0)-1,MATCH("Total/"&amp;K$1,Data!$1:$1,0)-1))</f>
        <v>4</v>
      </c>
      <c r="L5" s="331">
        <f ca="1">IF(L$2="no","no",OFFSET(Data!$A$1,MATCH($A5,Data!$DT:$DT,0)-1,MATCH("Total/"&amp;L$1,Data!$1:$1,0)-1))</f>
        <v>3.5</v>
      </c>
      <c r="M5" s="331">
        <f ca="1">IF(M$2="no","no",OFFSET(Data!$A$1,MATCH($A5,Data!$DT:$DT,0)-1,MATCH("Total/"&amp;M$1,Data!$1:$1,0)-1))</f>
        <v>3</v>
      </c>
      <c r="N5" s="331">
        <f ca="1">IF(N$2="no","no",OFFSET(Data!$A$1,MATCH($A5,Data!$DT:$DT,0)-1,MATCH("Total/"&amp;N$1,Data!$1:$1,0)-1))</f>
        <v>3.5</v>
      </c>
      <c r="O5" s="331">
        <f ca="1">IF(O$2="no","no",OFFSET(Data!$A$1,MATCH($A5,Data!$DT:$DT,0)-1,MATCH("Total/"&amp;O$1,Data!$1:$1,0)-1))</f>
        <v>2.5</v>
      </c>
      <c r="P5" s="331">
        <f ca="1">IF(P$2="no","no",OFFSET(Data!$A$1,MATCH($A5,Data!$DT:$DT,0)-1,MATCH("Total/"&amp;P$1,Data!$1:$1,0)-1))</f>
        <v>3</v>
      </c>
      <c r="Q5" s="331">
        <f ca="1">IF(Q$2="no","no",OFFSET(Data!$A$1,MATCH($A5,Data!$DT:$DT,0)-1,MATCH("Total/"&amp;Q$1,Data!$1:$1,0)-1))</f>
        <v>3.5</v>
      </c>
      <c r="R5" s="331">
        <f ca="1">IF(R$2="no","no",OFFSET(Data!$A$1,MATCH($A5,Data!$DT:$DT,0)-1,MATCH("Total/"&amp;R$1,Data!$1:$1,0)-1))</f>
        <v>2.5</v>
      </c>
      <c r="S5" s="331" t="str">
        <f ca="1">IF(S$2="no","no",OFFSET(Data!$A$1,MATCH($A5,Data!$DT:$DT,0)-1,MATCH("Total/"&amp;S$1,Data!$1:$1,0)-1))</f>
        <v>no</v>
      </c>
      <c r="T5" s="329" t="str">
        <f ca="1">IF(T$2="no","no",OFFSET(Data!$A$1,MATCH($A5,Data!$DT:$DT,0)-1,MATCH("Total/"&amp;T$1,Data!$1:$1,0)-1))</f>
        <v>no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66">
        <f t="shared" ca="1" si="1"/>
        <v>52</v>
      </c>
      <c r="AE5" s="467"/>
      <c r="AF5" s="467"/>
      <c r="AG5" s="468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4" t="str">
        <f>IF($A$1="m","Average Top 5 Men","Average Top 5 Women")</f>
        <v>Average Top 5 Men</v>
      </c>
      <c r="B6" s="465"/>
      <c r="C6" s="330">
        <f ca="1">IF(C$2="no","no",OFFSET(Data!$A$1,MATCH($A6,Data!$DT:$DT,0)-1,MATCH("Total/"&amp;C$1,Data!$1:$1,0)-1))</f>
        <v>3.4</v>
      </c>
      <c r="D6" s="331">
        <f ca="1">IF(D$2="no","no",OFFSET(Data!$A$1,MATCH($A6,Data!$DT:$DT,0)-1,MATCH("Total/"&amp;D$1,Data!$1:$1,0)-1))</f>
        <v>3.7</v>
      </c>
      <c r="E6" s="331">
        <f ca="1">IF(E$2="no","no",OFFSET(Data!$A$1,MATCH($A6,Data!$DT:$DT,0)-1,MATCH("Total/"&amp;E$1,Data!$1:$1,0)-1))</f>
        <v>4.5999999999999996</v>
      </c>
      <c r="F6" s="331">
        <f ca="1">IF(F$2="no","no",OFFSET(Data!$A$1,MATCH($A6,Data!$DT:$DT,0)-1,MATCH("Total/"&amp;F$1,Data!$1:$1,0)-1))</f>
        <v>2.6</v>
      </c>
      <c r="G6" s="331">
        <f ca="1">IF(G$2="no","no",OFFSET(Data!$A$1,MATCH($A6,Data!$DT:$DT,0)-1,MATCH("Total/"&amp;G$1,Data!$1:$1,0)-1))</f>
        <v>2.6</v>
      </c>
      <c r="H6" s="331">
        <f ca="1">IF(H$2="no","no",OFFSET(Data!$A$1,MATCH($A6,Data!$DT:$DT,0)-1,MATCH("Total/"&amp;H$1,Data!$1:$1,0)-1))</f>
        <v>4.5</v>
      </c>
      <c r="I6" s="331">
        <f ca="1">IF(I$2="no","no",OFFSET(Data!$A$1,MATCH($A6,Data!$DT:$DT,0)-1,MATCH("Total/"&amp;I$1,Data!$1:$1,0)-1))</f>
        <v>2.5</v>
      </c>
      <c r="J6" s="331">
        <f ca="1">IF(J$2="no","no",OFFSET(Data!$A$1,MATCH($A6,Data!$DT:$DT,0)-1,MATCH("Total/"&amp;J$1,Data!$1:$1,0)-1))</f>
        <v>2.8</v>
      </c>
      <c r="K6" s="331">
        <f ca="1">IF(K$2="no","no",OFFSET(Data!$A$1,MATCH($A6,Data!$DT:$DT,0)-1,MATCH("Total/"&amp;K$1,Data!$1:$1,0)-1))</f>
        <v>3.7</v>
      </c>
      <c r="L6" s="331">
        <f ca="1">IF(L$2="no","no",OFFSET(Data!$A$1,MATCH($A6,Data!$DT:$DT,0)-1,MATCH("Total/"&amp;L$1,Data!$1:$1,0)-1))</f>
        <v>3.2</v>
      </c>
      <c r="M6" s="331">
        <f ca="1">IF(M$2="no","no",OFFSET(Data!$A$1,MATCH($A6,Data!$DT:$DT,0)-1,MATCH("Total/"&amp;M$1,Data!$1:$1,0)-1))</f>
        <v>3</v>
      </c>
      <c r="N6" s="331">
        <f ca="1">IF(N$2="no","no",OFFSET(Data!$A$1,MATCH($A6,Data!$DT:$DT,0)-1,MATCH("Total/"&amp;N$1,Data!$1:$1,0)-1))</f>
        <v>4.2</v>
      </c>
      <c r="O6" s="331">
        <f ca="1">IF(O$2="no","no",OFFSET(Data!$A$1,MATCH($A6,Data!$DT:$DT,0)-1,MATCH("Total/"&amp;O$1,Data!$1:$1,0)-1))</f>
        <v>3.4</v>
      </c>
      <c r="P6" s="331">
        <f ca="1">IF(P$2="no","no",OFFSET(Data!$A$1,MATCH($A6,Data!$DT:$DT,0)-1,MATCH("Total/"&amp;P$1,Data!$1:$1,0)-1))</f>
        <v>2.8</v>
      </c>
      <c r="Q6" s="331">
        <f ca="1">IF(Q$2="no","no",OFFSET(Data!$A$1,MATCH($A6,Data!$DT:$DT,0)-1,MATCH("Total/"&amp;Q$1,Data!$1:$1,0)-1))</f>
        <v>3.3</v>
      </c>
      <c r="R6" s="331">
        <f ca="1">IF(R$2="no","no",OFFSET(Data!$A$1,MATCH($A6,Data!$DT:$DT,0)-1,MATCH("Total/"&amp;R$1,Data!$1:$1,0)-1))</f>
        <v>2.6</v>
      </c>
      <c r="S6" s="331" t="str">
        <f ca="1">IF(S$2="no","no",OFFSET(Data!$A$1,MATCH($A6,Data!$DT:$DT,0)-1,MATCH("Total/"&amp;S$1,Data!$1:$1,0)-1))</f>
        <v>no</v>
      </c>
      <c r="T6" s="329" t="str">
        <f ca="1">IF(T$2="no","no",OFFSET(Data!$A$1,MATCH($A6,Data!$DT:$DT,0)-1,MATCH("Total/"&amp;T$1,Data!$1:$1,0)-1))</f>
        <v>no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66">
        <f t="shared" ca="1" si="1"/>
        <v>52.9</v>
      </c>
      <c r="AE6" s="467"/>
      <c r="AF6" s="467"/>
      <c r="AG6" s="468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4" t="str">
        <f>IF($A$1="m","Average Top 10 Men","Average Top 10 Women")</f>
        <v>Average Top 10 Men</v>
      </c>
      <c r="B7" s="465"/>
      <c r="C7" s="330">
        <f ca="1">IF(C$2="no","no",OFFSET(Data!$A$1,MATCH($A7,Data!$DT:$DT,0)-1,MATCH("Total/"&amp;C$1,Data!$1:$1,0)-1))</f>
        <v>3.45</v>
      </c>
      <c r="D7" s="331">
        <f ca="1">IF(D$2="no","no",OFFSET(Data!$A$1,MATCH($A7,Data!$DT:$DT,0)-1,MATCH("Total/"&amp;D$1,Data!$1:$1,0)-1))</f>
        <v>3.65</v>
      </c>
      <c r="E7" s="331">
        <f ca="1">IF(E$2="no","no",OFFSET(Data!$A$1,MATCH($A7,Data!$DT:$DT,0)-1,MATCH("Total/"&amp;E$1,Data!$1:$1,0)-1))</f>
        <v>4.6500000000000004</v>
      </c>
      <c r="F7" s="331">
        <f ca="1">IF(F$2="no","no",OFFSET(Data!$A$1,MATCH($A7,Data!$DT:$DT,0)-1,MATCH("Total/"&amp;F$1,Data!$1:$1,0)-1))</f>
        <v>2.65</v>
      </c>
      <c r="G7" s="331">
        <f ca="1">IF(G$2="no","no",OFFSET(Data!$A$1,MATCH($A7,Data!$DT:$DT,0)-1,MATCH("Total/"&amp;G$1,Data!$1:$1,0)-1))</f>
        <v>2.9</v>
      </c>
      <c r="H7" s="331">
        <f ca="1">IF(H$2="no","no",OFFSET(Data!$A$1,MATCH($A7,Data!$DT:$DT,0)-1,MATCH("Total/"&amp;H$1,Data!$1:$1,0)-1))</f>
        <v>4.5999999999999996</v>
      </c>
      <c r="I7" s="331">
        <f ca="1">IF(I$2="no","no",OFFSET(Data!$A$1,MATCH($A7,Data!$DT:$DT,0)-1,MATCH("Total/"&amp;I$1,Data!$1:$1,0)-1))</f>
        <v>2.6</v>
      </c>
      <c r="J7" s="331">
        <f ca="1">IF(J$2="no","no",OFFSET(Data!$A$1,MATCH($A7,Data!$DT:$DT,0)-1,MATCH("Total/"&amp;J$1,Data!$1:$1,0)-1))</f>
        <v>2.85</v>
      </c>
      <c r="K7" s="331">
        <f ca="1">IF(K$2="no","no",OFFSET(Data!$A$1,MATCH($A7,Data!$DT:$DT,0)-1,MATCH("Total/"&amp;K$1,Data!$1:$1,0)-1))</f>
        <v>3.55</v>
      </c>
      <c r="L7" s="331">
        <f ca="1">IF(L$2="no","no",OFFSET(Data!$A$1,MATCH($A7,Data!$DT:$DT,0)-1,MATCH("Total/"&amp;L$1,Data!$1:$1,0)-1))</f>
        <v>3.3</v>
      </c>
      <c r="M7" s="331">
        <f ca="1">IF(M$2="no","no",OFFSET(Data!$A$1,MATCH($A7,Data!$DT:$DT,0)-1,MATCH("Total/"&amp;M$1,Data!$1:$1,0)-1))</f>
        <v>2.95</v>
      </c>
      <c r="N7" s="331">
        <f ca="1">IF(N$2="no","no",OFFSET(Data!$A$1,MATCH($A7,Data!$DT:$DT,0)-1,MATCH("Total/"&amp;N$1,Data!$1:$1,0)-1))</f>
        <v>4.45</v>
      </c>
      <c r="O7" s="331">
        <f ca="1">IF(O$2="no","no",OFFSET(Data!$A$1,MATCH($A7,Data!$DT:$DT,0)-1,MATCH("Total/"&amp;O$1,Data!$1:$1,0)-1))</f>
        <v>3.65</v>
      </c>
      <c r="P7" s="331">
        <f ca="1">IF(P$2="no","no",OFFSET(Data!$A$1,MATCH($A7,Data!$DT:$DT,0)-1,MATCH("Total/"&amp;P$1,Data!$1:$1,0)-1))</f>
        <v>2.85</v>
      </c>
      <c r="Q7" s="331">
        <f ca="1">IF(Q$2="no","no",OFFSET(Data!$A$1,MATCH($A7,Data!$DT:$DT,0)-1,MATCH("Total/"&amp;Q$1,Data!$1:$1,0)-1))</f>
        <v>3.15</v>
      </c>
      <c r="R7" s="331">
        <f ca="1">IF(R$2="no","no",OFFSET(Data!$A$1,MATCH($A7,Data!$DT:$DT,0)-1,MATCH("Total/"&amp;R$1,Data!$1:$1,0)-1))</f>
        <v>2.75</v>
      </c>
      <c r="S7" s="331" t="str">
        <f ca="1">IF(S$2="no","no",OFFSET(Data!$A$1,MATCH($A7,Data!$DT:$DT,0)-1,MATCH("Total/"&amp;S$1,Data!$1:$1,0)-1))</f>
        <v>no</v>
      </c>
      <c r="T7" s="329" t="str">
        <f ca="1">IF(T$2="no","no",OFFSET(Data!$A$1,MATCH($A7,Data!$DT:$DT,0)-1,MATCH("Total/"&amp;T$1,Data!$1:$1,0)-1))</f>
        <v>no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66">
        <f t="shared" ca="1" si="1"/>
        <v>54.000000000000007</v>
      </c>
      <c r="AE7" s="467"/>
      <c r="AF7" s="467"/>
      <c r="AG7" s="468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4" t="str">
        <f>IF($A$1="m","Average Top 20 Men","Average Top 20 Women")</f>
        <v>Average Top 20 Men</v>
      </c>
      <c r="B8" s="465"/>
      <c r="C8" s="330">
        <f ca="1">IF(C$2="no","no",OFFSET(Data!$A$1,MATCH($A8,Data!$DT:$DT,0)-1,MATCH("Total/"&amp;C$1,Data!$1:$1,0)-1))</f>
        <v>3.8095238095238093</v>
      </c>
      <c r="D8" s="331">
        <f ca="1">IF(D$2="no","no",OFFSET(Data!$A$1,MATCH($A8,Data!$DT:$DT,0)-1,MATCH("Total/"&amp;D$1,Data!$1:$1,0)-1))</f>
        <v>3.9047619047619047</v>
      </c>
      <c r="E8" s="331">
        <f ca="1">IF(E$2="no","no",OFFSET(Data!$A$1,MATCH($A8,Data!$DT:$DT,0)-1,MATCH("Total/"&amp;E$1,Data!$1:$1,0)-1))</f>
        <v>4.5714285714285712</v>
      </c>
      <c r="F8" s="331">
        <f ca="1">IF(F$2="no","no",OFFSET(Data!$A$1,MATCH($A8,Data!$DT:$DT,0)-1,MATCH("Total/"&amp;F$1,Data!$1:$1,0)-1))</f>
        <v>2.7142857142857144</v>
      </c>
      <c r="G8" s="331">
        <f ca="1">IF(G$2="no","no",OFFSET(Data!$A$1,MATCH($A8,Data!$DT:$DT,0)-1,MATCH("Total/"&amp;G$1,Data!$1:$1,0)-1))</f>
        <v>3.0476190476190474</v>
      </c>
      <c r="H8" s="331">
        <f ca="1">IF(H$2="no","no",OFFSET(Data!$A$1,MATCH($A8,Data!$DT:$DT,0)-1,MATCH("Total/"&amp;H$1,Data!$1:$1,0)-1))</f>
        <v>4.7857142857142856</v>
      </c>
      <c r="I8" s="331">
        <f ca="1">IF(I$2="no","no",OFFSET(Data!$A$1,MATCH($A8,Data!$DT:$DT,0)-1,MATCH("Total/"&amp;I$1,Data!$1:$1,0)-1))</f>
        <v>2.8809523809523809</v>
      </c>
      <c r="J8" s="331">
        <f ca="1">IF(J$2="no","no",OFFSET(Data!$A$1,MATCH($A8,Data!$DT:$DT,0)-1,MATCH("Total/"&amp;J$1,Data!$1:$1,0)-1))</f>
        <v>2.8571428571428572</v>
      </c>
      <c r="K8" s="331">
        <f ca="1">IF(K$2="no","no",OFFSET(Data!$A$1,MATCH($A8,Data!$DT:$DT,0)-1,MATCH("Total/"&amp;K$1,Data!$1:$1,0)-1))</f>
        <v>3.8571428571428572</v>
      </c>
      <c r="L8" s="331">
        <f ca="1">IF(L$2="no","no",OFFSET(Data!$A$1,MATCH($A8,Data!$DT:$DT,0)-1,MATCH("Total/"&amp;L$1,Data!$1:$1,0)-1))</f>
        <v>3.4047619047619047</v>
      </c>
      <c r="M8" s="331">
        <f ca="1">IF(M$2="no","no",OFFSET(Data!$A$1,MATCH($A8,Data!$DT:$DT,0)-1,MATCH("Total/"&amp;M$1,Data!$1:$1,0)-1))</f>
        <v>2.9047619047619047</v>
      </c>
      <c r="N8" s="331">
        <f ca="1">IF(N$2="no","no",OFFSET(Data!$A$1,MATCH($A8,Data!$DT:$DT,0)-1,MATCH("Total/"&amp;N$1,Data!$1:$1,0)-1))</f>
        <v>4.5714285714285712</v>
      </c>
      <c r="O8" s="331">
        <f ca="1">IF(O$2="no","no",OFFSET(Data!$A$1,MATCH($A8,Data!$DT:$DT,0)-1,MATCH("Total/"&amp;O$1,Data!$1:$1,0)-1))</f>
        <v>3.8333333333333335</v>
      </c>
      <c r="P8" s="331">
        <f ca="1">IF(P$2="no","no",OFFSET(Data!$A$1,MATCH($A8,Data!$DT:$DT,0)-1,MATCH("Total/"&amp;P$1,Data!$1:$1,0)-1))</f>
        <v>3.0476190476190474</v>
      </c>
      <c r="Q8" s="331">
        <f ca="1">IF(Q$2="no","no",OFFSET(Data!$A$1,MATCH($A8,Data!$DT:$DT,0)-1,MATCH("Total/"&amp;Q$1,Data!$1:$1,0)-1))</f>
        <v>3.3571428571428572</v>
      </c>
      <c r="R8" s="331">
        <f ca="1">IF(R$2="no","no",OFFSET(Data!$A$1,MATCH($A8,Data!$DT:$DT,0)-1,MATCH("Total/"&amp;R$1,Data!$1:$1,0)-1))</f>
        <v>2.9285714285714284</v>
      </c>
      <c r="S8" s="331" t="str">
        <f ca="1">IF(S$2="no","no",OFFSET(Data!$A$1,MATCH($A8,Data!$DT:$DT,0)-1,MATCH("Total/"&amp;S$1,Data!$1:$1,0)-1))</f>
        <v>no</v>
      </c>
      <c r="T8" s="329" t="str">
        <f ca="1">IF(T$2="no","no",OFFSET(Data!$A$1,MATCH($A8,Data!$DT:$DT,0)-1,MATCH("Total/"&amp;T$1,Data!$1:$1,0)-1))</f>
        <v>no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66">
        <f t="shared" ca="1" si="1"/>
        <v>56.476190476190474</v>
      </c>
      <c r="AE8" s="467"/>
      <c r="AF8" s="467"/>
      <c r="AG8" s="468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4" t="str">
        <f>IF($A$1="m","Average Top 30 Men","Average Top 30 Women")</f>
        <v>Average Top 30 Men</v>
      </c>
      <c r="B9" s="465"/>
      <c r="C9" s="330">
        <f ca="1">IF(C$2="no","no",OFFSET(Data!$A$1,MATCH($A9,Data!$DT:$DT,0)-1,MATCH("Total/"&amp;C$1,Data!$1:$1,0)-1))</f>
        <v>3.8833333333333333</v>
      </c>
      <c r="D9" s="331">
        <f ca="1">IF(D$2="no","no",OFFSET(Data!$A$1,MATCH($A9,Data!$DT:$DT,0)-1,MATCH("Total/"&amp;D$1,Data!$1:$1,0)-1))</f>
        <v>4.083333333333333</v>
      </c>
      <c r="E9" s="331">
        <f ca="1">IF(E$2="no","no",OFFSET(Data!$A$1,MATCH($A9,Data!$DT:$DT,0)-1,MATCH("Total/"&amp;E$1,Data!$1:$1,0)-1))</f>
        <v>4.7333333333333334</v>
      </c>
      <c r="F9" s="331">
        <f ca="1">IF(F$2="no","no",OFFSET(Data!$A$1,MATCH($A9,Data!$DT:$DT,0)-1,MATCH("Total/"&amp;F$1,Data!$1:$1,0)-1))</f>
        <v>2.85</v>
      </c>
      <c r="G9" s="331">
        <f ca="1">IF(G$2="no","no",OFFSET(Data!$A$1,MATCH($A9,Data!$DT:$DT,0)-1,MATCH("Total/"&amp;G$1,Data!$1:$1,0)-1))</f>
        <v>3.1</v>
      </c>
      <c r="H9" s="331">
        <f ca="1">IF(H$2="no","no",OFFSET(Data!$A$1,MATCH($A9,Data!$DT:$DT,0)-1,MATCH("Total/"&amp;H$1,Data!$1:$1,0)-1))</f>
        <v>4.916666666666667</v>
      </c>
      <c r="I9" s="331">
        <f ca="1">IF(I$2="no","no",OFFSET(Data!$A$1,MATCH($A9,Data!$DT:$DT,0)-1,MATCH("Total/"&amp;I$1,Data!$1:$1,0)-1))</f>
        <v>3.1166666666666667</v>
      </c>
      <c r="J9" s="331">
        <f ca="1">IF(J$2="no","no",OFFSET(Data!$A$1,MATCH($A9,Data!$DT:$DT,0)-1,MATCH("Total/"&amp;J$1,Data!$1:$1,0)-1))</f>
        <v>2.9666666666666668</v>
      </c>
      <c r="K9" s="331">
        <f ca="1">IF(K$2="no","no",OFFSET(Data!$A$1,MATCH($A9,Data!$DT:$DT,0)-1,MATCH("Total/"&amp;K$1,Data!$1:$1,0)-1))</f>
        <v>4.1333333333333337</v>
      </c>
      <c r="L9" s="331">
        <f ca="1">IF(L$2="no","no",OFFSET(Data!$A$1,MATCH($A9,Data!$DT:$DT,0)-1,MATCH("Total/"&amp;L$1,Data!$1:$1,0)-1))</f>
        <v>3.4333333333333331</v>
      </c>
      <c r="M9" s="331">
        <f ca="1">IF(M$2="no","no",OFFSET(Data!$A$1,MATCH($A9,Data!$DT:$DT,0)-1,MATCH("Total/"&amp;M$1,Data!$1:$1,0)-1))</f>
        <v>2.9</v>
      </c>
      <c r="N9" s="331">
        <f ca="1">IF(N$2="no","no",OFFSET(Data!$A$1,MATCH($A9,Data!$DT:$DT,0)-1,MATCH("Total/"&amp;N$1,Data!$1:$1,0)-1))</f>
        <v>4.7833333333333332</v>
      </c>
      <c r="O9" s="331">
        <f ca="1">IF(O$2="no","no",OFFSET(Data!$A$1,MATCH($A9,Data!$DT:$DT,0)-1,MATCH("Total/"&amp;O$1,Data!$1:$1,0)-1))</f>
        <v>4</v>
      </c>
      <c r="P9" s="331">
        <f ca="1">IF(P$2="no","no",OFFSET(Data!$A$1,MATCH($A9,Data!$DT:$DT,0)-1,MATCH("Total/"&amp;P$1,Data!$1:$1,0)-1))</f>
        <v>3.1666666666666665</v>
      </c>
      <c r="Q9" s="331">
        <f ca="1">IF(Q$2="no","no",OFFSET(Data!$A$1,MATCH($A9,Data!$DT:$DT,0)-1,MATCH("Total/"&amp;Q$1,Data!$1:$1,0)-1))</f>
        <v>3.4666666666666668</v>
      </c>
      <c r="R9" s="331">
        <f ca="1">IF(R$2="no","no",OFFSET(Data!$A$1,MATCH($A9,Data!$DT:$DT,0)-1,MATCH("Total/"&amp;R$1,Data!$1:$1,0)-1))</f>
        <v>3</v>
      </c>
      <c r="S9" s="331" t="str">
        <f ca="1">IF(S$2="no","no",OFFSET(Data!$A$1,MATCH($A9,Data!$DT:$DT,0)-1,MATCH("Total/"&amp;S$1,Data!$1:$1,0)-1))</f>
        <v>no</v>
      </c>
      <c r="T9" s="329" t="str">
        <f ca="1">IF(T$2="no","no",OFFSET(Data!$A$1,MATCH($A9,Data!$DT:$DT,0)-1,MATCH("Total/"&amp;T$1,Data!$1:$1,0)-1))</f>
        <v>no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66">
        <f t="shared" ca="1" si="1"/>
        <v>58.533333333333324</v>
      </c>
      <c r="AE9" s="467"/>
      <c r="AF9" s="467"/>
      <c r="AG9" s="468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3" t="str">
        <f>IF($A$1="m","Average Men","Average Women")</f>
        <v>Average Men</v>
      </c>
      <c r="B10" s="484"/>
      <c r="C10" s="330">
        <f ca="1">IF(C$2="no","no",OFFSET(Data!$A$1,MATCH($A10,Data!$DT:$DT,0)-1,MATCH("Total/"&amp;C$1,Data!$1:$1,0)-1))</f>
        <v>4.2650602409638552</v>
      </c>
      <c r="D10" s="331">
        <f ca="1">IF(D$2="no","no",OFFSET(Data!$A$1,MATCH($A10,Data!$DT:$DT,0)-1,MATCH("Total/"&amp;D$1,Data!$1:$1,0)-1))</f>
        <v>4.4390243902439028</v>
      </c>
      <c r="E10" s="331">
        <f ca="1">IF(E$2="no","no",OFFSET(Data!$A$1,MATCH($A10,Data!$DT:$DT,0)-1,MATCH("Total/"&amp;E$1,Data!$1:$1,0)-1))</f>
        <v>5.168674698795181</v>
      </c>
      <c r="F10" s="331">
        <f ca="1">IF(F$2="no","no",OFFSET(Data!$A$1,MATCH($A10,Data!$DT:$DT,0)-1,MATCH("Total/"&amp;F$1,Data!$1:$1,0)-1))</f>
        <v>2.9759036144578315</v>
      </c>
      <c r="G10" s="331">
        <f ca="1">IF(G$2="no","no",OFFSET(Data!$A$1,MATCH($A10,Data!$DT:$DT,0)-1,MATCH("Total/"&amp;G$1,Data!$1:$1,0)-1))</f>
        <v>3.2530120481927711</v>
      </c>
      <c r="H10" s="331">
        <f ca="1">IF(H$2="no","no",OFFSET(Data!$A$1,MATCH($A10,Data!$DT:$DT,0)-1,MATCH("Total/"&amp;H$1,Data!$1:$1,0)-1))</f>
        <v>5.3292682926829267</v>
      </c>
      <c r="I10" s="331">
        <f ca="1">IF(I$2="no","no",OFFSET(Data!$A$1,MATCH($A10,Data!$DT:$DT,0)-1,MATCH("Total/"&amp;I$1,Data!$1:$1,0)-1))</f>
        <v>3.2289156626506026</v>
      </c>
      <c r="J10" s="331">
        <f ca="1">IF(J$2="no","no",OFFSET(Data!$A$1,MATCH($A10,Data!$DT:$DT,0)-1,MATCH("Total/"&amp;J$1,Data!$1:$1,0)-1))</f>
        <v>3.0602409638554215</v>
      </c>
      <c r="K10" s="331">
        <f ca="1">IF(K$2="no","no",OFFSET(Data!$A$1,MATCH($A10,Data!$DT:$DT,0)-1,MATCH("Total/"&amp;K$1,Data!$1:$1,0)-1))</f>
        <v>4.4216867469879517</v>
      </c>
      <c r="L10" s="331">
        <f ca="1">IF(L$2="no","no",OFFSET(Data!$A$1,MATCH($A10,Data!$DT:$DT,0)-1,MATCH("Total/"&amp;L$1,Data!$1:$1,0)-1))</f>
        <v>3.6867469879518073</v>
      </c>
      <c r="M10" s="331">
        <f ca="1">IF(M$2="no","no",OFFSET(Data!$A$1,MATCH($A10,Data!$DT:$DT,0)-1,MATCH("Total/"&amp;M$1,Data!$1:$1,0)-1))</f>
        <v>3.0120481927710845</v>
      </c>
      <c r="N10" s="331">
        <f ca="1">IF(N$2="no","no",OFFSET(Data!$A$1,MATCH($A10,Data!$DT:$DT,0)-1,MATCH("Total/"&amp;N$1,Data!$1:$1,0)-1))</f>
        <v>5.1566265060240966</v>
      </c>
      <c r="O10" s="331">
        <f ca="1">IF(O$2="no","no",OFFSET(Data!$A$1,MATCH($A10,Data!$DT:$DT,0)-1,MATCH("Total/"&amp;O$1,Data!$1:$1,0)-1))</f>
        <v>4.2530120481927707</v>
      </c>
      <c r="P10" s="331">
        <f ca="1">IF(P$2="no","no",OFFSET(Data!$A$1,MATCH($A10,Data!$DT:$DT,0)-1,MATCH("Total/"&amp;P$1,Data!$1:$1,0)-1))</f>
        <v>3.3132530120481927</v>
      </c>
      <c r="Q10" s="331">
        <f ca="1">IF(Q$2="no","no",OFFSET(Data!$A$1,MATCH($A10,Data!$DT:$DT,0)-1,MATCH("Total/"&amp;Q$1,Data!$1:$1,0)-1))</f>
        <v>3.6144578313253013</v>
      </c>
      <c r="R10" s="331">
        <f ca="1">IF(R$2="no","no",OFFSET(Data!$A$1,MATCH($A10,Data!$DT:$DT,0)-1,MATCH("Total/"&amp;R$1,Data!$1:$1,0)-1))</f>
        <v>3.0843373493975905</v>
      </c>
      <c r="S10" s="331" t="str">
        <f ca="1">IF(S$2="no","no",OFFSET(Data!$A$1,MATCH($A10,Data!$DT:$DT,0)-1,MATCH("Total/"&amp;S$1,Data!$1:$1,0)-1))</f>
        <v>no</v>
      </c>
      <c r="T10" s="329" t="str">
        <f ca="1">IF(T$2="no","no",OFFSET(Data!$A$1,MATCH($A10,Data!$DT:$DT,0)-1,MATCH("Total/"&amp;T$1,Data!$1:$1,0)-1))</f>
        <v>no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66">
        <f t="shared" ca="1" si="1"/>
        <v>62.262268586541289</v>
      </c>
      <c r="AE10" s="467"/>
      <c r="AF10" s="467"/>
      <c r="AG10" s="468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157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Michal Kúdela vs. Avg. Danica Pajtak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75</v>
      </c>
      <c r="AF11" s="170" t="s">
        <v>76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764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5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6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2</v>
      </c>
      <c r="S12" s="73" t="str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/>
      </c>
      <c r="T12" s="74" t="str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/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56</v>
      </c>
      <c r="AE12" s="172">
        <f t="shared" ref="AE12:AE21" ca="1" si="3">AF12-AD12</f>
        <v>-7</v>
      </c>
      <c r="AF12" s="171">
        <f t="shared" ref="AF12:AF21" ca="1" si="4">SUM(C12:AC12)</f>
        <v>49</v>
      </c>
      <c r="AG12" s="172">
        <f ca="1">AF12</f>
        <v>49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5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5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4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 t="str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/>
      </c>
      <c r="T13" s="70" t="str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/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56</v>
      </c>
      <c r="AE13" s="174">
        <f t="shared" ca="1" si="3"/>
        <v>-1</v>
      </c>
      <c r="AF13" s="173">
        <f t="shared" ca="1" si="4"/>
        <v>55</v>
      </c>
      <c r="AG13" s="174">
        <f ca="1">SUM(AF$12:AF13)</f>
        <v>104</v>
      </c>
      <c r="AP13" s="204"/>
    </row>
    <row r="14" spans="1:130" hidden="1" x14ac:dyDescent="0.25">
      <c r="A14" s="167"/>
      <c r="B14" s="181" t="s">
        <v>28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104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29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104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104</v>
      </c>
      <c r="AP16" s="204"/>
    </row>
    <row r="17" spans="1:130" ht="15.75" thickBot="1" x14ac:dyDescent="0.3">
      <c r="A17" s="164" t="s">
        <v>769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4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5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6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7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6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3</v>
      </c>
      <c r="S17" s="73" t="str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/>
      </c>
      <c r="T17" s="74" t="str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/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56</v>
      </c>
      <c r="AE17" s="172">
        <f t="shared" ca="1" si="3"/>
        <v>11</v>
      </c>
      <c r="AF17" s="171">
        <f t="shared" ca="1" si="4"/>
        <v>67</v>
      </c>
      <c r="AG17" s="172">
        <f ca="1">AF17</f>
        <v>67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5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5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6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5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2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 t="str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/>
      </c>
      <c r="T18" s="70" t="str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/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56</v>
      </c>
      <c r="AE18" s="174">
        <f t="shared" ca="1" si="3"/>
        <v>6</v>
      </c>
      <c r="AF18" s="173">
        <f t="shared" ca="1" si="4"/>
        <v>62</v>
      </c>
      <c r="AG18" s="174">
        <f ca="1">SUM(AF$17:AF18)</f>
        <v>129</v>
      </c>
      <c r="AP18" s="204"/>
    </row>
    <row r="19" spans="1:130" hidden="1" x14ac:dyDescent="0.25">
      <c r="A19" s="167"/>
      <c r="B19" s="181" t="s">
        <v>28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129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29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129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>4</v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3</v>
      </c>
      <c r="AE21" s="177">
        <f t="shared" ca="1" si="3"/>
        <v>1</v>
      </c>
      <c r="AF21" s="176">
        <f t="shared" ca="1" si="4"/>
        <v>4</v>
      </c>
      <c r="AG21" s="177">
        <f ca="1">SUM(AF$17:AF21)</f>
        <v>133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-1</v>
      </c>
      <c r="D22" s="276">
        <f t="shared" ref="D22:AC22" ca="1" si="6">D3-D4</f>
        <v>0</v>
      </c>
      <c r="E22" s="205">
        <f t="shared" ca="1" si="6"/>
        <v>0</v>
      </c>
      <c r="F22" s="205">
        <f t="shared" ca="1" si="6"/>
        <v>-1.5</v>
      </c>
      <c r="G22" s="205">
        <f t="shared" ca="1" si="6"/>
        <v>-2.5</v>
      </c>
      <c r="H22" s="205">
        <f t="shared" ca="1" si="6"/>
        <v>-1</v>
      </c>
      <c r="I22" s="205">
        <f t="shared" ca="1" si="6"/>
        <v>-1.1666666666666665</v>
      </c>
      <c r="J22" s="205">
        <f t="shared" ca="1" si="6"/>
        <v>0</v>
      </c>
      <c r="K22" s="205">
        <f t="shared" ca="1" si="6"/>
        <v>-2</v>
      </c>
      <c r="L22" s="205">
        <f t="shared" ca="1" si="6"/>
        <v>-0.5</v>
      </c>
      <c r="M22" s="205">
        <f t="shared" ca="1" si="6"/>
        <v>0</v>
      </c>
      <c r="N22" s="205">
        <f t="shared" ca="1" si="6"/>
        <v>-2</v>
      </c>
      <c r="O22" s="205">
        <f t="shared" ca="1" si="6"/>
        <v>-1.5</v>
      </c>
      <c r="P22" s="205">
        <f t="shared" ca="1" si="6"/>
        <v>0.5</v>
      </c>
      <c r="Q22" s="205">
        <f t="shared" ca="1" si="6"/>
        <v>0.5</v>
      </c>
      <c r="R22" s="205">
        <f t="shared" ca="1" si="6"/>
        <v>-0.5</v>
      </c>
      <c r="S22" s="205" t="e">
        <f t="shared" ca="1" si="6"/>
        <v>#VALUE!</v>
      </c>
      <c r="T22" s="205" t="e">
        <f t="shared" ca="1" si="6"/>
        <v>#VALUE!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159</v>
      </c>
      <c r="B23" s="480" t="s">
        <v>160</v>
      </c>
      <c r="C23" s="481"/>
      <c r="D23" s="481"/>
      <c r="E23" s="481"/>
      <c r="F23" s="481"/>
      <c r="G23" s="482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158</v>
      </c>
      <c r="B24" s="479" t="s">
        <v>158</v>
      </c>
      <c r="C24" s="479"/>
      <c r="D24" s="479"/>
      <c r="E24" s="479"/>
      <c r="F24" s="479"/>
      <c r="G24" s="479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158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188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5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6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2</v>
      </c>
      <c r="S62" s="203" t="str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/>
      </c>
      <c r="T62" s="203" t="str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/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4.5999999999999996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2.6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4.8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2.6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3.6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3.2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4.4000000000000004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3.2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2.4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3.6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2.6</v>
      </c>
      <c r="S63" s="203" t="str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/>
      </c>
      <c r="T63" s="203" t="str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/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135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3.4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3.2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4.5999999999999996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2.7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2.9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4.8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2.4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3.4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3.2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2.9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4.5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2.5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3.2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2.4</v>
      </c>
      <c r="S64" s="203" t="str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/>
      </c>
      <c r="T64" s="203" t="str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/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138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3.9047619047619047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3.6666666666666665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4.6190476190476186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2.7142857142857144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3.1428571428571428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4.9047619047619051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2.8095238095238093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2.9523809523809526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3.7142857142857144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3.5238095238095237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2.9047619047619047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4.5238095238095237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3.7142857142857144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2.8571428571428572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3.5238095238095237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2.8095238095238093</v>
      </c>
      <c r="S65" s="203" t="str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/>
      </c>
      <c r="T65" s="203" t="str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/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141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3.9666666666666668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3.8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4.8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2.8666666666666667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3.1666666666666665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4.9000000000000004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3.0333333333333332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4.0666666666666664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3.4666666666666668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2.9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4.7333333333333334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3.9333333333333331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3.1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3.5333333333333332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</v>
      </c>
      <c r="S66" s="203" t="str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/>
      </c>
      <c r="T66" s="203" t="str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/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79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4.2857142857142856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4.2439024390243905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5.166666666666667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3.2857142857142856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5.3809523809523814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3.1666666666666665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3.0714285714285716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4.333333333333333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3.7142857142857144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2.8809523809523809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4.9285714285714288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4.1190476190476186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3.3571428571428572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3.6666666666666665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3.1190476190476191</v>
      </c>
      <c r="S67" s="203" t="str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/>
      </c>
      <c r="T67" s="203" t="str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/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189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4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5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6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7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6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3</v>
      </c>
      <c r="S68" s="203" t="str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/>
      </c>
      <c r="T68" s="203" t="str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/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5.2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4.5999999999999996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5.4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3.8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6.6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5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4.2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3.2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5.2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5.2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3.2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4.4000000000000004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3.4</v>
      </c>
      <c r="S69" s="203" t="str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/>
      </c>
      <c r="T69" s="203" t="str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/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144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5.5714285714285712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4.8571428571428568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6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6.8571428571428568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3.2857142857142856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5.1428571428571432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4.4285714285714288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3.2857142857142856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5.5714285714285712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5.1428571428571432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3.5714285714285716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4.8571428571428568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3.7142857142857144</v>
      </c>
      <c r="S70" s="203" t="str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/>
      </c>
      <c r="T70" s="203" t="str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/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147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5.5714285714285712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4.8571428571428568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6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6.8571428571428568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3.2857142857142856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5.1428571428571432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4.4285714285714288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3.2857142857142856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5.5714285714285712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5.1428571428571432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3.5714285714285716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4.8571428571428568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3.7142857142857144</v>
      </c>
      <c r="S71" s="203" t="str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/>
      </c>
      <c r="T71" s="203" t="str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/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150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5.5714285714285712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4.8571428571428568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6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6.8571428571428568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3.2857142857142856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5.1428571428571432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4.4285714285714288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3.2857142857142856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5.5714285714285712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5.1428571428571432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3.5714285714285716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4.8571428571428568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3.7142857142857144</v>
      </c>
      <c r="S72" s="203" t="str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/>
      </c>
      <c r="T72" s="203" t="str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/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82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5.5714285714285712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4.8571428571428568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6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6.8571428571428568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3.2857142857142856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5.1428571428571432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4.4285714285714288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3.2857142857142856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5.5714285714285712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5.1428571428571432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3.5714285714285716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4.8571428571428568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3.7142857142857144</v>
      </c>
      <c r="S73" s="203" t="str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/>
      </c>
      <c r="T73" s="203" t="str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/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188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5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5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4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 t="str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/>
      </c>
      <c r="T74" s="203" t="str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/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4.4000000000000004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4.5999999999999996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2.6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2.6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4.2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3.8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3.2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2.6</v>
      </c>
      <c r="S75" s="203" t="str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/>
      </c>
      <c r="T75" s="203" t="str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/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135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3.5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4.0999999999999996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4.7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2.6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2.9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4.4000000000000004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2.8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2.9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3.7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3.4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4.4000000000000004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3.8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3.2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3.1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3.1</v>
      </c>
      <c r="S76" s="203" t="str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/>
      </c>
      <c r="T76" s="203" t="str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/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138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3.7142857142857144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4.1428571428571432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4.5238095238095237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2.7142857142857144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2.9523809523809526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4.666666666666667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2.9523809523809526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2.7619047619047619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4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3.2857142857142856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2.9047619047619047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4.6190476190476186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3.9523809523809526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3.2380952380952381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3.1904761904761907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3.0476190476190474</v>
      </c>
      <c r="S77" s="203" t="str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/>
      </c>
      <c r="T77" s="203" t="str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/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141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3.8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4.3666666666666663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4.666666666666667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2.8333333333333335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3.0333333333333332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4.9333333333333336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3.2333333333333334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2.9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4.2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3.4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2.9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4.833333333333333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4.0666666666666664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3.2333333333333334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3.4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</v>
      </c>
      <c r="S78" s="203" t="str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/>
      </c>
      <c r="T78" s="203" t="str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/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79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4.2439024390243905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4.6341463414634143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5.1707317073170733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2.9512195121951219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3.2195121951219514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5.2750000000000004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3.2926829268292681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3.0487804878048781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4.5121951219512191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3.6585365853658538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3.1463414634146343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5.3902439024390247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4.3902439024390247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3.2682926829268291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3.5609756097560976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3.0487804878048781</v>
      </c>
      <c r="S79" s="203" t="str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/>
      </c>
      <c r="T79" s="203" t="str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/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189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5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5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6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5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2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 t="str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/>
      </c>
      <c r="T80" s="203" t="str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/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4.8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4.2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5.2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3.2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6.4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3.8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3.2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5.2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3.8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6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4.2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3.8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3.4</v>
      </c>
      <c r="S81" s="203" t="str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/>
      </c>
      <c r="T81" s="203" t="str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/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144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5.7142857142857144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4.7142857142857144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5.2857142857142856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3.4285714285714284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3.8571428571428572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6.5714285714285712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3.4285714285714284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5.8571428571428568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3.2857142857142856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6.7142857142857144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4.8571428571428568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3.8571428571428572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4.4285714285714288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3.5714285714285716</v>
      </c>
      <c r="S82" s="203" t="str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/>
      </c>
      <c r="T82" s="203" t="str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/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147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5.7142857142857144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4.7142857142857144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5.2857142857142856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3.4285714285714284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3.8571428571428572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6.5714285714285712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3.4285714285714284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5.8571428571428568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3.2857142857142856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6.7142857142857144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4.8571428571428568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3.8571428571428572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4.4285714285714288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3.5714285714285716</v>
      </c>
      <c r="S83" s="203" t="str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/>
      </c>
      <c r="T83" s="203" t="str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/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150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5.7142857142857144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4.7142857142857144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5.2857142857142856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3.4285714285714284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3.8571428571428572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6.5714285714285712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3.4285714285714284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5.8571428571428568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3.2857142857142856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6.7142857142857144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4.8571428571428568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3.8571428571428572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4.4285714285714288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3.5714285714285716</v>
      </c>
      <c r="S84" s="203" t="str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/>
      </c>
      <c r="T84" s="203" t="str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/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82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5.7142857142857144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4.7142857142857144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5.2857142857142856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3.4285714285714284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3.8571428571428572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6.5714285714285712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3.4285714285714284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5.8571428571428568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3.2857142857142856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6.7142857142857144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4.8571428571428568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3.8571428571428572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4.4285714285714288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3.5714285714285716</v>
      </c>
      <c r="S85" s="203" t="str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/>
      </c>
      <c r="T85" s="203" t="str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/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188</v>
      </c>
      <c r="B86" s="203" t="s">
        <v>28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135</v>
      </c>
      <c r="B88" s="203" t="s">
        <v>28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138</v>
      </c>
      <c r="B89" s="203" t="s">
        <v>28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141</v>
      </c>
      <c r="B90" s="203" t="s">
        <v>28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79</v>
      </c>
      <c r="B91" s="203" t="s">
        <v>28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189</v>
      </c>
      <c r="B92" s="203" t="s">
        <v>28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144</v>
      </c>
      <c r="B94" s="203" t="s">
        <v>28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147</v>
      </c>
      <c r="B95" s="203" t="s">
        <v>28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150</v>
      </c>
      <c r="B96" s="203" t="s">
        <v>28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82</v>
      </c>
      <c r="B97" s="203" t="s">
        <v>28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188</v>
      </c>
      <c r="B98" s="203" t="s">
        <v>29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135</v>
      </c>
      <c r="B100" s="203" t="s">
        <v>29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138</v>
      </c>
      <c r="B101" s="203" t="s">
        <v>29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141</v>
      </c>
      <c r="B102" s="203" t="s">
        <v>29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79</v>
      </c>
      <c r="B103" s="203" t="s">
        <v>29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189</v>
      </c>
      <c r="B104" s="203" t="s">
        <v>29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144</v>
      </c>
      <c r="B106" s="203" t="s">
        <v>29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147</v>
      </c>
      <c r="B107" s="203" t="s">
        <v>29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150</v>
      </c>
      <c r="B108" s="203" t="s">
        <v>29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82</v>
      </c>
      <c r="B109" s="203" t="s">
        <v>29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188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135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138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141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79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189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>4</v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>4.0049999999999999</v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144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>4.0049999999999999</v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147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>4.0049999999999999</v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150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>4.0049999999999999</v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82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>4.0049999999999999</v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5" customWidth="1"/>
    <col min="22" max="23" width="3.7109375" style="355" hidden="1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12</v>
      </c>
      <c r="Q1" s="52">
        <v>14</v>
      </c>
      <c r="R1" s="52">
        <v>15</v>
      </c>
      <c r="S1" s="52">
        <v>16</v>
      </c>
      <c r="T1" s="52">
        <v>17</v>
      </c>
      <c r="U1" s="52">
        <v>18</v>
      </c>
      <c r="V1" s="52" t="s">
        <v>787</v>
      </c>
      <c r="W1" s="140" t="s">
        <v>752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3" t="s">
        <v>20</v>
      </c>
      <c r="AH1" s="504"/>
      <c r="AI1" s="485" t="s">
        <v>445</v>
      </c>
    </row>
    <row r="2" spans="1:35" ht="15" customHeight="1" x14ac:dyDescent="0.25">
      <c r="A2" s="4" t="s">
        <v>32</v>
      </c>
      <c r="E2" s="34" t="s">
        <v>21</v>
      </c>
      <c r="F2" s="364">
        <v>4</v>
      </c>
      <c r="G2" s="365">
        <v>4</v>
      </c>
      <c r="H2" s="365">
        <v>4</v>
      </c>
      <c r="I2" s="365">
        <v>3</v>
      </c>
      <c r="J2" s="365">
        <v>3</v>
      </c>
      <c r="K2" s="365">
        <v>5</v>
      </c>
      <c r="L2" s="365">
        <v>3</v>
      </c>
      <c r="M2" s="365">
        <v>3</v>
      </c>
      <c r="N2" s="365">
        <v>4</v>
      </c>
      <c r="O2" s="365">
        <v>3</v>
      </c>
      <c r="P2" s="365">
        <v>3</v>
      </c>
      <c r="Q2" s="365">
        <v>4</v>
      </c>
      <c r="R2" s="365">
        <v>4</v>
      </c>
      <c r="S2" s="365">
        <v>3</v>
      </c>
      <c r="T2" s="365">
        <v>3</v>
      </c>
      <c r="U2" s="365">
        <v>3</v>
      </c>
      <c r="V2" s="365" t="s">
        <v>50</v>
      </c>
      <c r="W2" s="366" t="s">
        <v>50</v>
      </c>
      <c r="X2" s="365" t="s">
        <v>50</v>
      </c>
      <c r="Y2" s="365" t="s">
        <v>50</v>
      </c>
      <c r="Z2" s="365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505">
        <v>56</v>
      </c>
      <c r="AH2" s="506"/>
      <c r="AI2" s="486"/>
    </row>
    <row r="3" spans="1:35" ht="15" customHeight="1" x14ac:dyDescent="0.25">
      <c r="A3" s="4" t="s">
        <v>32</v>
      </c>
      <c r="E3" s="13" t="s">
        <v>22</v>
      </c>
      <c r="F3" s="358">
        <v>5.6428571428571432</v>
      </c>
      <c r="G3" s="359">
        <v>4.7857142857142856</v>
      </c>
      <c r="H3" s="359">
        <v>5.6428571428571432</v>
      </c>
      <c r="I3" s="359">
        <v>3.7142857142857144</v>
      </c>
      <c r="J3" s="359">
        <v>3.9285714285714284</v>
      </c>
      <c r="K3" s="359">
        <v>6.7142857142857144</v>
      </c>
      <c r="L3" s="359">
        <v>4.0006249999999994</v>
      </c>
      <c r="M3" s="359">
        <v>3.3571428571428572</v>
      </c>
      <c r="N3" s="359">
        <v>5.5</v>
      </c>
      <c r="O3" s="359">
        <v>4.2142857142857144</v>
      </c>
      <c r="P3" s="359">
        <v>3.2857142857142856</v>
      </c>
      <c r="Q3" s="359">
        <v>6.1428571428571432</v>
      </c>
      <c r="R3" s="359">
        <v>5</v>
      </c>
      <c r="S3" s="359">
        <v>3.7142857142857144</v>
      </c>
      <c r="T3" s="359">
        <v>4.6428571428571432</v>
      </c>
      <c r="U3" s="359">
        <v>3.6428571428571428</v>
      </c>
      <c r="V3" s="359" t="s">
        <v>50</v>
      </c>
      <c r="W3" s="359" t="s">
        <v>50</v>
      </c>
      <c r="X3" s="359" t="s">
        <v>50</v>
      </c>
      <c r="Y3" s="359" t="s">
        <v>50</v>
      </c>
      <c r="Z3" s="359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07">
        <v>73.929196428571416</v>
      </c>
      <c r="AH3" s="508"/>
      <c r="AI3" s="486"/>
    </row>
    <row r="4" spans="1:35" ht="15" customHeight="1" x14ac:dyDescent="0.25">
      <c r="A4" s="4" t="s">
        <v>32</v>
      </c>
      <c r="B4" s="497" t="s">
        <v>770</v>
      </c>
      <c r="C4" s="498"/>
      <c r="E4" s="13" t="s">
        <v>44</v>
      </c>
      <c r="F4" s="360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07">
        <v>0</v>
      </c>
      <c r="AH4" s="508"/>
      <c r="AI4" s="486"/>
    </row>
    <row r="5" spans="1:35" ht="15" customHeight="1" x14ac:dyDescent="0.25">
      <c r="A5" s="4" t="s">
        <v>32</v>
      </c>
      <c r="B5" s="497"/>
      <c r="C5" s="498"/>
      <c r="E5" s="13" t="s">
        <v>42</v>
      </c>
      <c r="F5" s="360">
        <v>0</v>
      </c>
      <c r="G5" s="56">
        <v>1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1</v>
      </c>
      <c r="N5" s="56">
        <v>0</v>
      </c>
      <c r="O5" s="56">
        <v>0</v>
      </c>
      <c r="P5" s="56">
        <v>1</v>
      </c>
      <c r="Q5" s="56">
        <v>0</v>
      </c>
      <c r="R5" s="56">
        <v>1</v>
      </c>
      <c r="S5" s="56">
        <v>1</v>
      </c>
      <c r="T5" s="56">
        <v>0</v>
      </c>
      <c r="U5" s="56">
        <v>1</v>
      </c>
      <c r="V5" s="56" t="s">
        <v>50</v>
      </c>
      <c r="W5" s="361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07">
        <v>6</v>
      </c>
      <c r="AH5" s="508"/>
      <c r="AI5" s="486"/>
    </row>
    <row r="6" spans="1:35" ht="15" customHeight="1" x14ac:dyDescent="0.25">
      <c r="A6" s="4" t="s">
        <v>32</v>
      </c>
      <c r="B6" s="499" t="s">
        <v>771</v>
      </c>
      <c r="C6" s="500"/>
      <c r="E6" s="13" t="s">
        <v>25</v>
      </c>
      <c r="F6" s="360">
        <v>0</v>
      </c>
      <c r="G6" s="56">
        <v>6</v>
      </c>
      <c r="H6" s="56">
        <v>7</v>
      </c>
      <c r="I6" s="56">
        <v>6</v>
      </c>
      <c r="J6" s="56">
        <v>5</v>
      </c>
      <c r="K6" s="56">
        <v>4</v>
      </c>
      <c r="L6" s="56">
        <v>9</v>
      </c>
      <c r="M6" s="56">
        <v>4</v>
      </c>
      <c r="N6" s="56">
        <v>4</v>
      </c>
      <c r="O6" s="56">
        <v>9</v>
      </c>
      <c r="P6" s="56">
        <v>3</v>
      </c>
      <c r="Q6" s="56">
        <v>4</v>
      </c>
      <c r="R6" s="56">
        <v>5</v>
      </c>
      <c r="S6" s="56">
        <v>5</v>
      </c>
      <c r="T6" s="56">
        <v>5</v>
      </c>
      <c r="U6" s="56">
        <v>8</v>
      </c>
      <c r="V6" s="56" t="s">
        <v>50</v>
      </c>
      <c r="W6" s="361" t="s">
        <v>50</v>
      </c>
      <c r="X6" s="56" t="s">
        <v>50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507">
        <v>84</v>
      </c>
      <c r="AH6" s="508"/>
      <c r="AI6" s="486"/>
    </row>
    <row r="7" spans="1:35" ht="15" customHeight="1" thickBot="1" x14ac:dyDescent="0.3">
      <c r="A7" s="4" t="s">
        <v>32</v>
      </c>
      <c r="B7" s="501"/>
      <c r="C7" s="502"/>
      <c r="E7" s="30" t="s">
        <v>43</v>
      </c>
      <c r="F7" s="362">
        <v>7</v>
      </c>
      <c r="G7" s="367">
        <v>3</v>
      </c>
      <c r="H7" s="367">
        <v>6</v>
      </c>
      <c r="I7" s="367">
        <v>2</v>
      </c>
      <c r="J7" s="367">
        <v>4</v>
      </c>
      <c r="K7" s="367">
        <v>8</v>
      </c>
      <c r="L7" s="367">
        <v>4</v>
      </c>
      <c r="M7" s="367">
        <v>1</v>
      </c>
      <c r="N7" s="367">
        <v>6</v>
      </c>
      <c r="O7" s="367">
        <v>4</v>
      </c>
      <c r="P7" s="367">
        <v>1</v>
      </c>
      <c r="Q7" s="367">
        <v>8</v>
      </c>
      <c r="R7" s="367">
        <v>4</v>
      </c>
      <c r="S7" s="367">
        <v>3</v>
      </c>
      <c r="T7" s="367">
        <v>7</v>
      </c>
      <c r="U7" s="367">
        <v>1</v>
      </c>
      <c r="V7" s="367" t="s">
        <v>50</v>
      </c>
      <c r="W7" s="368" t="s">
        <v>50</v>
      </c>
      <c r="X7" s="367" t="s">
        <v>50</v>
      </c>
      <c r="Y7" s="367" t="s">
        <v>50</v>
      </c>
      <c r="Z7" s="367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509">
        <v>69</v>
      </c>
      <c r="AH7" s="510"/>
      <c r="AI7" s="487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8">
        <v>1</v>
      </c>
      <c r="B9" s="491">
        <v>1</v>
      </c>
      <c r="C9" s="494" t="s">
        <v>769</v>
      </c>
      <c r="D9" s="23" t="s">
        <v>769</v>
      </c>
      <c r="E9" s="24" t="s">
        <v>26</v>
      </c>
      <c r="F9" s="223">
        <v>4</v>
      </c>
      <c r="G9" s="222">
        <v>4</v>
      </c>
      <c r="H9" s="236">
        <v>5</v>
      </c>
      <c r="I9" s="236">
        <v>4</v>
      </c>
      <c r="J9" s="236">
        <v>4</v>
      </c>
      <c r="K9" s="236">
        <v>6</v>
      </c>
      <c r="L9" s="236">
        <v>4</v>
      </c>
      <c r="M9" s="222">
        <v>3</v>
      </c>
      <c r="N9" s="238">
        <v>7</v>
      </c>
      <c r="O9" s="236">
        <v>4</v>
      </c>
      <c r="P9" s="222">
        <v>3</v>
      </c>
      <c r="Q9" s="238">
        <v>6</v>
      </c>
      <c r="R9" s="222">
        <v>4</v>
      </c>
      <c r="S9" s="222">
        <v>3</v>
      </c>
      <c r="T9" s="222">
        <v>3</v>
      </c>
      <c r="U9" s="222">
        <v>3</v>
      </c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67</v>
      </c>
      <c r="AH9" s="189">
        <v>67</v>
      </c>
      <c r="AI9" s="189">
        <v>2</v>
      </c>
    </row>
    <row r="10" spans="1:35" ht="15" customHeight="1" x14ac:dyDescent="0.25">
      <c r="A10" s="489"/>
      <c r="B10" s="492"/>
      <c r="C10" s="495"/>
      <c r="D10" s="25" t="s">
        <v>769</v>
      </c>
      <c r="E10" s="26" t="s">
        <v>27</v>
      </c>
      <c r="F10" s="224">
        <v>4</v>
      </c>
      <c r="G10" s="225">
        <v>4</v>
      </c>
      <c r="H10" s="237">
        <v>5</v>
      </c>
      <c r="I10" s="225">
        <v>3</v>
      </c>
      <c r="J10" s="239">
        <v>5</v>
      </c>
      <c r="K10" s="237">
        <v>6</v>
      </c>
      <c r="L10" s="225">
        <v>3</v>
      </c>
      <c r="M10" s="225">
        <v>3</v>
      </c>
      <c r="N10" s="237">
        <v>5</v>
      </c>
      <c r="O10" s="237">
        <v>4</v>
      </c>
      <c r="P10" s="225">
        <v>3</v>
      </c>
      <c r="Q10" s="237">
        <v>5</v>
      </c>
      <c r="R10" s="225">
        <v>4</v>
      </c>
      <c r="S10" s="235">
        <v>2</v>
      </c>
      <c r="T10" s="225">
        <v>3</v>
      </c>
      <c r="U10" s="225">
        <v>3</v>
      </c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62</v>
      </c>
      <c r="AH10" s="191">
        <v>129</v>
      </c>
      <c r="AI10" s="191">
        <v>1</v>
      </c>
    </row>
    <row r="11" spans="1:35" ht="15" hidden="1" customHeight="1" x14ac:dyDescent="0.25">
      <c r="A11" s="489"/>
      <c r="B11" s="492"/>
      <c r="C11" s="495"/>
      <c r="D11" s="25" t="s">
        <v>769</v>
      </c>
      <c r="E11" s="2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129</v>
      </c>
      <c r="AI11" s="191">
        <v>1</v>
      </c>
    </row>
    <row r="12" spans="1:35" ht="15.75" hidden="1" customHeight="1" x14ac:dyDescent="0.25">
      <c r="A12" s="489"/>
      <c r="B12" s="492"/>
      <c r="C12" s="495"/>
      <c r="D12" s="25" t="s">
        <v>769</v>
      </c>
      <c r="E12" s="2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129</v>
      </c>
      <c r="AI12" s="191">
        <v>1</v>
      </c>
    </row>
    <row r="13" spans="1:35" ht="15.75" customHeight="1" thickBot="1" x14ac:dyDescent="0.3">
      <c r="A13" s="490"/>
      <c r="B13" s="493"/>
      <c r="C13" s="496"/>
      <c r="D13" s="27" t="s">
        <v>769</v>
      </c>
      <c r="E13" s="28" t="s">
        <v>30</v>
      </c>
      <c r="F13" s="231"/>
      <c r="G13" s="232"/>
      <c r="H13" s="232"/>
      <c r="I13" s="232"/>
      <c r="J13" s="232"/>
      <c r="K13" s="232"/>
      <c r="L13" s="521">
        <v>4</v>
      </c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4</v>
      </c>
      <c r="AH13" s="193">
        <v>133</v>
      </c>
      <c r="AI13" s="193">
        <v>1</v>
      </c>
    </row>
    <row r="14" spans="1:35" ht="15" customHeight="1" x14ac:dyDescent="0.25">
      <c r="A14" s="488">
        <v>2</v>
      </c>
      <c r="B14" s="491">
        <v>2</v>
      </c>
      <c r="C14" s="494" t="s">
        <v>206</v>
      </c>
      <c r="D14" s="23" t="s">
        <v>206</v>
      </c>
      <c r="E14" s="24" t="s">
        <v>26</v>
      </c>
      <c r="F14" s="389">
        <v>6</v>
      </c>
      <c r="G14" s="222">
        <v>4</v>
      </c>
      <c r="H14" s="236">
        <v>5</v>
      </c>
      <c r="I14" s="222">
        <v>3</v>
      </c>
      <c r="J14" s="222">
        <v>3</v>
      </c>
      <c r="K14" s="236">
        <v>6</v>
      </c>
      <c r="L14" s="222">
        <v>3</v>
      </c>
      <c r="M14" s="236">
        <v>4</v>
      </c>
      <c r="N14" s="236">
        <v>5</v>
      </c>
      <c r="O14" s="236">
        <v>4</v>
      </c>
      <c r="P14" s="222">
        <v>3</v>
      </c>
      <c r="Q14" s="222">
        <v>4</v>
      </c>
      <c r="R14" s="238">
        <v>6</v>
      </c>
      <c r="S14" s="222">
        <v>3</v>
      </c>
      <c r="T14" s="238">
        <v>6</v>
      </c>
      <c r="U14" s="240">
        <v>2</v>
      </c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67</v>
      </c>
      <c r="AH14" s="189">
        <v>67</v>
      </c>
      <c r="AI14" s="189">
        <v>2</v>
      </c>
    </row>
    <row r="15" spans="1:35" ht="15" customHeight="1" x14ac:dyDescent="0.25">
      <c r="A15" s="489"/>
      <c r="B15" s="492"/>
      <c r="C15" s="495"/>
      <c r="D15" s="25" t="s">
        <v>206</v>
      </c>
      <c r="E15" s="26" t="s">
        <v>27</v>
      </c>
      <c r="F15" s="224">
        <v>4</v>
      </c>
      <c r="G15" s="237">
        <v>5</v>
      </c>
      <c r="H15" s="225">
        <v>4</v>
      </c>
      <c r="I15" s="225">
        <v>3</v>
      </c>
      <c r="J15" s="225">
        <v>3</v>
      </c>
      <c r="K15" s="225">
        <v>5</v>
      </c>
      <c r="L15" s="225">
        <v>3</v>
      </c>
      <c r="M15" s="225">
        <v>3</v>
      </c>
      <c r="N15" s="225">
        <v>4</v>
      </c>
      <c r="O15" s="237">
        <v>4</v>
      </c>
      <c r="P15" s="225">
        <v>3</v>
      </c>
      <c r="Q15" s="237">
        <v>5</v>
      </c>
      <c r="R15" s="237">
        <v>5</v>
      </c>
      <c r="S15" s="237">
        <v>4</v>
      </c>
      <c r="T15" s="237">
        <v>4</v>
      </c>
      <c r="U15" s="225">
        <v>3</v>
      </c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62</v>
      </c>
      <c r="AH15" s="191">
        <v>129</v>
      </c>
      <c r="AI15" s="191">
        <v>1</v>
      </c>
    </row>
    <row r="16" spans="1:35" ht="15" hidden="1" customHeight="1" x14ac:dyDescent="0.25">
      <c r="A16" s="489"/>
      <c r="B16" s="492"/>
      <c r="C16" s="495"/>
      <c r="D16" s="25" t="s">
        <v>206</v>
      </c>
      <c r="E16" s="2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129</v>
      </c>
      <c r="AI16" s="191">
        <v>1</v>
      </c>
    </row>
    <row r="17" spans="1:38" ht="15.75" hidden="1" customHeight="1" x14ac:dyDescent="0.25">
      <c r="A17" s="489"/>
      <c r="B17" s="492"/>
      <c r="C17" s="495"/>
      <c r="D17" s="25" t="s">
        <v>206</v>
      </c>
      <c r="E17" s="2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129</v>
      </c>
      <c r="AI17" s="191">
        <v>1</v>
      </c>
    </row>
    <row r="18" spans="1:38" ht="15.75" customHeight="1" thickBot="1" x14ac:dyDescent="0.3">
      <c r="A18" s="490"/>
      <c r="B18" s="493"/>
      <c r="C18" s="496"/>
      <c r="D18" s="27" t="s">
        <v>206</v>
      </c>
      <c r="E18" s="28" t="s">
        <v>30</v>
      </c>
      <c r="F18" s="231"/>
      <c r="G18" s="232"/>
      <c r="H18" s="232"/>
      <c r="I18" s="232"/>
      <c r="J18" s="232"/>
      <c r="K18" s="232"/>
      <c r="L18" s="522">
        <v>4.01</v>
      </c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4.01</v>
      </c>
      <c r="AH18" s="193">
        <v>133.01</v>
      </c>
      <c r="AI18" s="193">
        <v>2</v>
      </c>
    </row>
    <row r="19" spans="1:38" ht="15" customHeight="1" x14ac:dyDescent="0.25">
      <c r="A19" s="488">
        <v>3</v>
      </c>
      <c r="B19" s="491">
        <v>3</v>
      </c>
      <c r="C19" s="494" t="s">
        <v>776</v>
      </c>
      <c r="D19" s="23" t="s">
        <v>776</v>
      </c>
      <c r="E19" s="24" t="s">
        <v>26</v>
      </c>
      <c r="F19" s="223">
        <v>4</v>
      </c>
      <c r="G19" s="236">
        <v>5</v>
      </c>
      <c r="H19" s="236">
        <v>5</v>
      </c>
      <c r="I19" s="236">
        <v>4</v>
      </c>
      <c r="J19" s="222">
        <v>3</v>
      </c>
      <c r="K19" s="238">
        <v>8</v>
      </c>
      <c r="L19" s="236">
        <v>4</v>
      </c>
      <c r="M19" s="240">
        <v>2</v>
      </c>
      <c r="N19" s="222">
        <v>4</v>
      </c>
      <c r="O19" s="236">
        <v>4</v>
      </c>
      <c r="P19" s="222">
        <v>3</v>
      </c>
      <c r="Q19" s="222">
        <v>4</v>
      </c>
      <c r="R19" s="222">
        <v>4</v>
      </c>
      <c r="S19" s="222">
        <v>3</v>
      </c>
      <c r="T19" s="238">
        <v>5</v>
      </c>
      <c r="U19" s="236">
        <v>4</v>
      </c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66</v>
      </c>
      <c r="AH19" s="189">
        <v>66</v>
      </c>
      <c r="AI19" s="189">
        <v>1</v>
      </c>
      <c r="AL19" s="202"/>
    </row>
    <row r="20" spans="1:38" ht="15" customHeight="1" x14ac:dyDescent="0.25">
      <c r="A20" s="489"/>
      <c r="B20" s="492"/>
      <c r="C20" s="495"/>
      <c r="D20" s="25" t="s">
        <v>776</v>
      </c>
      <c r="E20" s="26" t="s">
        <v>27</v>
      </c>
      <c r="F20" s="224">
        <v>4</v>
      </c>
      <c r="G20" s="235">
        <v>3</v>
      </c>
      <c r="H20" s="237">
        <v>5</v>
      </c>
      <c r="I20" s="225">
        <v>3</v>
      </c>
      <c r="J20" s="239">
        <v>5</v>
      </c>
      <c r="K20" s="239">
        <v>7</v>
      </c>
      <c r="L20" s="237">
        <v>4</v>
      </c>
      <c r="M20" s="225">
        <v>3</v>
      </c>
      <c r="N20" s="225">
        <v>4</v>
      </c>
      <c r="O20" s="237">
        <v>4</v>
      </c>
      <c r="P20" s="225">
        <v>3</v>
      </c>
      <c r="Q20" s="239">
        <v>7</v>
      </c>
      <c r="R20" s="235">
        <v>3</v>
      </c>
      <c r="S20" s="237">
        <v>4</v>
      </c>
      <c r="T20" s="237">
        <v>4</v>
      </c>
      <c r="U20" s="237">
        <v>4</v>
      </c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67</v>
      </c>
      <c r="AH20" s="191">
        <v>133</v>
      </c>
      <c r="AI20" s="191">
        <v>3</v>
      </c>
    </row>
    <row r="21" spans="1:38" ht="15" hidden="1" customHeight="1" x14ac:dyDescent="0.25">
      <c r="A21" s="489"/>
      <c r="B21" s="492"/>
      <c r="C21" s="495"/>
      <c r="D21" s="25" t="s">
        <v>776</v>
      </c>
      <c r="E21" s="2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133</v>
      </c>
      <c r="AI21" s="191">
        <v>3</v>
      </c>
    </row>
    <row r="22" spans="1:38" ht="15.75" hidden="1" customHeight="1" x14ac:dyDescent="0.25">
      <c r="A22" s="489"/>
      <c r="B22" s="492"/>
      <c r="C22" s="495"/>
      <c r="D22" s="25" t="s">
        <v>776</v>
      </c>
      <c r="E22" s="2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133</v>
      </c>
      <c r="AI22" s="191">
        <v>3</v>
      </c>
    </row>
    <row r="23" spans="1:38" ht="15.75" customHeight="1" thickBot="1" x14ac:dyDescent="0.3">
      <c r="A23" s="490"/>
      <c r="B23" s="493"/>
      <c r="C23" s="496"/>
      <c r="D23" s="27" t="s">
        <v>776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133</v>
      </c>
      <c r="AI23" s="193">
        <v>3</v>
      </c>
    </row>
    <row r="24" spans="1:38" ht="15" customHeight="1" x14ac:dyDescent="0.25">
      <c r="A24" s="488">
        <v>4</v>
      </c>
      <c r="B24" s="491">
        <v>4</v>
      </c>
      <c r="C24" s="494" t="s">
        <v>786</v>
      </c>
      <c r="D24" s="23" t="s">
        <v>786</v>
      </c>
      <c r="E24" s="24" t="s">
        <v>26</v>
      </c>
      <c r="F24" s="389">
        <v>6</v>
      </c>
      <c r="G24" s="236">
        <v>5</v>
      </c>
      <c r="H24" s="238">
        <v>7</v>
      </c>
      <c r="I24" s="236">
        <v>4</v>
      </c>
      <c r="J24" s="238">
        <v>5</v>
      </c>
      <c r="K24" s="236">
        <v>6</v>
      </c>
      <c r="L24" s="236">
        <v>4</v>
      </c>
      <c r="M24" s="222">
        <v>3</v>
      </c>
      <c r="N24" s="236">
        <v>5</v>
      </c>
      <c r="O24" s="236">
        <v>4</v>
      </c>
      <c r="P24" s="222">
        <v>3</v>
      </c>
      <c r="Q24" s="236">
        <v>5</v>
      </c>
      <c r="R24" s="236">
        <v>5</v>
      </c>
      <c r="S24" s="236">
        <v>4</v>
      </c>
      <c r="T24" s="236">
        <v>4</v>
      </c>
      <c r="U24" s="236">
        <v>4</v>
      </c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74</v>
      </c>
      <c r="AH24" s="189">
        <v>74</v>
      </c>
      <c r="AI24" s="189">
        <v>4</v>
      </c>
    </row>
    <row r="25" spans="1:38" ht="15" customHeight="1" x14ac:dyDescent="0.25">
      <c r="A25" s="489"/>
      <c r="B25" s="492"/>
      <c r="C25" s="495"/>
      <c r="D25" s="25" t="s">
        <v>786</v>
      </c>
      <c r="E25" s="26" t="s">
        <v>27</v>
      </c>
      <c r="F25" s="392">
        <v>8</v>
      </c>
      <c r="G25" s="237">
        <v>5</v>
      </c>
      <c r="H25" s="239">
        <v>6</v>
      </c>
      <c r="I25" s="225">
        <v>3</v>
      </c>
      <c r="J25" s="225">
        <v>3</v>
      </c>
      <c r="K25" s="239">
        <v>7</v>
      </c>
      <c r="L25" s="237">
        <v>4</v>
      </c>
      <c r="M25" s="225">
        <v>3</v>
      </c>
      <c r="N25" s="239">
        <v>7</v>
      </c>
      <c r="O25" s="225">
        <v>3</v>
      </c>
      <c r="P25" s="235">
        <v>2</v>
      </c>
      <c r="Q25" s="237">
        <v>5</v>
      </c>
      <c r="R25" s="225">
        <v>4</v>
      </c>
      <c r="S25" s="239">
        <v>5</v>
      </c>
      <c r="T25" s="237">
        <v>4</v>
      </c>
      <c r="U25" s="225">
        <v>3</v>
      </c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72</v>
      </c>
      <c r="AH25" s="191">
        <v>146</v>
      </c>
      <c r="AI25" s="191">
        <v>4</v>
      </c>
    </row>
    <row r="26" spans="1:38" ht="15" hidden="1" customHeight="1" x14ac:dyDescent="0.25">
      <c r="A26" s="489"/>
      <c r="B26" s="492"/>
      <c r="C26" s="495"/>
      <c r="D26" s="25" t="s">
        <v>786</v>
      </c>
      <c r="E26" s="2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146</v>
      </c>
      <c r="AI26" s="191">
        <v>4</v>
      </c>
    </row>
    <row r="27" spans="1:38" ht="15.75" hidden="1" customHeight="1" x14ac:dyDescent="0.25">
      <c r="A27" s="489"/>
      <c r="B27" s="492"/>
      <c r="C27" s="495"/>
      <c r="D27" s="25" t="s">
        <v>786</v>
      </c>
      <c r="E27" s="2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146</v>
      </c>
      <c r="AI27" s="191">
        <v>4</v>
      </c>
    </row>
    <row r="28" spans="1:38" ht="15.75" customHeight="1" thickBot="1" x14ac:dyDescent="0.3">
      <c r="A28" s="490"/>
      <c r="B28" s="493"/>
      <c r="C28" s="496"/>
      <c r="D28" s="27" t="s">
        <v>786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146</v>
      </c>
      <c r="AI28" s="193">
        <v>4</v>
      </c>
    </row>
    <row r="29" spans="1:38" ht="15" customHeight="1" x14ac:dyDescent="0.25">
      <c r="A29" s="488">
        <v>5</v>
      </c>
      <c r="B29" s="491">
        <v>5</v>
      </c>
      <c r="C29" s="494" t="s">
        <v>208</v>
      </c>
      <c r="D29" s="23" t="s">
        <v>208</v>
      </c>
      <c r="E29" s="24" t="s">
        <v>26</v>
      </c>
      <c r="F29" s="389">
        <v>6</v>
      </c>
      <c r="G29" s="236">
        <v>5</v>
      </c>
      <c r="H29" s="236">
        <v>5</v>
      </c>
      <c r="I29" s="238">
        <v>5</v>
      </c>
      <c r="J29" s="236">
        <v>4</v>
      </c>
      <c r="K29" s="238">
        <v>7</v>
      </c>
      <c r="L29" s="236">
        <v>4</v>
      </c>
      <c r="M29" s="222">
        <v>3</v>
      </c>
      <c r="N29" s="222">
        <v>4</v>
      </c>
      <c r="O29" s="238">
        <v>5</v>
      </c>
      <c r="P29" s="236">
        <v>4</v>
      </c>
      <c r="Q29" s="238">
        <v>7</v>
      </c>
      <c r="R29" s="238">
        <v>7</v>
      </c>
      <c r="S29" s="222">
        <v>3</v>
      </c>
      <c r="T29" s="236">
        <v>4</v>
      </c>
      <c r="U29" s="236">
        <v>4</v>
      </c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77</v>
      </c>
      <c r="AH29" s="189">
        <v>77</v>
      </c>
      <c r="AI29" s="189">
        <v>6</v>
      </c>
    </row>
    <row r="30" spans="1:38" ht="15" customHeight="1" x14ac:dyDescent="0.25">
      <c r="A30" s="489"/>
      <c r="B30" s="492"/>
      <c r="C30" s="495"/>
      <c r="D30" s="25" t="s">
        <v>208</v>
      </c>
      <c r="E30" s="26" t="s">
        <v>27</v>
      </c>
      <c r="F30" s="224">
        <v>4</v>
      </c>
      <c r="G30" s="225">
        <v>4</v>
      </c>
      <c r="H30" s="239">
        <v>6</v>
      </c>
      <c r="I30" s="237">
        <v>4</v>
      </c>
      <c r="J30" s="237">
        <v>4</v>
      </c>
      <c r="K30" s="239">
        <v>7</v>
      </c>
      <c r="L30" s="239">
        <v>5</v>
      </c>
      <c r="M30" s="237">
        <v>4</v>
      </c>
      <c r="N30" s="239">
        <v>6</v>
      </c>
      <c r="O30" s="237">
        <v>4</v>
      </c>
      <c r="P30" s="237">
        <v>4</v>
      </c>
      <c r="Q30" s="239">
        <v>8</v>
      </c>
      <c r="R30" s="237">
        <v>5</v>
      </c>
      <c r="S30" s="237">
        <v>4</v>
      </c>
      <c r="T30" s="239">
        <v>5</v>
      </c>
      <c r="U30" s="237">
        <v>4</v>
      </c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78</v>
      </c>
      <c r="AH30" s="191">
        <v>155</v>
      </c>
      <c r="AI30" s="191">
        <v>5</v>
      </c>
    </row>
    <row r="31" spans="1:38" ht="15" hidden="1" customHeight="1" x14ac:dyDescent="0.25">
      <c r="A31" s="489"/>
      <c r="B31" s="492"/>
      <c r="C31" s="495"/>
      <c r="D31" s="25" t="s">
        <v>208</v>
      </c>
      <c r="E31" s="2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155</v>
      </c>
      <c r="AI31" s="191">
        <v>5</v>
      </c>
    </row>
    <row r="32" spans="1:38" ht="15.75" hidden="1" customHeight="1" x14ac:dyDescent="0.25">
      <c r="A32" s="489"/>
      <c r="B32" s="492"/>
      <c r="C32" s="495"/>
      <c r="D32" s="25" t="s">
        <v>208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155</v>
      </c>
      <c r="AI32" s="191">
        <v>5</v>
      </c>
    </row>
    <row r="33" spans="1:35" ht="15.75" customHeight="1" thickBot="1" x14ac:dyDescent="0.3">
      <c r="A33" s="490"/>
      <c r="B33" s="493"/>
      <c r="C33" s="496"/>
      <c r="D33" s="27" t="s">
        <v>208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155</v>
      </c>
      <c r="AI33" s="193">
        <v>5</v>
      </c>
    </row>
    <row r="34" spans="1:35" ht="15" customHeight="1" x14ac:dyDescent="0.25">
      <c r="A34" s="488">
        <v>6</v>
      </c>
      <c r="B34" s="491">
        <v>6</v>
      </c>
      <c r="C34" s="494" t="s">
        <v>773</v>
      </c>
      <c r="D34" s="23" t="s">
        <v>773</v>
      </c>
      <c r="E34" s="24" t="s">
        <v>26</v>
      </c>
      <c r="F34" s="223">
        <v>4</v>
      </c>
      <c r="G34" s="236">
        <v>5</v>
      </c>
      <c r="H34" s="238">
        <v>7</v>
      </c>
      <c r="I34" s="222">
        <v>3</v>
      </c>
      <c r="J34" s="236">
        <v>4</v>
      </c>
      <c r="K34" s="222">
        <v>5</v>
      </c>
      <c r="L34" s="236">
        <v>4</v>
      </c>
      <c r="M34" s="222">
        <v>3</v>
      </c>
      <c r="N34" s="236">
        <v>5</v>
      </c>
      <c r="O34" s="238">
        <v>5</v>
      </c>
      <c r="P34" s="236">
        <v>4</v>
      </c>
      <c r="Q34" s="238">
        <v>6</v>
      </c>
      <c r="R34" s="236">
        <v>5</v>
      </c>
      <c r="S34" s="238">
        <v>5</v>
      </c>
      <c r="T34" s="238">
        <v>6</v>
      </c>
      <c r="U34" s="238">
        <v>5</v>
      </c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76</v>
      </c>
      <c r="AH34" s="189">
        <v>76</v>
      </c>
      <c r="AI34" s="189">
        <v>5</v>
      </c>
    </row>
    <row r="35" spans="1:35" ht="15" customHeight="1" x14ac:dyDescent="0.25">
      <c r="A35" s="489"/>
      <c r="B35" s="492"/>
      <c r="C35" s="495"/>
      <c r="D35" s="25" t="s">
        <v>773</v>
      </c>
      <c r="E35" s="26" t="s">
        <v>27</v>
      </c>
      <c r="F35" s="392">
        <v>6</v>
      </c>
      <c r="G35" s="239">
        <v>6</v>
      </c>
      <c r="H35" s="237">
        <v>5</v>
      </c>
      <c r="I35" s="237">
        <v>4</v>
      </c>
      <c r="J35" s="225">
        <v>3</v>
      </c>
      <c r="K35" s="239">
        <v>7</v>
      </c>
      <c r="L35" s="239">
        <v>5</v>
      </c>
      <c r="M35" s="237">
        <v>4</v>
      </c>
      <c r="N35" s="239">
        <v>7</v>
      </c>
      <c r="O35" s="237">
        <v>4</v>
      </c>
      <c r="P35" s="225">
        <v>3</v>
      </c>
      <c r="Q35" s="239">
        <v>8</v>
      </c>
      <c r="R35" s="239">
        <v>7</v>
      </c>
      <c r="S35" s="225">
        <v>3</v>
      </c>
      <c r="T35" s="239">
        <v>5</v>
      </c>
      <c r="U35" s="237">
        <v>4</v>
      </c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81</v>
      </c>
      <c r="AH35" s="191">
        <v>157</v>
      </c>
      <c r="AI35" s="191">
        <v>6</v>
      </c>
    </row>
    <row r="36" spans="1:35" ht="15" hidden="1" customHeight="1" x14ac:dyDescent="0.25">
      <c r="A36" s="489"/>
      <c r="B36" s="492"/>
      <c r="C36" s="495"/>
      <c r="D36" s="25" t="s">
        <v>773</v>
      </c>
      <c r="E36" s="2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157</v>
      </c>
      <c r="AI36" s="191">
        <v>6</v>
      </c>
    </row>
    <row r="37" spans="1:35" ht="15.75" hidden="1" customHeight="1" x14ac:dyDescent="0.25">
      <c r="A37" s="489"/>
      <c r="B37" s="492"/>
      <c r="C37" s="495"/>
      <c r="D37" s="25" t="s">
        <v>773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157</v>
      </c>
      <c r="AI37" s="191">
        <v>6</v>
      </c>
    </row>
    <row r="38" spans="1:35" ht="15.75" customHeight="1" thickBot="1" x14ac:dyDescent="0.3">
      <c r="A38" s="490"/>
      <c r="B38" s="493"/>
      <c r="C38" s="496"/>
      <c r="D38" s="27" t="s">
        <v>773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157</v>
      </c>
      <c r="AI38" s="193">
        <v>6</v>
      </c>
    </row>
    <row r="39" spans="1:35" ht="15" customHeight="1" x14ac:dyDescent="0.25">
      <c r="A39" s="488">
        <v>7</v>
      </c>
      <c r="B39" s="491">
        <v>7</v>
      </c>
      <c r="C39" s="494" t="s">
        <v>777</v>
      </c>
      <c r="D39" s="23" t="s">
        <v>777</v>
      </c>
      <c r="E39" s="24" t="s">
        <v>26</v>
      </c>
      <c r="F39" s="389">
        <v>9</v>
      </c>
      <c r="G39" s="238">
        <v>6</v>
      </c>
      <c r="H39" s="238">
        <v>8</v>
      </c>
      <c r="I39" s="238">
        <v>5</v>
      </c>
      <c r="J39" s="238">
        <v>5</v>
      </c>
      <c r="K39" s="238">
        <v>10</v>
      </c>
      <c r="L39" s="238">
        <v>5</v>
      </c>
      <c r="M39" s="238">
        <v>5</v>
      </c>
      <c r="N39" s="238">
        <v>6</v>
      </c>
      <c r="O39" s="238">
        <v>5</v>
      </c>
      <c r="P39" s="222">
        <v>3</v>
      </c>
      <c r="Q39" s="238">
        <v>7</v>
      </c>
      <c r="R39" s="236">
        <v>5</v>
      </c>
      <c r="S39" s="236">
        <v>4</v>
      </c>
      <c r="T39" s="238">
        <v>6</v>
      </c>
      <c r="U39" s="236">
        <v>4</v>
      </c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93</v>
      </c>
      <c r="AH39" s="189">
        <v>93</v>
      </c>
      <c r="AI39" s="189">
        <v>7</v>
      </c>
    </row>
    <row r="40" spans="1:35" ht="15" customHeight="1" x14ac:dyDescent="0.25">
      <c r="A40" s="489"/>
      <c r="B40" s="492"/>
      <c r="C40" s="495"/>
      <c r="D40" s="25" t="s">
        <v>777</v>
      </c>
      <c r="E40" s="26" t="s">
        <v>27</v>
      </c>
      <c r="F40" s="392">
        <v>10</v>
      </c>
      <c r="G40" s="239">
        <v>6</v>
      </c>
      <c r="H40" s="239">
        <v>6</v>
      </c>
      <c r="I40" s="237">
        <v>4</v>
      </c>
      <c r="J40" s="237">
        <v>4</v>
      </c>
      <c r="K40" s="239">
        <v>7</v>
      </c>
      <c r="L40" s="237">
        <v>4</v>
      </c>
      <c r="M40" s="237">
        <v>4</v>
      </c>
      <c r="N40" s="239">
        <v>8</v>
      </c>
      <c r="O40" s="239">
        <v>5</v>
      </c>
      <c r="P40" s="239">
        <v>5</v>
      </c>
      <c r="Q40" s="239">
        <v>9</v>
      </c>
      <c r="R40" s="239">
        <v>6</v>
      </c>
      <c r="S40" s="239">
        <v>5</v>
      </c>
      <c r="T40" s="239">
        <v>6</v>
      </c>
      <c r="U40" s="237">
        <v>4</v>
      </c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93</v>
      </c>
      <c r="AH40" s="191">
        <v>186</v>
      </c>
      <c r="AI40" s="191">
        <v>7</v>
      </c>
    </row>
    <row r="41" spans="1:35" ht="15" hidden="1" customHeight="1" x14ac:dyDescent="0.25">
      <c r="A41" s="489"/>
      <c r="B41" s="492"/>
      <c r="C41" s="495"/>
      <c r="D41" s="25" t="s">
        <v>777</v>
      </c>
      <c r="E41" s="2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186</v>
      </c>
      <c r="AI41" s="191">
        <v>7</v>
      </c>
    </row>
    <row r="42" spans="1:35" ht="15.75" hidden="1" customHeight="1" x14ac:dyDescent="0.25">
      <c r="A42" s="489"/>
      <c r="B42" s="492"/>
      <c r="C42" s="495"/>
      <c r="D42" s="25" t="s">
        <v>777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186</v>
      </c>
      <c r="AI42" s="191">
        <v>7</v>
      </c>
    </row>
    <row r="43" spans="1:35" ht="15.75" customHeight="1" thickBot="1" x14ac:dyDescent="0.3">
      <c r="A43" s="490"/>
      <c r="B43" s="493"/>
      <c r="C43" s="496"/>
      <c r="D43" s="27" t="s">
        <v>777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186</v>
      </c>
      <c r="AI43" s="193">
        <v>7</v>
      </c>
    </row>
    <row r="44" spans="1:35" ht="15" hidden="1" customHeight="1" x14ac:dyDescent="0.25">
      <c r="A44" s="488">
        <v>8</v>
      </c>
      <c r="B44" s="491" t="e">
        <v>#N/A</v>
      </c>
      <c r="C44" s="494" t="e">
        <v>#N/A</v>
      </c>
      <c r="D44" s="23" t="e">
        <v>#N/A</v>
      </c>
      <c r="E44" s="24" t="s">
        <v>26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89"/>
      <c r="B45" s="492"/>
      <c r="C45" s="495"/>
      <c r="D45" s="25" t="e">
        <v>#N/A</v>
      </c>
      <c r="E45" s="26" t="s">
        <v>27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9"/>
      <c r="B46" s="492"/>
      <c r="C46" s="495"/>
      <c r="D46" s="25" t="e">
        <v>#N/A</v>
      </c>
      <c r="E46" s="2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89"/>
      <c r="B47" s="492"/>
      <c r="C47" s="495"/>
      <c r="D47" s="25" t="e">
        <v>#N/A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90"/>
      <c r="B48" s="493"/>
      <c r="C48" s="496"/>
      <c r="D48" s="27" t="e">
        <v>#N/A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8">
        <v>9</v>
      </c>
      <c r="B49" s="491" t="e">
        <v>#N/A</v>
      </c>
      <c r="C49" s="494" t="e">
        <v>#N/A</v>
      </c>
      <c r="D49" s="23" t="e">
        <v>#N/A</v>
      </c>
      <c r="E49" s="24" t="s">
        <v>26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9"/>
      <c r="B50" s="492"/>
      <c r="C50" s="495"/>
      <c r="D50" s="25" t="e">
        <v>#N/A</v>
      </c>
      <c r="E50" s="26" t="s">
        <v>27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9"/>
      <c r="B51" s="492"/>
      <c r="C51" s="495"/>
      <c r="D51" s="25" t="e">
        <v>#N/A</v>
      </c>
      <c r="E51" s="2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89"/>
      <c r="B52" s="492"/>
      <c r="C52" s="495"/>
      <c r="D52" s="25" t="e">
        <v>#N/A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90"/>
      <c r="B53" s="493"/>
      <c r="C53" s="496"/>
      <c r="D53" s="27" t="e">
        <v>#N/A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8">
        <v>10</v>
      </c>
      <c r="B54" s="491" t="e">
        <v>#N/A</v>
      </c>
      <c r="C54" s="494" t="e">
        <v>#N/A</v>
      </c>
      <c r="D54" s="23" t="e">
        <v>#N/A</v>
      </c>
      <c r="E54" s="24" t="s">
        <v>26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9"/>
      <c r="B55" s="492"/>
      <c r="C55" s="495"/>
      <c r="D55" s="25" t="e">
        <v>#N/A</v>
      </c>
      <c r="E55" s="26" t="s">
        <v>27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9"/>
      <c r="B56" s="492"/>
      <c r="C56" s="495"/>
      <c r="D56" s="25" t="e">
        <v>#N/A</v>
      </c>
      <c r="E56" s="2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89"/>
      <c r="B57" s="492"/>
      <c r="C57" s="495"/>
      <c r="D57" s="25" t="e">
        <v>#N/A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90"/>
      <c r="B58" s="493"/>
      <c r="C58" s="496"/>
      <c r="D58" s="27" t="e">
        <v>#N/A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8">
        <v>11</v>
      </c>
      <c r="B59" s="491" t="e">
        <v>#N/A</v>
      </c>
      <c r="C59" s="494" t="e">
        <v>#N/A</v>
      </c>
      <c r="D59" s="23" t="e">
        <v>#N/A</v>
      </c>
      <c r="E59" s="24" t="s">
        <v>26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9"/>
      <c r="B60" s="492"/>
      <c r="C60" s="495"/>
      <c r="D60" s="25" t="e">
        <v>#N/A</v>
      </c>
      <c r="E60" s="26" t="s">
        <v>27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9"/>
      <c r="B61" s="492"/>
      <c r="C61" s="495"/>
      <c r="D61" s="25" t="e">
        <v>#N/A</v>
      </c>
      <c r="E61" s="2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89"/>
      <c r="B62" s="492"/>
      <c r="C62" s="495"/>
      <c r="D62" s="25" t="e">
        <v>#N/A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90"/>
      <c r="B63" s="493"/>
      <c r="C63" s="496"/>
      <c r="D63" s="27" t="e">
        <v>#N/A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8">
        <v>12</v>
      </c>
      <c r="B64" s="491" t="e">
        <v>#N/A</v>
      </c>
      <c r="C64" s="494" t="e">
        <v>#N/A</v>
      </c>
      <c r="D64" s="23" t="e">
        <v>#N/A</v>
      </c>
      <c r="E64" s="24" t="s">
        <v>26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9"/>
      <c r="B65" s="492"/>
      <c r="C65" s="495"/>
      <c r="D65" s="25" t="e">
        <v>#N/A</v>
      </c>
      <c r="E65" s="26" t="s">
        <v>27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9"/>
      <c r="B66" s="492"/>
      <c r="C66" s="495"/>
      <c r="D66" s="25" t="e">
        <v>#N/A</v>
      </c>
      <c r="E66" s="2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89"/>
      <c r="B67" s="492"/>
      <c r="C67" s="495"/>
      <c r="D67" s="25" t="e">
        <v>#N/A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90"/>
      <c r="B68" s="493"/>
      <c r="C68" s="496"/>
      <c r="D68" s="27" t="e">
        <v>#N/A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8">
        <v>13</v>
      </c>
      <c r="B69" s="491" t="e">
        <v>#N/A</v>
      </c>
      <c r="C69" s="494" t="e">
        <v>#N/A</v>
      </c>
      <c r="D69" s="23" t="e">
        <v>#N/A</v>
      </c>
      <c r="E69" s="24" t="s">
        <v>26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9"/>
      <c r="B70" s="492"/>
      <c r="C70" s="495"/>
      <c r="D70" s="25" t="e">
        <v>#N/A</v>
      </c>
      <c r="E70" s="26" t="s">
        <v>27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9"/>
      <c r="B71" s="492"/>
      <c r="C71" s="495"/>
      <c r="D71" s="25" t="e">
        <v>#N/A</v>
      </c>
      <c r="E71" s="2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89"/>
      <c r="B72" s="492"/>
      <c r="C72" s="495"/>
      <c r="D72" s="25" t="e">
        <v>#N/A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90"/>
      <c r="B73" s="493"/>
      <c r="C73" s="496"/>
      <c r="D73" s="27" t="e">
        <v>#N/A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8">
        <v>14</v>
      </c>
      <c r="B74" s="491" t="e">
        <v>#N/A</v>
      </c>
      <c r="C74" s="494" t="e">
        <v>#N/A</v>
      </c>
      <c r="D74" s="23" t="e">
        <v>#N/A</v>
      </c>
      <c r="E74" s="24" t="s">
        <v>26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9"/>
      <c r="B75" s="492"/>
      <c r="C75" s="495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9"/>
      <c r="B76" s="492"/>
      <c r="C76" s="495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89"/>
      <c r="B77" s="492"/>
      <c r="C77" s="495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0"/>
      <c r="B78" s="493"/>
      <c r="C78" s="496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8">
        <v>15</v>
      </c>
      <c r="B79" s="491" t="e">
        <v>#N/A</v>
      </c>
      <c r="C79" s="494" t="e">
        <v>#N/A</v>
      </c>
      <c r="D79" s="23" t="e">
        <v>#N/A</v>
      </c>
      <c r="E79" s="24" t="s">
        <v>26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9"/>
      <c r="B80" s="492"/>
      <c r="C80" s="495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9"/>
      <c r="B81" s="492"/>
      <c r="C81" s="495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89"/>
      <c r="B82" s="492"/>
      <c r="C82" s="495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0"/>
      <c r="B83" s="493"/>
      <c r="C83" s="496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8">
        <v>16</v>
      </c>
      <c r="B84" s="491" t="e">
        <v>#N/A</v>
      </c>
      <c r="C84" s="494" t="e">
        <v>#N/A</v>
      </c>
      <c r="D84" s="23" t="e">
        <v>#N/A</v>
      </c>
      <c r="E84" s="24" t="s">
        <v>26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9"/>
      <c r="B85" s="492"/>
      <c r="C85" s="495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9"/>
      <c r="B86" s="492"/>
      <c r="C86" s="495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89"/>
      <c r="B87" s="492"/>
      <c r="C87" s="495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0"/>
      <c r="B88" s="493"/>
      <c r="C88" s="496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8">
        <v>17</v>
      </c>
      <c r="B89" s="491" t="e">
        <v>#N/A</v>
      </c>
      <c r="C89" s="494" t="e">
        <v>#N/A</v>
      </c>
      <c r="D89" s="23" t="e">
        <v>#N/A</v>
      </c>
      <c r="E89" s="24" t="s">
        <v>26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9"/>
      <c r="B90" s="492"/>
      <c r="C90" s="495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9"/>
      <c r="B91" s="492"/>
      <c r="C91" s="495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89"/>
      <c r="B92" s="492"/>
      <c r="C92" s="495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0"/>
      <c r="B93" s="493"/>
      <c r="C93" s="496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8">
        <v>18</v>
      </c>
      <c r="B94" s="491" t="e">
        <v>#N/A</v>
      </c>
      <c r="C94" s="494" t="e">
        <v>#N/A</v>
      </c>
      <c r="D94" s="23" t="e">
        <v>#N/A</v>
      </c>
      <c r="E94" s="24" t="s">
        <v>26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9"/>
      <c r="B95" s="492"/>
      <c r="C95" s="495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9"/>
      <c r="B96" s="492"/>
      <c r="C96" s="495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89"/>
      <c r="B97" s="492"/>
      <c r="C97" s="495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0"/>
      <c r="B98" s="493"/>
      <c r="C98" s="496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8">
        <v>19</v>
      </c>
      <c r="B99" s="491" t="e">
        <v>#N/A</v>
      </c>
      <c r="C99" s="494" t="e">
        <v>#N/A</v>
      </c>
      <c r="D99" s="23" t="e">
        <v>#N/A</v>
      </c>
      <c r="E99" s="24" t="s">
        <v>26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9"/>
      <c r="B100" s="492"/>
      <c r="C100" s="495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9"/>
      <c r="B101" s="492"/>
      <c r="C101" s="495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89"/>
      <c r="B102" s="492"/>
      <c r="C102" s="495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0"/>
      <c r="B103" s="493"/>
      <c r="C103" s="496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8">
        <v>20</v>
      </c>
      <c r="B104" s="491" t="e">
        <v>#N/A</v>
      </c>
      <c r="C104" s="494" t="e">
        <v>#N/A</v>
      </c>
      <c r="D104" s="23" t="e">
        <v>#N/A</v>
      </c>
      <c r="E104" s="24" t="s">
        <v>26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9"/>
      <c r="B105" s="492"/>
      <c r="C105" s="495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9"/>
      <c r="B106" s="492"/>
      <c r="C106" s="495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89"/>
      <c r="B107" s="492"/>
      <c r="C107" s="495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0"/>
      <c r="B108" s="493"/>
      <c r="C108" s="496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8">
        <v>21</v>
      </c>
      <c r="B109" s="491" t="e">
        <v>#N/A</v>
      </c>
      <c r="C109" s="494" t="e">
        <v>#N/A</v>
      </c>
      <c r="D109" s="23" t="e">
        <v>#N/A</v>
      </c>
      <c r="E109" s="24" t="s">
        <v>26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9"/>
      <c r="B110" s="492"/>
      <c r="C110" s="495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9"/>
      <c r="B111" s="492"/>
      <c r="C111" s="495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89"/>
      <c r="B112" s="492"/>
      <c r="C112" s="495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0"/>
      <c r="B113" s="493"/>
      <c r="C113" s="496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8">
        <v>22</v>
      </c>
      <c r="B114" s="491" t="e">
        <v>#N/A</v>
      </c>
      <c r="C114" s="494" t="e">
        <v>#N/A</v>
      </c>
      <c r="D114" s="23" t="e">
        <v>#N/A</v>
      </c>
      <c r="E114" s="24" t="s">
        <v>26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9"/>
      <c r="B115" s="492"/>
      <c r="C115" s="495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9"/>
      <c r="B116" s="492"/>
      <c r="C116" s="495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89"/>
      <c r="B117" s="492"/>
      <c r="C117" s="495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0"/>
      <c r="B118" s="493"/>
      <c r="C118" s="496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8">
        <v>23</v>
      </c>
      <c r="B119" s="491" t="e">
        <v>#N/A</v>
      </c>
      <c r="C119" s="494" t="e">
        <v>#N/A</v>
      </c>
      <c r="D119" s="23" t="e">
        <v>#N/A</v>
      </c>
      <c r="E119" s="24" t="s">
        <v>26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9"/>
      <c r="B120" s="492"/>
      <c r="C120" s="495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9"/>
      <c r="B121" s="492"/>
      <c r="C121" s="495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89"/>
      <c r="B122" s="492"/>
      <c r="C122" s="495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0"/>
      <c r="B123" s="493"/>
      <c r="C123" s="496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8">
        <v>24</v>
      </c>
      <c r="B124" s="491" t="e">
        <v>#N/A</v>
      </c>
      <c r="C124" s="494" t="e">
        <v>#N/A</v>
      </c>
      <c r="D124" s="23" t="e">
        <v>#N/A</v>
      </c>
      <c r="E124" s="24" t="s">
        <v>26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9"/>
      <c r="B125" s="492"/>
      <c r="C125" s="495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9"/>
      <c r="B126" s="492"/>
      <c r="C126" s="495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89"/>
      <c r="B127" s="492"/>
      <c r="C127" s="495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0"/>
      <c r="B128" s="493"/>
      <c r="C128" s="496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8">
        <v>25</v>
      </c>
      <c r="B129" s="491" t="e">
        <v>#N/A</v>
      </c>
      <c r="C129" s="494" t="e">
        <v>#N/A</v>
      </c>
      <c r="D129" s="23" t="e">
        <v>#N/A</v>
      </c>
      <c r="E129" s="24" t="s">
        <v>26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9"/>
      <c r="B130" s="492"/>
      <c r="C130" s="495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9"/>
      <c r="B131" s="492"/>
      <c r="C131" s="495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89"/>
      <c r="B132" s="492"/>
      <c r="C132" s="495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0"/>
      <c r="B133" s="493"/>
      <c r="C133" s="496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8">
        <v>26</v>
      </c>
      <c r="B134" s="491" t="e">
        <v>#N/A</v>
      </c>
      <c r="C134" s="494" t="e">
        <v>#N/A</v>
      </c>
      <c r="D134" s="23" t="e">
        <v>#N/A</v>
      </c>
      <c r="E134" s="24" t="s">
        <v>26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9"/>
      <c r="B135" s="492"/>
      <c r="C135" s="495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9"/>
      <c r="B136" s="492"/>
      <c r="C136" s="495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89"/>
      <c r="B137" s="492"/>
      <c r="C137" s="495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0"/>
      <c r="B138" s="493"/>
      <c r="C138" s="496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8">
        <v>27</v>
      </c>
      <c r="B139" s="491" t="e">
        <v>#N/A</v>
      </c>
      <c r="C139" s="494" t="e">
        <v>#N/A</v>
      </c>
      <c r="D139" s="23" t="e">
        <v>#N/A</v>
      </c>
      <c r="E139" s="24" t="s">
        <v>26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9"/>
      <c r="B140" s="492"/>
      <c r="C140" s="495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9"/>
      <c r="B141" s="492"/>
      <c r="C141" s="495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89"/>
      <c r="B142" s="492"/>
      <c r="C142" s="495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0"/>
      <c r="B143" s="493"/>
      <c r="C143" s="496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8">
        <v>28</v>
      </c>
      <c r="B144" s="491" t="e">
        <v>#N/A</v>
      </c>
      <c r="C144" s="494" t="e">
        <v>#N/A</v>
      </c>
      <c r="D144" s="23" t="e">
        <v>#N/A</v>
      </c>
      <c r="E144" s="24" t="s">
        <v>26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9"/>
      <c r="B145" s="492"/>
      <c r="C145" s="495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9"/>
      <c r="B146" s="492"/>
      <c r="C146" s="495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89"/>
      <c r="B147" s="492"/>
      <c r="C147" s="495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0"/>
      <c r="B148" s="493"/>
      <c r="C148" s="496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8">
        <v>29</v>
      </c>
      <c r="B149" s="491" t="e">
        <v>#N/A</v>
      </c>
      <c r="C149" s="494" t="e">
        <v>#N/A</v>
      </c>
      <c r="D149" s="23" t="e">
        <v>#N/A</v>
      </c>
      <c r="E149" s="24" t="s">
        <v>26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9"/>
      <c r="B150" s="492"/>
      <c r="C150" s="495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9"/>
      <c r="B151" s="492"/>
      <c r="C151" s="495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89"/>
      <c r="B152" s="492"/>
      <c r="C152" s="495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0"/>
      <c r="B153" s="493"/>
      <c r="C153" s="496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8">
        <v>30</v>
      </c>
      <c r="B154" s="491" t="e">
        <v>#N/A</v>
      </c>
      <c r="C154" s="494" t="e">
        <v>#N/A</v>
      </c>
      <c r="D154" s="23" t="e">
        <v>#N/A</v>
      </c>
      <c r="E154" s="24" t="s">
        <v>26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9"/>
      <c r="B155" s="492"/>
      <c r="C155" s="495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9"/>
      <c r="B156" s="492"/>
      <c r="C156" s="495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89"/>
      <c r="B157" s="492"/>
      <c r="C157" s="495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0"/>
      <c r="B158" s="493"/>
      <c r="C158" s="496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8">
        <v>31</v>
      </c>
      <c r="B159" s="491" t="e">
        <v>#N/A</v>
      </c>
      <c r="C159" s="494" t="e">
        <v>#N/A</v>
      </c>
      <c r="D159" s="23" t="e">
        <v>#N/A</v>
      </c>
      <c r="E159" s="24" t="s">
        <v>26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9"/>
      <c r="B160" s="492"/>
      <c r="C160" s="495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9"/>
      <c r="B161" s="492"/>
      <c r="C161" s="495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89"/>
      <c r="B162" s="492"/>
      <c r="C162" s="495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0"/>
      <c r="B163" s="493"/>
      <c r="C163" s="496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8">
        <v>32</v>
      </c>
      <c r="B164" s="491" t="e">
        <v>#N/A</v>
      </c>
      <c r="C164" s="494" t="e">
        <v>#N/A</v>
      </c>
      <c r="D164" s="23" t="e">
        <v>#N/A</v>
      </c>
      <c r="E164" s="24" t="s">
        <v>26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9"/>
      <c r="B165" s="492"/>
      <c r="C165" s="495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9"/>
      <c r="B166" s="492"/>
      <c r="C166" s="495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89"/>
      <c r="B167" s="492"/>
      <c r="C167" s="495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0"/>
      <c r="B168" s="493"/>
      <c r="C168" s="496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8">
        <v>33</v>
      </c>
      <c r="B169" s="491" t="e">
        <v>#N/A</v>
      </c>
      <c r="C169" s="494" t="e">
        <v>#N/A</v>
      </c>
      <c r="D169" s="23" t="e">
        <v>#N/A</v>
      </c>
      <c r="E169" s="24" t="s">
        <v>26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9"/>
      <c r="B170" s="492"/>
      <c r="C170" s="495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9"/>
      <c r="B171" s="492"/>
      <c r="C171" s="495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89"/>
      <c r="B172" s="492"/>
      <c r="C172" s="495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0"/>
      <c r="B173" s="493"/>
      <c r="C173" s="496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8">
        <v>34</v>
      </c>
      <c r="B174" s="491" t="e">
        <v>#N/A</v>
      </c>
      <c r="C174" s="494" t="e">
        <v>#N/A</v>
      </c>
      <c r="D174" s="23" t="e">
        <v>#N/A</v>
      </c>
      <c r="E174" s="24" t="s">
        <v>26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9"/>
      <c r="B175" s="492"/>
      <c r="C175" s="495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9"/>
      <c r="B176" s="492"/>
      <c r="C176" s="495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89"/>
      <c r="B177" s="492"/>
      <c r="C177" s="495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0"/>
      <c r="B178" s="493"/>
      <c r="C178" s="496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8">
        <v>35</v>
      </c>
      <c r="B179" s="491" t="e">
        <v>#N/A</v>
      </c>
      <c r="C179" s="494" t="e">
        <v>#N/A</v>
      </c>
      <c r="D179" s="23" t="e">
        <v>#N/A</v>
      </c>
      <c r="E179" s="24" t="s">
        <v>26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9"/>
      <c r="B180" s="492"/>
      <c r="C180" s="495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9"/>
      <c r="B181" s="492"/>
      <c r="C181" s="495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89"/>
      <c r="B182" s="492"/>
      <c r="C182" s="495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0"/>
      <c r="B183" s="493"/>
      <c r="C183" s="496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8">
        <v>36</v>
      </c>
      <c r="B184" s="491" t="e">
        <v>#N/A</v>
      </c>
      <c r="C184" s="494" t="e">
        <v>#N/A</v>
      </c>
      <c r="D184" s="23" t="e">
        <v>#N/A</v>
      </c>
      <c r="E184" s="24" t="s">
        <v>26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9"/>
      <c r="B185" s="492"/>
      <c r="C185" s="495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9"/>
      <c r="B186" s="492"/>
      <c r="C186" s="495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89"/>
      <c r="B187" s="492"/>
      <c r="C187" s="495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0"/>
      <c r="B188" s="493"/>
      <c r="C188" s="496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8">
        <v>37</v>
      </c>
      <c r="B189" s="491" t="e">
        <v>#N/A</v>
      </c>
      <c r="C189" s="494" t="e">
        <v>#N/A</v>
      </c>
      <c r="D189" s="23" t="e">
        <v>#N/A</v>
      </c>
      <c r="E189" s="24" t="s">
        <v>26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9"/>
      <c r="B190" s="492"/>
      <c r="C190" s="495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9"/>
      <c r="B191" s="492"/>
      <c r="C191" s="495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89"/>
      <c r="B192" s="492"/>
      <c r="C192" s="495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0"/>
      <c r="B193" s="493"/>
      <c r="C193" s="496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8">
        <v>38</v>
      </c>
      <c r="B194" s="491" t="e">
        <v>#N/A</v>
      </c>
      <c r="C194" s="494" t="e">
        <v>#N/A</v>
      </c>
      <c r="D194" s="23" t="e">
        <v>#N/A</v>
      </c>
      <c r="E194" s="24" t="s">
        <v>26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9"/>
      <c r="B195" s="492"/>
      <c r="C195" s="495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9"/>
      <c r="B196" s="492"/>
      <c r="C196" s="495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89"/>
      <c r="B197" s="492"/>
      <c r="C197" s="495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0"/>
      <c r="B198" s="493"/>
      <c r="C198" s="496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8">
        <v>39</v>
      </c>
      <c r="B199" s="491" t="e">
        <v>#N/A</v>
      </c>
      <c r="C199" s="494" t="e">
        <v>#N/A</v>
      </c>
      <c r="D199" s="23" t="e">
        <v>#N/A</v>
      </c>
      <c r="E199" s="24" t="s">
        <v>26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9"/>
      <c r="B200" s="492"/>
      <c r="C200" s="495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9"/>
      <c r="B201" s="492"/>
      <c r="C201" s="495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89"/>
      <c r="B202" s="492"/>
      <c r="C202" s="495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0"/>
      <c r="B203" s="493"/>
      <c r="C203" s="496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8">
        <v>40</v>
      </c>
      <c r="B204" s="491" t="e">
        <v>#N/A</v>
      </c>
      <c r="C204" s="494" t="e">
        <v>#N/A</v>
      </c>
      <c r="D204" s="23" t="e">
        <v>#N/A</v>
      </c>
      <c r="E204" s="24" t="s">
        <v>26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9"/>
      <c r="B205" s="492"/>
      <c r="C205" s="495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9"/>
      <c r="B206" s="492"/>
      <c r="C206" s="495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89"/>
      <c r="B207" s="492"/>
      <c r="C207" s="495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0"/>
      <c r="B208" s="493"/>
      <c r="C208" s="496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8">
        <v>41</v>
      </c>
      <c r="B209" s="491" t="e">
        <v>#N/A</v>
      </c>
      <c r="C209" s="494" t="e">
        <v>#N/A</v>
      </c>
      <c r="D209" s="23" t="e">
        <v>#N/A</v>
      </c>
      <c r="E209" s="2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9"/>
      <c r="B210" s="492"/>
      <c r="C210" s="495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9"/>
      <c r="B211" s="492"/>
      <c r="C211" s="495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89"/>
      <c r="B212" s="492"/>
      <c r="C212" s="495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0"/>
      <c r="B213" s="493"/>
      <c r="C213" s="496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8">
        <v>42</v>
      </c>
      <c r="B214" s="491" t="e">
        <v>#N/A</v>
      </c>
      <c r="C214" s="494" t="e">
        <v>#N/A</v>
      </c>
      <c r="D214" s="23" t="e">
        <v>#N/A</v>
      </c>
      <c r="E214" s="2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9"/>
      <c r="B215" s="492"/>
      <c r="C215" s="495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9"/>
      <c r="B216" s="492"/>
      <c r="C216" s="495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89"/>
      <c r="B217" s="492"/>
      <c r="C217" s="495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0"/>
      <c r="B218" s="493"/>
      <c r="C218" s="496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8">
        <v>43</v>
      </c>
      <c r="B219" s="491" t="e">
        <v>#N/A</v>
      </c>
      <c r="C219" s="494" t="e">
        <v>#N/A</v>
      </c>
      <c r="D219" s="23" t="e">
        <v>#N/A</v>
      </c>
      <c r="E219" s="2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9"/>
      <c r="B220" s="492"/>
      <c r="C220" s="495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9"/>
      <c r="B221" s="492"/>
      <c r="C221" s="495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89"/>
      <c r="B222" s="492"/>
      <c r="C222" s="495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0"/>
      <c r="B223" s="493"/>
      <c r="C223" s="496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8">
        <v>44</v>
      </c>
      <c r="B224" s="491" t="e">
        <v>#N/A</v>
      </c>
      <c r="C224" s="494" t="e">
        <v>#N/A</v>
      </c>
      <c r="D224" s="23" t="e">
        <v>#N/A</v>
      </c>
      <c r="E224" s="2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9"/>
      <c r="B225" s="492"/>
      <c r="C225" s="495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9"/>
      <c r="B226" s="492"/>
      <c r="C226" s="495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89"/>
      <c r="B227" s="492"/>
      <c r="C227" s="495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0"/>
      <c r="B228" s="493"/>
      <c r="C228" s="496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8">
        <v>45</v>
      </c>
      <c r="B229" s="491" t="e">
        <v>#N/A</v>
      </c>
      <c r="C229" s="494" t="e">
        <v>#N/A</v>
      </c>
      <c r="D229" s="23" t="e">
        <v>#N/A</v>
      </c>
      <c r="E229" s="2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9"/>
      <c r="B230" s="492"/>
      <c r="C230" s="495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9"/>
      <c r="B231" s="492"/>
      <c r="C231" s="495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89"/>
      <c r="B232" s="492"/>
      <c r="C232" s="495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0"/>
      <c r="B233" s="493"/>
      <c r="C233" s="496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8">
        <v>46</v>
      </c>
      <c r="B234" s="491" t="e">
        <v>#N/A</v>
      </c>
      <c r="C234" s="494" t="e">
        <v>#N/A</v>
      </c>
      <c r="D234" s="23" t="e">
        <v>#N/A</v>
      </c>
      <c r="E234" s="2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9"/>
      <c r="B235" s="492"/>
      <c r="C235" s="495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9"/>
      <c r="B236" s="492"/>
      <c r="C236" s="495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89"/>
      <c r="B237" s="492"/>
      <c r="C237" s="495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0"/>
      <c r="B238" s="493"/>
      <c r="C238" s="496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8">
        <v>47</v>
      </c>
      <c r="B239" s="491" t="e">
        <v>#N/A</v>
      </c>
      <c r="C239" s="494" t="e">
        <v>#N/A</v>
      </c>
      <c r="D239" s="23" t="e">
        <v>#N/A</v>
      </c>
      <c r="E239" s="2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9"/>
      <c r="B240" s="492"/>
      <c r="C240" s="495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9"/>
      <c r="B241" s="492"/>
      <c r="C241" s="495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89"/>
      <c r="B242" s="492"/>
      <c r="C242" s="495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0"/>
      <c r="B243" s="493"/>
      <c r="C243" s="496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8">
        <v>48</v>
      </c>
      <c r="B244" s="491" t="e">
        <v>#N/A</v>
      </c>
      <c r="C244" s="494" t="e">
        <v>#N/A</v>
      </c>
      <c r="D244" s="23" t="e">
        <v>#N/A</v>
      </c>
      <c r="E244" s="2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9"/>
      <c r="B245" s="492"/>
      <c r="C245" s="495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9"/>
      <c r="B246" s="492"/>
      <c r="C246" s="495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89"/>
      <c r="B247" s="492"/>
      <c r="C247" s="495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0"/>
      <c r="B248" s="493"/>
      <c r="C248" s="496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8">
        <v>49</v>
      </c>
      <c r="B249" s="491" t="e">
        <v>#N/A</v>
      </c>
      <c r="C249" s="494" t="e">
        <v>#N/A</v>
      </c>
      <c r="D249" s="23" t="e">
        <v>#N/A</v>
      </c>
      <c r="E249" s="2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9"/>
      <c r="B250" s="492"/>
      <c r="C250" s="495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9"/>
      <c r="B251" s="492"/>
      <c r="C251" s="495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89"/>
      <c r="B252" s="492"/>
      <c r="C252" s="495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0"/>
      <c r="B253" s="493"/>
      <c r="C253" s="496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8">
        <v>50</v>
      </c>
      <c r="B254" s="491" t="e">
        <v>#N/A</v>
      </c>
      <c r="C254" s="494" t="e">
        <v>#N/A</v>
      </c>
      <c r="D254" s="23" t="e">
        <v>#N/A</v>
      </c>
      <c r="E254" s="2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9"/>
      <c r="B255" s="492"/>
      <c r="C255" s="495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9"/>
      <c r="B256" s="492"/>
      <c r="C256" s="495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89"/>
      <c r="B257" s="492"/>
      <c r="C257" s="495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0"/>
      <c r="B258" s="493"/>
      <c r="C258" s="496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8">
        <v>51</v>
      </c>
      <c r="B259" s="491" t="e">
        <v>#N/A</v>
      </c>
      <c r="C259" s="494" t="e">
        <v>#N/A</v>
      </c>
      <c r="D259" s="23" t="e">
        <v>#N/A</v>
      </c>
      <c r="E259" s="2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9"/>
      <c r="B260" s="492"/>
      <c r="C260" s="495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9"/>
      <c r="B261" s="492"/>
      <c r="C261" s="495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89"/>
      <c r="B262" s="492"/>
      <c r="C262" s="495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0"/>
      <c r="B263" s="493"/>
      <c r="C263" s="496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8">
        <v>52</v>
      </c>
      <c r="B264" s="491" t="e">
        <v>#N/A</v>
      </c>
      <c r="C264" s="494" t="e">
        <v>#N/A</v>
      </c>
      <c r="D264" s="23" t="e">
        <v>#N/A</v>
      </c>
      <c r="E264" s="2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9"/>
      <c r="B265" s="492"/>
      <c r="C265" s="495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9"/>
      <c r="B266" s="492"/>
      <c r="C266" s="495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89"/>
      <c r="B267" s="492"/>
      <c r="C267" s="495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0"/>
      <c r="B268" s="493"/>
      <c r="C268" s="496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8">
        <v>53</v>
      </c>
      <c r="B269" s="491" t="e">
        <v>#N/A</v>
      </c>
      <c r="C269" s="494" t="e">
        <v>#N/A</v>
      </c>
      <c r="D269" s="23" t="e">
        <v>#N/A</v>
      </c>
      <c r="E269" s="2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9"/>
      <c r="B270" s="492"/>
      <c r="C270" s="495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9"/>
      <c r="B271" s="492"/>
      <c r="C271" s="495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89"/>
      <c r="B272" s="492"/>
      <c r="C272" s="495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0"/>
      <c r="B273" s="493"/>
      <c r="C273" s="496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8">
        <v>54</v>
      </c>
      <c r="B274" s="491" t="e">
        <v>#N/A</v>
      </c>
      <c r="C274" s="494" t="e">
        <v>#N/A</v>
      </c>
      <c r="D274" s="23" t="e">
        <v>#N/A</v>
      </c>
      <c r="E274" s="2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9"/>
      <c r="B275" s="492"/>
      <c r="C275" s="495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9"/>
      <c r="B276" s="492"/>
      <c r="C276" s="495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89"/>
      <c r="B277" s="492"/>
      <c r="C277" s="495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0"/>
      <c r="B278" s="493"/>
      <c r="C278" s="496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8">
        <v>55</v>
      </c>
      <c r="B279" s="491" t="e">
        <v>#N/A</v>
      </c>
      <c r="C279" s="494" t="e">
        <v>#N/A</v>
      </c>
      <c r="D279" s="23" t="e">
        <v>#N/A</v>
      </c>
      <c r="E279" s="2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9"/>
      <c r="B280" s="492"/>
      <c r="C280" s="495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9"/>
      <c r="B281" s="492"/>
      <c r="C281" s="495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89"/>
      <c r="B282" s="492"/>
      <c r="C282" s="495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0"/>
      <c r="B283" s="493"/>
      <c r="C283" s="496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8">
        <v>56</v>
      </c>
      <c r="B284" s="491" t="e">
        <v>#N/A</v>
      </c>
      <c r="C284" s="494" t="e">
        <v>#N/A</v>
      </c>
      <c r="D284" s="23" t="e">
        <v>#N/A</v>
      </c>
      <c r="E284" s="2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9"/>
      <c r="B285" s="492"/>
      <c r="C285" s="495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9"/>
      <c r="B286" s="492"/>
      <c r="C286" s="495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89"/>
      <c r="B287" s="492"/>
      <c r="C287" s="495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0"/>
      <c r="B288" s="493"/>
      <c r="C288" s="496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8">
        <v>57</v>
      </c>
      <c r="B289" s="491" t="e">
        <v>#N/A</v>
      </c>
      <c r="C289" s="494" t="e">
        <v>#N/A</v>
      </c>
      <c r="D289" s="23" t="e">
        <v>#N/A</v>
      </c>
      <c r="E289" s="2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9"/>
      <c r="B290" s="492"/>
      <c r="C290" s="495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9"/>
      <c r="B291" s="492"/>
      <c r="C291" s="495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89"/>
      <c r="B292" s="492"/>
      <c r="C292" s="495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0"/>
      <c r="B293" s="493"/>
      <c r="C293" s="496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8">
        <v>58</v>
      </c>
      <c r="B294" s="491" t="e">
        <v>#N/A</v>
      </c>
      <c r="C294" s="494" t="e">
        <v>#N/A</v>
      </c>
      <c r="D294" s="23" t="e">
        <v>#N/A</v>
      </c>
      <c r="E294" s="2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9"/>
      <c r="B295" s="492"/>
      <c r="C295" s="495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9"/>
      <c r="B296" s="492"/>
      <c r="C296" s="495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89"/>
      <c r="B297" s="492"/>
      <c r="C297" s="495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0"/>
      <c r="B298" s="493"/>
      <c r="C298" s="496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8">
        <v>59</v>
      </c>
      <c r="B299" s="491" t="e">
        <v>#N/A</v>
      </c>
      <c r="C299" s="494" t="e">
        <v>#N/A</v>
      </c>
      <c r="D299" s="23" t="e">
        <v>#N/A</v>
      </c>
      <c r="E299" s="2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9"/>
      <c r="B300" s="492"/>
      <c r="C300" s="495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9"/>
      <c r="B301" s="492"/>
      <c r="C301" s="495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89"/>
      <c r="B302" s="492"/>
      <c r="C302" s="495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0"/>
      <c r="B303" s="493"/>
      <c r="C303" s="496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8">
        <v>60</v>
      </c>
      <c r="B304" s="491" t="e">
        <v>#N/A</v>
      </c>
      <c r="C304" s="494" t="e">
        <v>#N/A</v>
      </c>
      <c r="D304" s="23" t="e">
        <v>#N/A</v>
      </c>
      <c r="E304" s="2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9"/>
      <c r="B305" s="492"/>
      <c r="C305" s="495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9"/>
      <c r="B306" s="492"/>
      <c r="C306" s="495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89"/>
      <c r="B307" s="492"/>
      <c r="C307" s="495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0"/>
      <c r="B308" s="493"/>
      <c r="C308" s="496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8">
        <v>61</v>
      </c>
      <c r="B309" s="491" t="e">
        <v>#N/A</v>
      </c>
      <c r="C309" s="494" t="e">
        <v>#N/A</v>
      </c>
      <c r="D309" s="23" t="e">
        <v>#N/A</v>
      </c>
      <c r="E309" s="2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9"/>
      <c r="B310" s="492"/>
      <c r="C310" s="495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9"/>
      <c r="B311" s="492"/>
      <c r="C311" s="495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89"/>
      <c r="B312" s="492"/>
      <c r="C312" s="495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0"/>
      <c r="B313" s="493"/>
      <c r="C313" s="496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8">
        <v>62</v>
      </c>
      <c r="B314" s="491" t="e">
        <v>#N/A</v>
      </c>
      <c r="C314" s="494" t="e">
        <v>#N/A</v>
      </c>
      <c r="D314" s="23" t="e">
        <v>#N/A</v>
      </c>
      <c r="E314" s="2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9"/>
      <c r="B315" s="492"/>
      <c r="C315" s="495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9"/>
      <c r="B316" s="492"/>
      <c r="C316" s="495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89"/>
      <c r="B317" s="492"/>
      <c r="C317" s="495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0"/>
      <c r="B318" s="493"/>
      <c r="C318" s="496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8">
        <v>63</v>
      </c>
      <c r="B319" s="491" t="e">
        <v>#N/A</v>
      </c>
      <c r="C319" s="494" t="e">
        <v>#N/A</v>
      </c>
      <c r="D319" s="23" t="e">
        <v>#N/A</v>
      </c>
      <c r="E319" s="2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9"/>
      <c r="B320" s="492"/>
      <c r="C320" s="495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9"/>
      <c r="B321" s="492"/>
      <c r="C321" s="495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89"/>
      <c r="B322" s="492"/>
      <c r="C322" s="495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0"/>
      <c r="B323" s="493"/>
      <c r="C323" s="496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8">
        <v>64</v>
      </c>
      <c r="B324" s="491" t="e">
        <v>#N/A</v>
      </c>
      <c r="C324" s="494" t="e">
        <v>#N/A</v>
      </c>
      <c r="D324" s="23" t="e">
        <v>#N/A</v>
      </c>
      <c r="E324" s="2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9"/>
      <c r="B325" s="492"/>
      <c r="C325" s="495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9"/>
      <c r="B326" s="492"/>
      <c r="C326" s="495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89"/>
      <c r="B327" s="492"/>
      <c r="C327" s="495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0"/>
      <c r="B328" s="493"/>
      <c r="C328" s="496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8">
        <v>65</v>
      </c>
      <c r="B329" s="491" t="e">
        <v>#N/A</v>
      </c>
      <c r="C329" s="494" t="e">
        <v>#N/A</v>
      </c>
      <c r="D329" s="23" t="e">
        <v>#N/A</v>
      </c>
      <c r="E329" s="2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9"/>
      <c r="B330" s="492"/>
      <c r="C330" s="495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9"/>
      <c r="B331" s="492"/>
      <c r="C331" s="495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89"/>
      <c r="B332" s="492"/>
      <c r="C332" s="495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0"/>
      <c r="B333" s="493"/>
      <c r="C333" s="496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8">
        <v>66</v>
      </c>
      <c r="B334" s="491" t="e">
        <v>#N/A</v>
      </c>
      <c r="C334" s="494" t="e">
        <v>#N/A</v>
      </c>
      <c r="D334" s="23" t="e">
        <v>#N/A</v>
      </c>
      <c r="E334" s="2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9"/>
      <c r="B335" s="492"/>
      <c r="C335" s="495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9"/>
      <c r="B336" s="492"/>
      <c r="C336" s="495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89"/>
      <c r="B337" s="492"/>
      <c r="C337" s="495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0"/>
      <c r="B338" s="493"/>
      <c r="C338" s="496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8">
        <v>67</v>
      </c>
      <c r="B339" s="491" t="e">
        <v>#N/A</v>
      </c>
      <c r="C339" s="494" t="e">
        <v>#N/A</v>
      </c>
      <c r="D339" s="23" t="e">
        <v>#N/A</v>
      </c>
      <c r="E339" s="2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9"/>
      <c r="B340" s="492"/>
      <c r="C340" s="495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9"/>
      <c r="B341" s="492"/>
      <c r="C341" s="495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89"/>
      <c r="B342" s="492"/>
      <c r="C342" s="495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0"/>
      <c r="B343" s="493"/>
      <c r="C343" s="496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8">
        <v>68</v>
      </c>
      <c r="B344" s="491" t="e">
        <v>#N/A</v>
      </c>
      <c r="C344" s="494" t="e">
        <v>#N/A</v>
      </c>
      <c r="D344" s="23" t="e">
        <v>#N/A</v>
      </c>
      <c r="E344" s="2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9"/>
      <c r="B345" s="492"/>
      <c r="C345" s="495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9"/>
      <c r="B346" s="492"/>
      <c r="C346" s="495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89"/>
      <c r="B347" s="492"/>
      <c r="C347" s="495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0"/>
      <c r="B348" s="493"/>
      <c r="C348" s="496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8">
        <v>69</v>
      </c>
      <c r="B349" s="491" t="e">
        <v>#N/A</v>
      </c>
      <c r="C349" s="494" t="e">
        <v>#N/A</v>
      </c>
      <c r="D349" s="23" t="e">
        <v>#N/A</v>
      </c>
      <c r="E349" s="2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9"/>
      <c r="B350" s="492"/>
      <c r="C350" s="495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9"/>
      <c r="B351" s="492"/>
      <c r="C351" s="495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89"/>
      <c r="B352" s="492"/>
      <c r="C352" s="495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0"/>
      <c r="B353" s="493"/>
      <c r="C353" s="496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8">
        <v>70</v>
      </c>
      <c r="B354" s="491" t="e">
        <v>#N/A</v>
      </c>
      <c r="C354" s="494" t="e">
        <v>#N/A</v>
      </c>
      <c r="D354" s="23" t="e">
        <v>#N/A</v>
      </c>
      <c r="E354" s="2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9"/>
      <c r="B355" s="492"/>
      <c r="C355" s="495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9"/>
      <c r="B356" s="492"/>
      <c r="C356" s="495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89"/>
      <c r="B357" s="492"/>
      <c r="C357" s="495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0"/>
      <c r="B358" s="493"/>
      <c r="C358" s="496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8">
        <v>71</v>
      </c>
      <c r="B359" s="491" t="e">
        <v>#N/A</v>
      </c>
      <c r="C359" s="494" t="e">
        <v>#N/A</v>
      </c>
      <c r="D359" s="23" t="e">
        <v>#N/A</v>
      </c>
      <c r="E359" s="2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9"/>
      <c r="B360" s="492"/>
      <c r="C360" s="495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9"/>
      <c r="B361" s="492"/>
      <c r="C361" s="495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89"/>
      <c r="B362" s="492"/>
      <c r="C362" s="495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0"/>
      <c r="B363" s="493"/>
      <c r="C363" s="496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8">
        <v>72</v>
      </c>
      <c r="B364" s="491" t="e">
        <v>#N/A</v>
      </c>
      <c r="C364" s="494" t="e">
        <v>#N/A</v>
      </c>
      <c r="D364" s="23" t="e">
        <v>#N/A</v>
      </c>
      <c r="E364" s="2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9"/>
      <c r="B365" s="492"/>
      <c r="C365" s="495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9"/>
      <c r="B366" s="492"/>
      <c r="C366" s="495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89"/>
      <c r="B367" s="492"/>
      <c r="C367" s="495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0"/>
      <c r="B368" s="493"/>
      <c r="C368" s="496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8">
        <v>73</v>
      </c>
      <c r="B369" s="491" t="e">
        <v>#N/A</v>
      </c>
      <c r="C369" s="494" t="e">
        <v>#N/A</v>
      </c>
      <c r="D369" s="23" t="e">
        <v>#N/A</v>
      </c>
      <c r="E369" s="2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9"/>
      <c r="B370" s="492"/>
      <c r="C370" s="495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9"/>
      <c r="B371" s="492"/>
      <c r="C371" s="495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89"/>
      <c r="B372" s="492"/>
      <c r="C372" s="495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0"/>
      <c r="B373" s="493"/>
      <c r="C373" s="496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8">
        <v>74</v>
      </c>
      <c r="B374" s="491" t="e">
        <v>#N/A</v>
      </c>
      <c r="C374" s="494" t="e">
        <v>#N/A</v>
      </c>
      <c r="D374" s="23" t="e">
        <v>#N/A</v>
      </c>
      <c r="E374" s="2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9"/>
      <c r="B375" s="492"/>
      <c r="C375" s="495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9"/>
      <c r="B376" s="492"/>
      <c r="C376" s="495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89"/>
      <c r="B377" s="492"/>
      <c r="C377" s="495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0"/>
      <c r="B378" s="493"/>
      <c r="C378" s="496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8">
        <v>75</v>
      </c>
      <c r="B379" s="491" t="e">
        <v>#N/A</v>
      </c>
      <c r="C379" s="494" t="e">
        <v>#N/A</v>
      </c>
      <c r="D379" s="23" t="e">
        <v>#N/A</v>
      </c>
      <c r="E379" s="2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9"/>
      <c r="B380" s="492"/>
      <c r="C380" s="495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9"/>
      <c r="B381" s="492"/>
      <c r="C381" s="495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89"/>
      <c r="B382" s="492"/>
      <c r="C382" s="495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0"/>
      <c r="B383" s="493"/>
      <c r="C383" s="496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8">
        <v>76</v>
      </c>
      <c r="B384" s="491" t="e">
        <v>#N/A</v>
      </c>
      <c r="C384" s="494" t="e">
        <v>#N/A</v>
      </c>
      <c r="D384" s="23" t="e">
        <v>#N/A</v>
      </c>
      <c r="E384" s="2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9"/>
      <c r="B385" s="492"/>
      <c r="C385" s="495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9"/>
      <c r="B386" s="492"/>
      <c r="C386" s="495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89"/>
      <c r="B387" s="492"/>
      <c r="C387" s="495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0"/>
      <c r="B388" s="493"/>
      <c r="C388" s="496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8">
        <v>77</v>
      </c>
      <c r="B389" s="491" t="e">
        <v>#N/A</v>
      </c>
      <c r="C389" s="494" t="e">
        <v>#N/A</v>
      </c>
      <c r="D389" s="23" t="e">
        <v>#N/A</v>
      </c>
      <c r="E389" s="2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9"/>
      <c r="B390" s="492"/>
      <c r="C390" s="495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9"/>
      <c r="B391" s="492"/>
      <c r="C391" s="495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89"/>
      <c r="B392" s="492"/>
      <c r="C392" s="495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0"/>
      <c r="B393" s="493"/>
      <c r="C393" s="496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8">
        <v>78</v>
      </c>
      <c r="B394" s="491" t="e">
        <v>#N/A</v>
      </c>
      <c r="C394" s="494" t="e">
        <v>#N/A</v>
      </c>
      <c r="D394" s="23" t="e">
        <v>#N/A</v>
      </c>
      <c r="E394" s="2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9"/>
      <c r="B395" s="492"/>
      <c r="C395" s="495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9"/>
      <c r="B396" s="492"/>
      <c r="C396" s="495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89"/>
      <c r="B397" s="492"/>
      <c r="C397" s="495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0"/>
      <c r="B398" s="493"/>
      <c r="C398" s="496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8">
        <v>79</v>
      </c>
      <c r="B399" s="491" t="e">
        <v>#N/A</v>
      </c>
      <c r="C399" s="494" t="e">
        <v>#N/A</v>
      </c>
      <c r="D399" s="23" t="e">
        <v>#N/A</v>
      </c>
      <c r="E399" s="2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9"/>
      <c r="B400" s="492"/>
      <c r="C400" s="495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9"/>
      <c r="B401" s="492"/>
      <c r="C401" s="495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89"/>
      <c r="B402" s="492"/>
      <c r="C402" s="495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0"/>
      <c r="B403" s="493"/>
      <c r="C403" s="496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8">
        <v>80</v>
      </c>
      <c r="B404" s="491" t="e">
        <v>#N/A</v>
      </c>
      <c r="C404" s="494" t="e">
        <v>#N/A</v>
      </c>
      <c r="D404" s="23" t="e">
        <v>#N/A</v>
      </c>
      <c r="E404" s="2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9"/>
      <c r="B405" s="492"/>
      <c r="C405" s="495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9"/>
      <c r="B406" s="492"/>
      <c r="C406" s="495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89"/>
      <c r="B407" s="492"/>
      <c r="C407" s="495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0"/>
      <c r="B408" s="493"/>
      <c r="C408" s="496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8" t="s">
        <v>34</v>
      </c>
      <c r="B409" s="491" t="e">
        <v>#N/A</v>
      </c>
      <c r="C409" s="494" t="e">
        <v>#N/A</v>
      </c>
      <c r="D409" s="23" t="e">
        <v>#N/A</v>
      </c>
      <c r="E409" s="2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89"/>
      <c r="B410" s="492"/>
      <c r="C410" s="495"/>
      <c r="D410" s="25" t="e">
        <v>#N/A</v>
      </c>
      <c r="E410" s="2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9"/>
      <c r="B411" s="492"/>
      <c r="C411" s="495"/>
      <c r="D411" s="25" t="e">
        <v>#N/A</v>
      </c>
      <c r="E411" s="2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89"/>
      <c r="B412" s="492"/>
      <c r="C412" s="495"/>
      <c r="D412" s="25" t="e">
        <v>#N/A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90"/>
      <c r="B413" s="493"/>
      <c r="C413" s="496"/>
      <c r="D413" s="27" t="e">
        <v>#N/A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8" t="s">
        <v>35</v>
      </c>
      <c r="B414" s="491" t="e">
        <v>#N/A</v>
      </c>
      <c r="C414" s="494" t="e">
        <v>#N/A</v>
      </c>
      <c r="D414" s="23" t="e">
        <v>#N/A</v>
      </c>
      <c r="E414" s="2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9"/>
      <c r="B415" s="492"/>
      <c r="C415" s="495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9"/>
      <c r="B416" s="492"/>
      <c r="C416" s="495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89"/>
      <c r="B417" s="492"/>
      <c r="C417" s="495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0"/>
      <c r="B418" s="493"/>
      <c r="C418" s="496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8" t="s">
        <v>36</v>
      </c>
      <c r="B419" s="491" t="e">
        <v>#N/A</v>
      </c>
      <c r="C419" s="494" t="e">
        <v>#N/A</v>
      </c>
      <c r="D419" s="23" t="e">
        <v>#N/A</v>
      </c>
      <c r="E419" s="2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9"/>
      <c r="B420" s="492"/>
      <c r="C420" s="495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9"/>
      <c r="B421" s="492"/>
      <c r="C421" s="495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89"/>
      <c r="B422" s="492"/>
      <c r="C422" s="495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0"/>
      <c r="B423" s="493"/>
      <c r="C423" s="496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8" t="s">
        <v>37</v>
      </c>
      <c r="B424" s="491" t="e">
        <v>#N/A</v>
      </c>
      <c r="C424" s="494" t="e">
        <v>#N/A</v>
      </c>
      <c r="D424" s="23" t="e">
        <v>#N/A</v>
      </c>
      <c r="E424" s="2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9"/>
      <c r="B425" s="492"/>
      <c r="C425" s="495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9"/>
      <c r="B426" s="492"/>
      <c r="C426" s="495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89"/>
      <c r="B427" s="492"/>
      <c r="C427" s="495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0"/>
      <c r="B428" s="493"/>
      <c r="C428" s="496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8" t="s">
        <v>38</v>
      </c>
      <c r="B429" s="491" t="e">
        <v>#N/A</v>
      </c>
      <c r="C429" s="494" t="e">
        <v>#N/A</v>
      </c>
      <c r="D429" s="23" t="e">
        <v>#N/A</v>
      </c>
      <c r="E429" s="2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9"/>
      <c r="B430" s="492"/>
      <c r="C430" s="495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9"/>
      <c r="B431" s="492"/>
      <c r="C431" s="495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89"/>
      <c r="B432" s="492"/>
      <c r="C432" s="495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0"/>
      <c r="B433" s="493"/>
      <c r="C433" s="496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8" t="s">
        <v>39</v>
      </c>
      <c r="B434" s="491" t="e">
        <v>#N/A</v>
      </c>
      <c r="C434" s="494" t="e">
        <v>#N/A</v>
      </c>
      <c r="D434" s="23" t="e">
        <v>#N/A</v>
      </c>
      <c r="E434" s="2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9"/>
      <c r="B435" s="492"/>
      <c r="C435" s="495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9"/>
      <c r="B436" s="492"/>
      <c r="C436" s="495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89"/>
      <c r="B437" s="492"/>
      <c r="C437" s="495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0"/>
      <c r="B438" s="493"/>
      <c r="C438" s="496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8" t="s">
        <v>40</v>
      </c>
      <c r="B439" s="491" t="e">
        <v>#N/A</v>
      </c>
      <c r="C439" s="494" t="e">
        <v>#N/A</v>
      </c>
      <c r="D439" s="23" t="e">
        <v>#N/A</v>
      </c>
      <c r="E439" s="2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9"/>
      <c r="B440" s="492"/>
      <c r="C440" s="495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9"/>
      <c r="B441" s="492"/>
      <c r="C441" s="495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89"/>
      <c r="B442" s="492"/>
      <c r="C442" s="495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0"/>
      <c r="B443" s="493"/>
      <c r="C443" s="496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8" t="s">
        <v>41</v>
      </c>
      <c r="B444" s="491" t="e">
        <v>#N/A</v>
      </c>
      <c r="C444" s="494" t="e">
        <v>#N/A</v>
      </c>
      <c r="D444" s="23" t="e">
        <v>#N/A</v>
      </c>
      <c r="E444" s="2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9"/>
      <c r="B445" s="492"/>
      <c r="C445" s="495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9"/>
      <c r="B446" s="492"/>
      <c r="C446" s="495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89"/>
      <c r="B447" s="492"/>
      <c r="C447" s="495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0"/>
      <c r="B448" s="492"/>
      <c r="C448" s="495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55" customWidth="1"/>
    <col min="22" max="23" width="3.7109375" style="355" hidden="1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12</v>
      </c>
      <c r="Q1" s="52">
        <v>14</v>
      </c>
      <c r="R1" s="52">
        <v>15</v>
      </c>
      <c r="S1" s="52">
        <v>16</v>
      </c>
      <c r="T1" s="52">
        <v>17</v>
      </c>
      <c r="U1" s="52">
        <v>18</v>
      </c>
      <c r="V1" s="52" t="s">
        <v>787</v>
      </c>
      <c r="W1" s="140" t="s">
        <v>752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3" t="s">
        <v>20</v>
      </c>
      <c r="AH1" s="504"/>
      <c r="AI1" s="485" t="s">
        <v>445</v>
      </c>
    </row>
    <row r="2" spans="1:35" ht="15" customHeight="1" x14ac:dyDescent="0.25">
      <c r="A2" s="4" t="s">
        <v>32</v>
      </c>
      <c r="E2" s="34" t="s">
        <v>21</v>
      </c>
      <c r="F2" s="141">
        <v>4</v>
      </c>
      <c r="G2" s="54">
        <v>4</v>
      </c>
      <c r="H2" s="54">
        <v>4</v>
      </c>
      <c r="I2" s="54">
        <v>3</v>
      </c>
      <c r="J2" s="54">
        <v>3</v>
      </c>
      <c r="K2" s="54">
        <v>5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4</v>
      </c>
      <c r="R2" s="54">
        <v>4</v>
      </c>
      <c r="S2" s="54">
        <v>3</v>
      </c>
      <c r="T2" s="54">
        <v>3</v>
      </c>
      <c r="U2" s="54">
        <v>3</v>
      </c>
      <c r="V2" s="54" t="s">
        <v>50</v>
      </c>
      <c r="W2" s="54" t="s">
        <v>50</v>
      </c>
      <c r="X2" s="54" t="s">
        <v>50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505">
        <v>56</v>
      </c>
      <c r="AH2" s="506"/>
      <c r="AI2" s="486"/>
    </row>
    <row r="3" spans="1:35" ht="15" customHeight="1" x14ac:dyDescent="0.25">
      <c r="A3" s="4" t="s">
        <v>32</v>
      </c>
      <c r="E3" s="13" t="s">
        <v>22</v>
      </c>
      <c r="F3" s="358">
        <v>4.2650602409638552</v>
      </c>
      <c r="G3" s="359">
        <v>4.4390243902439028</v>
      </c>
      <c r="H3" s="359">
        <v>5.168674698795181</v>
      </c>
      <c r="I3" s="359">
        <v>2.9759036144578315</v>
      </c>
      <c r="J3" s="359">
        <v>3.2530120481927711</v>
      </c>
      <c r="K3" s="359">
        <v>5.3292682926829267</v>
      </c>
      <c r="L3" s="359">
        <v>3.2289156626506026</v>
      </c>
      <c r="M3" s="359">
        <v>3.0602409638554215</v>
      </c>
      <c r="N3" s="359">
        <v>4.4216867469879517</v>
      </c>
      <c r="O3" s="359">
        <v>3.6867469879518073</v>
      </c>
      <c r="P3" s="359">
        <v>3.0120481927710845</v>
      </c>
      <c r="Q3" s="359">
        <v>5.1566265060240966</v>
      </c>
      <c r="R3" s="359">
        <v>4.2530120481927707</v>
      </c>
      <c r="S3" s="359">
        <v>3.3132530120481927</v>
      </c>
      <c r="T3" s="359">
        <v>3.6144578313253013</v>
      </c>
      <c r="U3" s="359">
        <v>3.0843373493975905</v>
      </c>
      <c r="V3" s="359" t="s">
        <v>50</v>
      </c>
      <c r="W3" s="359" t="s">
        <v>50</v>
      </c>
      <c r="X3" s="359" t="s">
        <v>50</v>
      </c>
      <c r="Y3" s="359" t="s">
        <v>50</v>
      </c>
      <c r="Z3" s="359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07">
        <v>62.262268586541289</v>
      </c>
      <c r="AH3" s="508"/>
      <c r="AI3" s="486"/>
    </row>
    <row r="4" spans="1:35" ht="15" customHeight="1" x14ac:dyDescent="0.25">
      <c r="A4" s="4" t="s">
        <v>32</v>
      </c>
      <c r="B4" s="497" t="s">
        <v>770</v>
      </c>
      <c r="C4" s="498"/>
      <c r="E4" s="13" t="s">
        <v>44</v>
      </c>
      <c r="F4" s="360">
        <v>1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1</v>
      </c>
      <c r="S4" s="56">
        <v>0</v>
      </c>
      <c r="T4" s="56">
        <v>0</v>
      </c>
      <c r="U4" s="56">
        <v>0</v>
      </c>
      <c r="V4" s="56" t="s">
        <v>50</v>
      </c>
      <c r="W4" s="56" t="s">
        <v>50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07">
        <v>2</v>
      </c>
      <c r="AH4" s="508"/>
      <c r="AI4" s="486"/>
    </row>
    <row r="5" spans="1:35" ht="15" customHeight="1" x14ac:dyDescent="0.25">
      <c r="A5" s="4" t="s">
        <v>32</v>
      </c>
      <c r="B5" s="497"/>
      <c r="C5" s="498"/>
      <c r="E5" s="13" t="s">
        <v>42</v>
      </c>
      <c r="F5" s="360">
        <v>22</v>
      </c>
      <c r="G5" s="56">
        <v>18</v>
      </c>
      <c r="H5" s="56">
        <v>3</v>
      </c>
      <c r="I5" s="56">
        <v>17</v>
      </c>
      <c r="J5" s="56">
        <v>10</v>
      </c>
      <c r="K5" s="56">
        <v>18</v>
      </c>
      <c r="L5" s="56">
        <v>11</v>
      </c>
      <c r="M5" s="56">
        <v>15</v>
      </c>
      <c r="N5" s="56">
        <v>13</v>
      </c>
      <c r="O5" s="56">
        <v>1</v>
      </c>
      <c r="P5" s="56">
        <v>13</v>
      </c>
      <c r="Q5" s="56">
        <v>4</v>
      </c>
      <c r="R5" s="56">
        <v>15</v>
      </c>
      <c r="S5" s="56">
        <v>22</v>
      </c>
      <c r="T5" s="56">
        <v>3</v>
      </c>
      <c r="U5" s="56">
        <v>19</v>
      </c>
      <c r="V5" s="56" t="s">
        <v>50</v>
      </c>
      <c r="W5" s="361" t="s">
        <v>50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07">
        <v>204</v>
      </c>
      <c r="AH5" s="508"/>
      <c r="AI5" s="486"/>
    </row>
    <row r="6" spans="1:35" ht="15" customHeight="1" x14ac:dyDescent="0.25">
      <c r="A6" s="4" t="s">
        <v>32</v>
      </c>
      <c r="B6" s="499" t="s">
        <v>771</v>
      </c>
      <c r="C6" s="500"/>
      <c r="E6" s="13" t="s">
        <v>25</v>
      </c>
      <c r="F6" s="360">
        <v>14</v>
      </c>
      <c r="G6" s="56">
        <v>19</v>
      </c>
      <c r="H6" s="56">
        <v>36</v>
      </c>
      <c r="I6" s="56">
        <v>9</v>
      </c>
      <c r="J6" s="56">
        <v>24</v>
      </c>
      <c r="K6" s="56">
        <v>18</v>
      </c>
      <c r="L6" s="56">
        <v>18</v>
      </c>
      <c r="M6" s="56">
        <v>13</v>
      </c>
      <c r="N6" s="56">
        <v>33</v>
      </c>
      <c r="O6" s="56">
        <v>28</v>
      </c>
      <c r="P6" s="56">
        <v>10</v>
      </c>
      <c r="Q6" s="56">
        <v>19</v>
      </c>
      <c r="R6" s="56">
        <v>22</v>
      </c>
      <c r="S6" s="56">
        <v>40</v>
      </c>
      <c r="T6" s="56">
        <v>26</v>
      </c>
      <c r="U6" s="56">
        <v>22</v>
      </c>
      <c r="V6" s="56" t="s">
        <v>50</v>
      </c>
      <c r="W6" s="361" t="s">
        <v>50</v>
      </c>
      <c r="X6" s="56" t="s">
        <v>50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507">
        <v>351</v>
      </c>
      <c r="AH6" s="508"/>
      <c r="AI6" s="486"/>
    </row>
    <row r="7" spans="1:35" ht="15" customHeight="1" thickBot="1" x14ac:dyDescent="0.3">
      <c r="A7" s="4" t="s">
        <v>32</v>
      </c>
      <c r="B7" s="501"/>
      <c r="C7" s="502"/>
      <c r="E7" s="30" t="s">
        <v>43</v>
      </c>
      <c r="F7" s="362">
        <v>13</v>
      </c>
      <c r="G7" s="58">
        <v>15</v>
      </c>
      <c r="H7" s="58">
        <v>26</v>
      </c>
      <c r="I7" s="58">
        <v>3</v>
      </c>
      <c r="J7" s="58">
        <v>3</v>
      </c>
      <c r="K7" s="58">
        <v>11</v>
      </c>
      <c r="L7" s="58">
        <v>6</v>
      </c>
      <c r="M7" s="58">
        <v>3</v>
      </c>
      <c r="N7" s="58">
        <v>7</v>
      </c>
      <c r="O7" s="58">
        <v>13</v>
      </c>
      <c r="P7" s="58">
        <v>2</v>
      </c>
      <c r="Q7" s="58">
        <v>30</v>
      </c>
      <c r="R7" s="58">
        <v>7</v>
      </c>
      <c r="S7" s="58">
        <v>4</v>
      </c>
      <c r="T7" s="58">
        <v>13</v>
      </c>
      <c r="U7" s="58">
        <v>2</v>
      </c>
      <c r="V7" s="58" t="s">
        <v>50</v>
      </c>
      <c r="W7" s="363" t="s">
        <v>50</v>
      </c>
      <c r="X7" s="58" t="s">
        <v>50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509">
        <v>158</v>
      </c>
      <c r="AH7" s="510"/>
      <c r="AI7" s="487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8">
        <v>1</v>
      </c>
      <c r="B9" s="511">
        <v>1</v>
      </c>
      <c r="C9" s="514" t="s">
        <v>764</v>
      </c>
      <c r="D9" s="43" t="s">
        <v>764</v>
      </c>
      <c r="E9" s="44" t="s">
        <v>26</v>
      </c>
      <c r="F9" s="391">
        <v>3</v>
      </c>
      <c r="G9" s="240">
        <v>3</v>
      </c>
      <c r="H9" s="236">
        <v>5</v>
      </c>
      <c r="I9" s="240">
        <v>2</v>
      </c>
      <c r="J9" s="240">
        <v>2</v>
      </c>
      <c r="K9" s="236">
        <v>6</v>
      </c>
      <c r="L9" s="222">
        <v>3</v>
      </c>
      <c r="M9" s="222">
        <v>3</v>
      </c>
      <c r="N9" s="222">
        <v>4</v>
      </c>
      <c r="O9" s="222">
        <v>3</v>
      </c>
      <c r="P9" s="222">
        <v>3</v>
      </c>
      <c r="Q9" s="240">
        <v>3</v>
      </c>
      <c r="R9" s="393">
        <v>2</v>
      </c>
      <c r="S9" s="240">
        <v>2</v>
      </c>
      <c r="T9" s="222">
        <v>3</v>
      </c>
      <c r="U9" s="240">
        <v>2</v>
      </c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4">
        <v>49</v>
      </c>
      <c r="AH9" s="185">
        <v>49</v>
      </c>
      <c r="AI9" s="185">
        <v>1</v>
      </c>
    </row>
    <row r="10" spans="1:35" ht="15" customHeight="1" thickBot="1" x14ac:dyDescent="0.3">
      <c r="A10" s="489"/>
      <c r="B10" s="512"/>
      <c r="C10" s="515"/>
      <c r="D10" s="45" t="s">
        <v>764</v>
      </c>
      <c r="E10" s="46" t="s">
        <v>27</v>
      </c>
      <c r="F10" s="390">
        <v>3</v>
      </c>
      <c r="G10" s="237">
        <v>5</v>
      </c>
      <c r="H10" s="237">
        <v>5</v>
      </c>
      <c r="I10" s="235">
        <v>2</v>
      </c>
      <c r="J10" s="235">
        <v>2</v>
      </c>
      <c r="K10" s="235">
        <v>4</v>
      </c>
      <c r="L10" s="235">
        <v>2</v>
      </c>
      <c r="M10" s="225">
        <v>3</v>
      </c>
      <c r="N10" s="225">
        <v>4</v>
      </c>
      <c r="O10" s="237">
        <v>4</v>
      </c>
      <c r="P10" s="225">
        <v>3</v>
      </c>
      <c r="Q10" s="225">
        <v>4</v>
      </c>
      <c r="R10" s="235">
        <v>3</v>
      </c>
      <c r="S10" s="237">
        <v>4</v>
      </c>
      <c r="T10" s="237">
        <v>4</v>
      </c>
      <c r="U10" s="225">
        <v>3</v>
      </c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55</v>
      </c>
      <c r="AH10" s="186">
        <v>104</v>
      </c>
      <c r="AI10" s="186">
        <v>1</v>
      </c>
    </row>
    <row r="11" spans="1:35" ht="15" hidden="1" customHeight="1" x14ac:dyDescent="0.25">
      <c r="A11" s="489"/>
      <c r="B11" s="512"/>
      <c r="C11" s="515"/>
      <c r="D11" s="45" t="s">
        <v>764</v>
      </c>
      <c r="E11" s="46" t="s">
        <v>28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104</v>
      </c>
      <c r="AI11" s="186">
        <v>1</v>
      </c>
    </row>
    <row r="12" spans="1:35" ht="15.75" hidden="1" customHeight="1" x14ac:dyDescent="0.25">
      <c r="A12" s="489"/>
      <c r="B12" s="512"/>
      <c r="C12" s="515"/>
      <c r="D12" s="45" t="s">
        <v>764</v>
      </c>
      <c r="E12" s="4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104</v>
      </c>
      <c r="AI12" s="186">
        <v>1</v>
      </c>
    </row>
    <row r="13" spans="1:35" ht="15.75" hidden="1" customHeight="1" thickBot="1" x14ac:dyDescent="0.3">
      <c r="A13" s="490"/>
      <c r="B13" s="513"/>
      <c r="C13" s="516"/>
      <c r="D13" s="47" t="s">
        <v>764</v>
      </c>
      <c r="E13" s="4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104</v>
      </c>
      <c r="AI13" s="187">
        <v>1</v>
      </c>
    </row>
    <row r="14" spans="1:35" ht="15" customHeight="1" x14ac:dyDescent="0.25">
      <c r="A14" s="488">
        <v>2</v>
      </c>
      <c r="B14" s="511">
        <v>2</v>
      </c>
      <c r="C14" s="514" t="s">
        <v>4</v>
      </c>
      <c r="D14" s="43" t="s">
        <v>4</v>
      </c>
      <c r="E14" s="44" t="s">
        <v>26</v>
      </c>
      <c r="F14" s="391">
        <v>3</v>
      </c>
      <c r="G14" s="240">
        <v>3</v>
      </c>
      <c r="H14" s="236">
        <v>5</v>
      </c>
      <c r="I14" s="222">
        <v>3</v>
      </c>
      <c r="J14" s="222">
        <v>3</v>
      </c>
      <c r="K14" s="222">
        <v>5</v>
      </c>
      <c r="L14" s="222">
        <v>3</v>
      </c>
      <c r="M14" s="222">
        <v>3</v>
      </c>
      <c r="N14" s="222">
        <v>4</v>
      </c>
      <c r="O14" s="222">
        <v>3</v>
      </c>
      <c r="P14" s="222">
        <v>3</v>
      </c>
      <c r="Q14" s="222">
        <v>4</v>
      </c>
      <c r="R14" s="222">
        <v>4</v>
      </c>
      <c r="S14" s="240">
        <v>2</v>
      </c>
      <c r="T14" s="222">
        <v>3</v>
      </c>
      <c r="U14" s="222">
        <v>3</v>
      </c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54</v>
      </c>
      <c r="AH14" s="185">
        <v>54</v>
      </c>
      <c r="AI14" s="185">
        <v>9</v>
      </c>
    </row>
    <row r="15" spans="1:35" ht="15" customHeight="1" thickBot="1" x14ac:dyDescent="0.3">
      <c r="A15" s="489"/>
      <c r="B15" s="512"/>
      <c r="C15" s="515"/>
      <c r="D15" s="45" t="s">
        <v>4</v>
      </c>
      <c r="E15" s="46" t="s">
        <v>27</v>
      </c>
      <c r="F15" s="357">
        <v>5</v>
      </c>
      <c r="G15" s="225">
        <v>4</v>
      </c>
      <c r="H15" s="225">
        <v>4</v>
      </c>
      <c r="I15" s="225">
        <v>3</v>
      </c>
      <c r="J15" s="225">
        <v>3</v>
      </c>
      <c r="K15" s="235">
        <v>4</v>
      </c>
      <c r="L15" s="235">
        <v>2</v>
      </c>
      <c r="M15" s="225">
        <v>3</v>
      </c>
      <c r="N15" s="225">
        <v>4</v>
      </c>
      <c r="O15" s="225">
        <v>3</v>
      </c>
      <c r="P15" s="225">
        <v>3</v>
      </c>
      <c r="Q15" s="225">
        <v>4</v>
      </c>
      <c r="R15" s="225">
        <v>4</v>
      </c>
      <c r="S15" s="235">
        <v>2</v>
      </c>
      <c r="T15" s="235">
        <v>2</v>
      </c>
      <c r="U15" s="235">
        <v>2</v>
      </c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52</v>
      </c>
      <c r="AH15" s="186">
        <v>106</v>
      </c>
      <c r="AI15" s="186">
        <v>2</v>
      </c>
    </row>
    <row r="16" spans="1:35" ht="15" hidden="1" customHeight="1" x14ac:dyDescent="0.25">
      <c r="A16" s="489"/>
      <c r="B16" s="512"/>
      <c r="C16" s="515"/>
      <c r="D16" s="45" t="s">
        <v>4</v>
      </c>
      <c r="E16" s="46" t="s">
        <v>28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106</v>
      </c>
      <c r="AI16" s="186">
        <v>2</v>
      </c>
    </row>
    <row r="17" spans="1:35" ht="15.75" hidden="1" customHeight="1" x14ac:dyDescent="0.25">
      <c r="A17" s="489"/>
      <c r="B17" s="512"/>
      <c r="C17" s="515"/>
      <c r="D17" s="45" t="s">
        <v>4</v>
      </c>
      <c r="E17" s="4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106</v>
      </c>
      <c r="AI17" s="186">
        <v>2</v>
      </c>
    </row>
    <row r="18" spans="1:35" ht="15.75" hidden="1" customHeight="1" thickBot="1" x14ac:dyDescent="0.3">
      <c r="A18" s="490"/>
      <c r="B18" s="513"/>
      <c r="C18" s="516"/>
      <c r="D18" s="47" t="s">
        <v>4</v>
      </c>
      <c r="E18" s="4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106</v>
      </c>
      <c r="AI18" s="187">
        <v>2</v>
      </c>
    </row>
    <row r="19" spans="1:35" ht="15" customHeight="1" x14ac:dyDescent="0.25">
      <c r="A19" s="488">
        <v>3</v>
      </c>
      <c r="B19" s="511">
        <v>2</v>
      </c>
      <c r="C19" s="514" t="s">
        <v>10</v>
      </c>
      <c r="D19" s="43" t="s">
        <v>10</v>
      </c>
      <c r="E19" s="44" t="s">
        <v>26</v>
      </c>
      <c r="F19" s="356">
        <v>5</v>
      </c>
      <c r="G19" s="240">
        <v>3</v>
      </c>
      <c r="H19" s="236">
        <v>5</v>
      </c>
      <c r="I19" s="222">
        <v>3</v>
      </c>
      <c r="J19" s="222">
        <v>3</v>
      </c>
      <c r="K19" s="240">
        <v>4</v>
      </c>
      <c r="L19" s="240">
        <v>2</v>
      </c>
      <c r="M19" s="240">
        <v>2</v>
      </c>
      <c r="N19" s="240">
        <v>3</v>
      </c>
      <c r="O19" s="240">
        <v>2</v>
      </c>
      <c r="P19" s="240">
        <v>2</v>
      </c>
      <c r="Q19" s="238">
        <v>6</v>
      </c>
      <c r="R19" s="240">
        <v>3</v>
      </c>
      <c r="S19" s="240">
        <v>2</v>
      </c>
      <c r="T19" s="238">
        <v>5</v>
      </c>
      <c r="U19" s="222">
        <v>3</v>
      </c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53</v>
      </c>
      <c r="AH19" s="185">
        <v>53</v>
      </c>
      <c r="AI19" s="185">
        <v>7</v>
      </c>
    </row>
    <row r="20" spans="1:35" ht="15" customHeight="1" thickBot="1" x14ac:dyDescent="0.3">
      <c r="A20" s="489"/>
      <c r="B20" s="512"/>
      <c r="C20" s="515"/>
      <c r="D20" s="45" t="s">
        <v>10</v>
      </c>
      <c r="E20" s="46" t="s">
        <v>27</v>
      </c>
      <c r="F20" s="390">
        <v>3</v>
      </c>
      <c r="G20" s="225">
        <v>4</v>
      </c>
      <c r="H20" s="237">
        <v>5</v>
      </c>
      <c r="I20" s="225">
        <v>3</v>
      </c>
      <c r="J20" s="235">
        <v>2</v>
      </c>
      <c r="K20" s="225">
        <v>5</v>
      </c>
      <c r="L20" s="225">
        <v>3</v>
      </c>
      <c r="M20" s="225">
        <v>3</v>
      </c>
      <c r="N20" s="235">
        <v>3</v>
      </c>
      <c r="O20" s="237">
        <v>4</v>
      </c>
      <c r="P20" s="225">
        <v>3</v>
      </c>
      <c r="Q20" s="225">
        <v>4</v>
      </c>
      <c r="R20" s="225">
        <v>4</v>
      </c>
      <c r="S20" s="235">
        <v>2</v>
      </c>
      <c r="T20" s="225">
        <v>3</v>
      </c>
      <c r="U20" s="235">
        <v>2</v>
      </c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53</v>
      </c>
      <c r="AH20" s="186">
        <v>106</v>
      </c>
      <c r="AI20" s="186">
        <v>2</v>
      </c>
    </row>
    <row r="21" spans="1:35" ht="15" hidden="1" customHeight="1" x14ac:dyDescent="0.25">
      <c r="A21" s="489"/>
      <c r="B21" s="512"/>
      <c r="C21" s="515"/>
      <c r="D21" s="45" t="s">
        <v>10</v>
      </c>
      <c r="E21" s="46" t="s">
        <v>28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106</v>
      </c>
      <c r="AI21" s="186">
        <v>2</v>
      </c>
    </row>
    <row r="22" spans="1:35" ht="15.75" hidden="1" customHeight="1" x14ac:dyDescent="0.25">
      <c r="A22" s="489"/>
      <c r="B22" s="512"/>
      <c r="C22" s="515"/>
      <c r="D22" s="45" t="s">
        <v>10</v>
      </c>
      <c r="E22" s="4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106</v>
      </c>
      <c r="AI22" s="186">
        <v>2</v>
      </c>
    </row>
    <row r="23" spans="1:35" ht="15.75" hidden="1" customHeight="1" thickBot="1" x14ac:dyDescent="0.3">
      <c r="A23" s="490"/>
      <c r="B23" s="513"/>
      <c r="C23" s="516"/>
      <c r="D23" s="47" t="s">
        <v>10</v>
      </c>
      <c r="E23" s="4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106</v>
      </c>
      <c r="AI23" s="187">
        <v>2</v>
      </c>
    </row>
    <row r="24" spans="1:35" ht="15" customHeight="1" x14ac:dyDescent="0.25">
      <c r="A24" s="488">
        <v>4</v>
      </c>
      <c r="B24" s="511">
        <v>2</v>
      </c>
      <c r="C24" s="514" t="s">
        <v>783</v>
      </c>
      <c r="D24" s="43" t="s">
        <v>783</v>
      </c>
      <c r="E24" s="44" t="s">
        <v>26</v>
      </c>
      <c r="F24" s="391">
        <v>3</v>
      </c>
      <c r="G24" s="240">
        <v>3</v>
      </c>
      <c r="H24" s="240">
        <v>3</v>
      </c>
      <c r="I24" s="240">
        <v>2</v>
      </c>
      <c r="J24" s="222">
        <v>3</v>
      </c>
      <c r="K24" s="222">
        <v>5</v>
      </c>
      <c r="L24" s="240">
        <v>2</v>
      </c>
      <c r="M24" s="222">
        <v>3</v>
      </c>
      <c r="N24" s="222">
        <v>4</v>
      </c>
      <c r="O24" s="222">
        <v>3</v>
      </c>
      <c r="P24" s="236">
        <v>4</v>
      </c>
      <c r="Q24" s="222">
        <v>4</v>
      </c>
      <c r="R24" s="240">
        <v>3</v>
      </c>
      <c r="S24" s="236">
        <v>4</v>
      </c>
      <c r="T24" s="222">
        <v>3</v>
      </c>
      <c r="U24" s="240">
        <v>2</v>
      </c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51</v>
      </c>
      <c r="AH24" s="185">
        <v>51</v>
      </c>
      <c r="AI24" s="185">
        <v>3</v>
      </c>
    </row>
    <row r="25" spans="1:35" ht="15" customHeight="1" thickBot="1" x14ac:dyDescent="0.3">
      <c r="A25" s="489"/>
      <c r="B25" s="512"/>
      <c r="C25" s="515"/>
      <c r="D25" s="45" t="s">
        <v>783</v>
      </c>
      <c r="E25" s="46" t="s">
        <v>27</v>
      </c>
      <c r="F25" s="390">
        <v>3</v>
      </c>
      <c r="G25" s="237">
        <v>5</v>
      </c>
      <c r="H25" s="237">
        <v>5</v>
      </c>
      <c r="I25" s="235">
        <v>2</v>
      </c>
      <c r="J25" s="225">
        <v>3</v>
      </c>
      <c r="K25" s="235">
        <v>4</v>
      </c>
      <c r="L25" s="225">
        <v>3</v>
      </c>
      <c r="M25" s="225">
        <v>3</v>
      </c>
      <c r="N25" s="225">
        <v>4</v>
      </c>
      <c r="O25" s="225">
        <v>3</v>
      </c>
      <c r="P25" s="235">
        <v>2</v>
      </c>
      <c r="Q25" s="235">
        <v>3</v>
      </c>
      <c r="R25" s="225">
        <v>4</v>
      </c>
      <c r="S25" s="237">
        <v>4</v>
      </c>
      <c r="T25" s="225">
        <v>3</v>
      </c>
      <c r="U25" s="237">
        <v>4</v>
      </c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55</v>
      </c>
      <c r="AH25" s="186">
        <v>106</v>
      </c>
      <c r="AI25" s="186">
        <v>2</v>
      </c>
    </row>
    <row r="26" spans="1:35" ht="15" hidden="1" customHeight="1" x14ac:dyDescent="0.25">
      <c r="A26" s="489"/>
      <c r="B26" s="512"/>
      <c r="C26" s="515"/>
      <c r="D26" s="45" t="s">
        <v>783</v>
      </c>
      <c r="E26" s="4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106</v>
      </c>
      <c r="AI26" s="186">
        <v>2</v>
      </c>
    </row>
    <row r="27" spans="1:35" ht="15.75" hidden="1" customHeight="1" x14ac:dyDescent="0.25">
      <c r="A27" s="489"/>
      <c r="B27" s="512"/>
      <c r="C27" s="515"/>
      <c r="D27" s="45" t="s">
        <v>783</v>
      </c>
      <c r="E27" s="4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106</v>
      </c>
      <c r="AI27" s="186">
        <v>2</v>
      </c>
    </row>
    <row r="28" spans="1:35" ht="15.75" hidden="1" customHeight="1" thickBot="1" x14ac:dyDescent="0.3">
      <c r="A28" s="490"/>
      <c r="B28" s="513"/>
      <c r="C28" s="516"/>
      <c r="D28" s="47" t="s">
        <v>783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106</v>
      </c>
      <c r="AI28" s="187">
        <v>2</v>
      </c>
    </row>
    <row r="29" spans="1:35" ht="15" customHeight="1" x14ac:dyDescent="0.25">
      <c r="A29" s="488">
        <v>5</v>
      </c>
      <c r="B29" s="511">
        <v>5</v>
      </c>
      <c r="C29" s="514" t="s">
        <v>0</v>
      </c>
      <c r="D29" s="43" t="s">
        <v>0</v>
      </c>
      <c r="E29" s="44" t="s">
        <v>26</v>
      </c>
      <c r="F29" s="391">
        <v>3</v>
      </c>
      <c r="G29" s="240">
        <v>3</v>
      </c>
      <c r="H29" s="236">
        <v>5</v>
      </c>
      <c r="I29" s="222">
        <v>3</v>
      </c>
      <c r="J29" s="240">
        <v>2</v>
      </c>
      <c r="K29" s="240">
        <v>4</v>
      </c>
      <c r="L29" s="240">
        <v>2</v>
      </c>
      <c r="M29" s="240">
        <v>2</v>
      </c>
      <c r="N29" s="240">
        <v>3</v>
      </c>
      <c r="O29" s="236">
        <v>4</v>
      </c>
      <c r="P29" s="236">
        <v>4</v>
      </c>
      <c r="Q29" s="236">
        <v>5</v>
      </c>
      <c r="R29" s="222">
        <v>4</v>
      </c>
      <c r="S29" s="240">
        <v>2</v>
      </c>
      <c r="T29" s="236">
        <v>4</v>
      </c>
      <c r="U29" s="222">
        <v>3</v>
      </c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53</v>
      </c>
      <c r="AH29" s="185">
        <v>53</v>
      </c>
      <c r="AI29" s="185">
        <v>7</v>
      </c>
    </row>
    <row r="30" spans="1:35" ht="15" customHeight="1" thickBot="1" x14ac:dyDescent="0.3">
      <c r="A30" s="489"/>
      <c r="B30" s="512"/>
      <c r="C30" s="515"/>
      <c r="D30" s="45" t="s">
        <v>0</v>
      </c>
      <c r="E30" s="46" t="s">
        <v>27</v>
      </c>
      <c r="F30" s="390">
        <v>3</v>
      </c>
      <c r="G30" s="225">
        <v>4</v>
      </c>
      <c r="H30" s="225">
        <v>4</v>
      </c>
      <c r="I30" s="225">
        <v>3</v>
      </c>
      <c r="J30" s="225">
        <v>3</v>
      </c>
      <c r="K30" s="235">
        <v>4</v>
      </c>
      <c r="L30" s="225">
        <v>3</v>
      </c>
      <c r="M30" s="225">
        <v>3</v>
      </c>
      <c r="N30" s="225">
        <v>4</v>
      </c>
      <c r="O30" s="225">
        <v>3</v>
      </c>
      <c r="P30" s="225">
        <v>3</v>
      </c>
      <c r="Q30" s="237">
        <v>5</v>
      </c>
      <c r="R30" s="235">
        <v>3</v>
      </c>
      <c r="S30" s="237">
        <v>4</v>
      </c>
      <c r="T30" s="225">
        <v>3</v>
      </c>
      <c r="U30" s="235">
        <v>2</v>
      </c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54</v>
      </c>
      <c r="AH30" s="186">
        <v>107</v>
      </c>
      <c r="AI30" s="186">
        <v>5</v>
      </c>
    </row>
    <row r="31" spans="1:35" ht="15" hidden="1" customHeight="1" x14ac:dyDescent="0.25">
      <c r="A31" s="489"/>
      <c r="B31" s="512"/>
      <c r="C31" s="515"/>
      <c r="D31" s="45" t="s">
        <v>0</v>
      </c>
      <c r="E31" s="4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107</v>
      </c>
      <c r="AI31" s="186">
        <v>5</v>
      </c>
    </row>
    <row r="32" spans="1:35" ht="15.75" hidden="1" customHeight="1" x14ac:dyDescent="0.25">
      <c r="A32" s="489"/>
      <c r="B32" s="512"/>
      <c r="C32" s="515"/>
      <c r="D32" s="45" t="s">
        <v>0</v>
      </c>
      <c r="E32" s="4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107</v>
      </c>
      <c r="AI32" s="186">
        <v>5</v>
      </c>
    </row>
    <row r="33" spans="1:35" ht="15.75" hidden="1" customHeight="1" thickBot="1" x14ac:dyDescent="0.3">
      <c r="A33" s="490"/>
      <c r="B33" s="513"/>
      <c r="C33" s="516"/>
      <c r="D33" s="47" t="s">
        <v>0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107</v>
      </c>
      <c r="AI33" s="187">
        <v>5</v>
      </c>
    </row>
    <row r="34" spans="1:35" ht="15" customHeight="1" x14ac:dyDescent="0.25">
      <c r="A34" s="488">
        <v>6</v>
      </c>
      <c r="B34" s="511">
        <v>6</v>
      </c>
      <c r="C34" s="514" t="s">
        <v>491</v>
      </c>
      <c r="D34" s="43" t="s">
        <v>491</v>
      </c>
      <c r="E34" s="44" t="s">
        <v>26</v>
      </c>
      <c r="F34" s="223">
        <v>4</v>
      </c>
      <c r="G34" s="240">
        <v>3</v>
      </c>
      <c r="H34" s="236">
        <v>5</v>
      </c>
      <c r="I34" s="222">
        <v>3</v>
      </c>
      <c r="J34" s="222">
        <v>3</v>
      </c>
      <c r="K34" s="222">
        <v>5</v>
      </c>
      <c r="L34" s="240">
        <v>2</v>
      </c>
      <c r="M34" s="240">
        <v>2</v>
      </c>
      <c r="N34" s="240">
        <v>3</v>
      </c>
      <c r="O34" s="222">
        <v>3</v>
      </c>
      <c r="P34" s="222">
        <v>3</v>
      </c>
      <c r="Q34" s="222">
        <v>4</v>
      </c>
      <c r="R34" s="240">
        <v>3</v>
      </c>
      <c r="S34" s="240">
        <v>2</v>
      </c>
      <c r="T34" s="240">
        <v>2</v>
      </c>
      <c r="U34" s="222">
        <v>3</v>
      </c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50</v>
      </c>
      <c r="AH34" s="185">
        <v>50</v>
      </c>
      <c r="AI34" s="185">
        <v>2</v>
      </c>
    </row>
    <row r="35" spans="1:35" ht="15" customHeight="1" thickBot="1" x14ac:dyDescent="0.3">
      <c r="A35" s="489"/>
      <c r="B35" s="512"/>
      <c r="C35" s="515"/>
      <c r="D35" s="45" t="s">
        <v>491</v>
      </c>
      <c r="E35" s="46" t="s">
        <v>27</v>
      </c>
      <c r="F35" s="224">
        <v>4</v>
      </c>
      <c r="G35" s="235">
        <v>3</v>
      </c>
      <c r="H35" s="237">
        <v>5</v>
      </c>
      <c r="I35" s="225">
        <v>3</v>
      </c>
      <c r="J35" s="225">
        <v>3</v>
      </c>
      <c r="K35" s="235">
        <v>4</v>
      </c>
      <c r="L35" s="225">
        <v>3</v>
      </c>
      <c r="M35" s="225">
        <v>3</v>
      </c>
      <c r="N35" s="235">
        <v>3</v>
      </c>
      <c r="O35" s="237">
        <v>4</v>
      </c>
      <c r="P35" s="237">
        <v>4</v>
      </c>
      <c r="Q35" s="225">
        <v>4</v>
      </c>
      <c r="R35" s="237">
        <v>5</v>
      </c>
      <c r="S35" s="237">
        <v>4</v>
      </c>
      <c r="T35" s="225">
        <v>3</v>
      </c>
      <c r="U35" s="237">
        <v>4</v>
      </c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59</v>
      </c>
      <c r="AH35" s="186">
        <v>109</v>
      </c>
      <c r="AI35" s="186">
        <v>6</v>
      </c>
    </row>
    <row r="36" spans="1:35" ht="15" hidden="1" customHeight="1" x14ac:dyDescent="0.25">
      <c r="A36" s="489"/>
      <c r="B36" s="512"/>
      <c r="C36" s="515"/>
      <c r="D36" s="45" t="s">
        <v>491</v>
      </c>
      <c r="E36" s="4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109</v>
      </c>
      <c r="AI36" s="186">
        <v>6</v>
      </c>
    </row>
    <row r="37" spans="1:35" ht="15.75" hidden="1" customHeight="1" x14ac:dyDescent="0.25">
      <c r="A37" s="489"/>
      <c r="B37" s="512"/>
      <c r="C37" s="515"/>
      <c r="D37" s="45" t="s">
        <v>491</v>
      </c>
      <c r="E37" s="4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109</v>
      </c>
      <c r="AI37" s="186">
        <v>6</v>
      </c>
    </row>
    <row r="38" spans="1:35" ht="15.75" hidden="1" customHeight="1" thickBot="1" x14ac:dyDescent="0.3">
      <c r="A38" s="490"/>
      <c r="B38" s="513"/>
      <c r="C38" s="516"/>
      <c r="D38" s="47" t="s">
        <v>491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109</v>
      </c>
      <c r="AI38" s="187">
        <v>6</v>
      </c>
    </row>
    <row r="39" spans="1:35" ht="15" customHeight="1" x14ac:dyDescent="0.25">
      <c r="A39" s="488">
        <v>7</v>
      </c>
      <c r="B39" s="511">
        <v>7</v>
      </c>
      <c r="C39" s="514" t="s">
        <v>767</v>
      </c>
      <c r="D39" s="43" t="s">
        <v>767</v>
      </c>
      <c r="E39" s="44" t="s">
        <v>26</v>
      </c>
      <c r="F39" s="391">
        <v>3</v>
      </c>
      <c r="G39" s="240">
        <v>3</v>
      </c>
      <c r="H39" s="222">
        <v>4</v>
      </c>
      <c r="I39" s="222">
        <v>3</v>
      </c>
      <c r="J39" s="236">
        <v>4</v>
      </c>
      <c r="K39" s="240">
        <v>4</v>
      </c>
      <c r="L39" s="222">
        <v>3</v>
      </c>
      <c r="M39" s="240">
        <v>2</v>
      </c>
      <c r="N39" s="240">
        <v>3</v>
      </c>
      <c r="O39" s="236">
        <v>4</v>
      </c>
      <c r="P39" s="222">
        <v>3</v>
      </c>
      <c r="Q39" s="238">
        <v>7</v>
      </c>
      <c r="R39" s="236">
        <v>5</v>
      </c>
      <c r="S39" s="222">
        <v>3</v>
      </c>
      <c r="T39" s="222">
        <v>3</v>
      </c>
      <c r="U39" s="240">
        <v>2</v>
      </c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56</v>
      </c>
      <c r="AH39" s="185">
        <v>56</v>
      </c>
      <c r="AI39" s="185">
        <v>11</v>
      </c>
    </row>
    <row r="40" spans="1:35" ht="15" customHeight="1" thickBot="1" x14ac:dyDescent="0.3">
      <c r="A40" s="489"/>
      <c r="B40" s="512"/>
      <c r="C40" s="515"/>
      <c r="D40" s="45" t="s">
        <v>767</v>
      </c>
      <c r="E40" s="46" t="s">
        <v>27</v>
      </c>
      <c r="F40" s="390">
        <v>3</v>
      </c>
      <c r="G40" s="235">
        <v>3</v>
      </c>
      <c r="H40" s="237">
        <v>5</v>
      </c>
      <c r="I40" s="225">
        <v>3</v>
      </c>
      <c r="J40" s="225">
        <v>3</v>
      </c>
      <c r="K40" s="225">
        <v>5</v>
      </c>
      <c r="L40" s="225">
        <v>3</v>
      </c>
      <c r="M40" s="225">
        <v>3</v>
      </c>
      <c r="N40" s="225">
        <v>4</v>
      </c>
      <c r="O40" s="225">
        <v>3</v>
      </c>
      <c r="P40" s="225">
        <v>3</v>
      </c>
      <c r="Q40" s="235">
        <v>3</v>
      </c>
      <c r="R40" s="225">
        <v>4</v>
      </c>
      <c r="S40" s="225">
        <v>3</v>
      </c>
      <c r="T40" s="225">
        <v>3</v>
      </c>
      <c r="U40" s="225">
        <v>3</v>
      </c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54</v>
      </c>
      <c r="AH40" s="186">
        <v>110</v>
      </c>
      <c r="AI40" s="186">
        <v>7</v>
      </c>
    </row>
    <row r="41" spans="1:35" ht="15" hidden="1" customHeight="1" x14ac:dyDescent="0.25">
      <c r="A41" s="489"/>
      <c r="B41" s="512"/>
      <c r="C41" s="515"/>
      <c r="D41" s="45" t="s">
        <v>767</v>
      </c>
      <c r="E41" s="4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110</v>
      </c>
      <c r="AI41" s="186">
        <v>7</v>
      </c>
    </row>
    <row r="42" spans="1:35" ht="15.75" hidden="1" customHeight="1" x14ac:dyDescent="0.25">
      <c r="A42" s="489"/>
      <c r="B42" s="512"/>
      <c r="C42" s="515"/>
      <c r="D42" s="45" t="s">
        <v>767</v>
      </c>
      <c r="E42" s="4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110</v>
      </c>
      <c r="AI42" s="186">
        <v>7</v>
      </c>
    </row>
    <row r="43" spans="1:35" ht="15.75" hidden="1" customHeight="1" thickBot="1" x14ac:dyDescent="0.3">
      <c r="A43" s="490"/>
      <c r="B43" s="513"/>
      <c r="C43" s="516"/>
      <c r="D43" s="47" t="s">
        <v>767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110</v>
      </c>
      <c r="AI43" s="187">
        <v>7</v>
      </c>
    </row>
    <row r="44" spans="1:35" ht="15" customHeight="1" x14ac:dyDescent="0.25">
      <c r="A44" s="488">
        <v>8</v>
      </c>
      <c r="B44" s="511">
        <v>7</v>
      </c>
      <c r="C44" s="514" t="s">
        <v>13</v>
      </c>
      <c r="D44" s="43" t="s">
        <v>13</v>
      </c>
      <c r="E44" s="44" t="s">
        <v>26</v>
      </c>
      <c r="F44" s="223">
        <v>4</v>
      </c>
      <c r="G44" s="222">
        <v>4</v>
      </c>
      <c r="H44" s="222">
        <v>4</v>
      </c>
      <c r="I44" s="222">
        <v>3</v>
      </c>
      <c r="J44" s="222">
        <v>3</v>
      </c>
      <c r="K44" s="222">
        <v>5</v>
      </c>
      <c r="L44" s="240">
        <v>2</v>
      </c>
      <c r="M44" s="222">
        <v>3</v>
      </c>
      <c r="N44" s="240">
        <v>3</v>
      </c>
      <c r="O44" s="222">
        <v>3</v>
      </c>
      <c r="P44" s="240">
        <v>2</v>
      </c>
      <c r="Q44" s="222">
        <v>4</v>
      </c>
      <c r="R44" s="240">
        <v>3</v>
      </c>
      <c r="S44" s="236">
        <v>4</v>
      </c>
      <c r="T44" s="222">
        <v>3</v>
      </c>
      <c r="U44" s="240">
        <v>2</v>
      </c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52</v>
      </c>
      <c r="AH44" s="185">
        <v>52</v>
      </c>
      <c r="AI44" s="185">
        <v>4</v>
      </c>
    </row>
    <row r="45" spans="1:35" ht="15" customHeight="1" thickBot="1" x14ac:dyDescent="0.3">
      <c r="A45" s="489"/>
      <c r="B45" s="512"/>
      <c r="C45" s="515"/>
      <c r="D45" s="45" t="s">
        <v>13</v>
      </c>
      <c r="E45" s="46" t="s">
        <v>27</v>
      </c>
      <c r="F45" s="224">
        <v>4</v>
      </c>
      <c r="G45" s="225">
        <v>4</v>
      </c>
      <c r="H45" s="237">
        <v>5</v>
      </c>
      <c r="I45" s="235">
        <v>2</v>
      </c>
      <c r="J45" s="239">
        <v>5</v>
      </c>
      <c r="K45" s="225">
        <v>5</v>
      </c>
      <c r="L45" s="225">
        <v>3</v>
      </c>
      <c r="M45" s="235">
        <v>2</v>
      </c>
      <c r="N45" s="225">
        <v>4</v>
      </c>
      <c r="O45" s="237">
        <v>4</v>
      </c>
      <c r="P45" s="225">
        <v>3</v>
      </c>
      <c r="Q45" s="225">
        <v>4</v>
      </c>
      <c r="R45" s="235">
        <v>3</v>
      </c>
      <c r="S45" s="225">
        <v>3</v>
      </c>
      <c r="T45" s="225">
        <v>3</v>
      </c>
      <c r="U45" s="237">
        <v>4</v>
      </c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58</v>
      </c>
      <c r="AH45" s="186">
        <v>110</v>
      </c>
      <c r="AI45" s="186">
        <v>7</v>
      </c>
    </row>
    <row r="46" spans="1:35" ht="15" hidden="1" customHeight="1" x14ac:dyDescent="0.25">
      <c r="A46" s="489"/>
      <c r="B46" s="512"/>
      <c r="C46" s="515"/>
      <c r="D46" s="45" t="s">
        <v>13</v>
      </c>
      <c r="E46" s="4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110</v>
      </c>
      <c r="AI46" s="186">
        <v>7</v>
      </c>
    </row>
    <row r="47" spans="1:35" ht="15.75" hidden="1" customHeight="1" x14ac:dyDescent="0.25">
      <c r="A47" s="489"/>
      <c r="B47" s="512"/>
      <c r="C47" s="515"/>
      <c r="D47" s="45" t="s">
        <v>13</v>
      </c>
      <c r="E47" s="4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110</v>
      </c>
      <c r="AI47" s="186">
        <v>7</v>
      </c>
    </row>
    <row r="48" spans="1:35" ht="15.75" hidden="1" customHeight="1" thickBot="1" x14ac:dyDescent="0.3">
      <c r="A48" s="490"/>
      <c r="B48" s="513"/>
      <c r="C48" s="516"/>
      <c r="D48" s="47" t="s">
        <v>13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110</v>
      </c>
      <c r="AI48" s="187">
        <v>7</v>
      </c>
    </row>
    <row r="49" spans="1:35" ht="15" customHeight="1" x14ac:dyDescent="0.25">
      <c r="A49" s="488">
        <v>9</v>
      </c>
      <c r="B49" s="511">
        <v>7</v>
      </c>
      <c r="C49" s="514" t="s">
        <v>392</v>
      </c>
      <c r="D49" s="43" t="s">
        <v>392</v>
      </c>
      <c r="E49" s="44" t="s">
        <v>26</v>
      </c>
      <c r="F49" s="391">
        <v>3</v>
      </c>
      <c r="G49" s="240">
        <v>3</v>
      </c>
      <c r="H49" s="236">
        <v>5</v>
      </c>
      <c r="I49" s="222">
        <v>3</v>
      </c>
      <c r="J49" s="222">
        <v>3</v>
      </c>
      <c r="K49" s="222">
        <v>5</v>
      </c>
      <c r="L49" s="222">
        <v>3</v>
      </c>
      <c r="M49" s="238">
        <v>5</v>
      </c>
      <c r="N49" s="240">
        <v>3</v>
      </c>
      <c r="O49" s="222">
        <v>3</v>
      </c>
      <c r="P49" s="222">
        <v>3</v>
      </c>
      <c r="Q49" s="222">
        <v>4</v>
      </c>
      <c r="R49" s="222">
        <v>4</v>
      </c>
      <c r="S49" s="240">
        <v>2</v>
      </c>
      <c r="T49" s="222">
        <v>3</v>
      </c>
      <c r="U49" s="240">
        <v>2</v>
      </c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54</v>
      </c>
      <c r="AH49" s="185">
        <v>54</v>
      </c>
      <c r="AI49" s="185">
        <v>9</v>
      </c>
    </row>
    <row r="50" spans="1:35" ht="15" customHeight="1" thickBot="1" x14ac:dyDescent="0.3">
      <c r="A50" s="489"/>
      <c r="B50" s="512"/>
      <c r="C50" s="515"/>
      <c r="D50" s="45" t="s">
        <v>392</v>
      </c>
      <c r="E50" s="46" t="s">
        <v>27</v>
      </c>
      <c r="F50" s="224">
        <v>4</v>
      </c>
      <c r="G50" s="237">
        <v>5</v>
      </c>
      <c r="H50" s="225">
        <v>4</v>
      </c>
      <c r="I50" s="235">
        <v>2</v>
      </c>
      <c r="J50" s="235">
        <v>2</v>
      </c>
      <c r="K50" s="235">
        <v>4</v>
      </c>
      <c r="L50" s="225">
        <v>3</v>
      </c>
      <c r="M50" s="225">
        <v>3</v>
      </c>
      <c r="N50" s="225">
        <v>4</v>
      </c>
      <c r="O50" s="225">
        <v>3</v>
      </c>
      <c r="P50" s="225">
        <v>3</v>
      </c>
      <c r="Q50" s="239">
        <v>6</v>
      </c>
      <c r="R50" s="225">
        <v>4</v>
      </c>
      <c r="S50" s="235">
        <v>2</v>
      </c>
      <c r="T50" s="225">
        <v>3</v>
      </c>
      <c r="U50" s="237">
        <v>4</v>
      </c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56</v>
      </c>
      <c r="AH50" s="186">
        <v>110</v>
      </c>
      <c r="AI50" s="186">
        <v>7</v>
      </c>
    </row>
    <row r="51" spans="1:35" ht="15" hidden="1" customHeight="1" x14ac:dyDescent="0.25">
      <c r="A51" s="489"/>
      <c r="B51" s="512"/>
      <c r="C51" s="515"/>
      <c r="D51" s="45" t="s">
        <v>392</v>
      </c>
      <c r="E51" s="4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110</v>
      </c>
      <c r="AI51" s="186">
        <v>7</v>
      </c>
    </row>
    <row r="52" spans="1:35" ht="15.75" hidden="1" customHeight="1" x14ac:dyDescent="0.25">
      <c r="A52" s="489"/>
      <c r="B52" s="512"/>
      <c r="C52" s="515"/>
      <c r="D52" s="45" t="s">
        <v>392</v>
      </c>
      <c r="E52" s="4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110</v>
      </c>
      <c r="AI52" s="186">
        <v>7</v>
      </c>
    </row>
    <row r="53" spans="1:35" ht="15.75" hidden="1" customHeight="1" thickBot="1" x14ac:dyDescent="0.3">
      <c r="A53" s="490"/>
      <c r="B53" s="513"/>
      <c r="C53" s="516"/>
      <c r="D53" s="47" t="s">
        <v>392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110</v>
      </c>
      <c r="AI53" s="187">
        <v>7</v>
      </c>
    </row>
    <row r="54" spans="1:35" ht="15" customHeight="1" x14ac:dyDescent="0.25">
      <c r="A54" s="488">
        <v>10</v>
      </c>
      <c r="B54" s="511">
        <v>10</v>
      </c>
      <c r="C54" s="514" t="s">
        <v>772</v>
      </c>
      <c r="D54" s="43" t="s">
        <v>772</v>
      </c>
      <c r="E54" s="44" t="s">
        <v>26</v>
      </c>
      <c r="F54" s="391">
        <v>3</v>
      </c>
      <c r="G54" s="222">
        <v>4</v>
      </c>
      <c r="H54" s="236">
        <v>5</v>
      </c>
      <c r="I54" s="240">
        <v>2</v>
      </c>
      <c r="J54" s="222">
        <v>3</v>
      </c>
      <c r="K54" s="222">
        <v>5</v>
      </c>
      <c r="L54" s="240">
        <v>2</v>
      </c>
      <c r="M54" s="222">
        <v>3</v>
      </c>
      <c r="N54" s="222">
        <v>4</v>
      </c>
      <c r="O54" s="236">
        <v>4</v>
      </c>
      <c r="P54" s="240">
        <v>2</v>
      </c>
      <c r="Q54" s="222">
        <v>4</v>
      </c>
      <c r="R54" s="222">
        <v>4</v>
      </c>
      <c r="S54" s="240">
        <v>2</v>
      </c>
      <c r="T54" s="222">
        <v>3</v>
      </c>
      <c r="U54" s="240">
        <v>2</v>
      </c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52</v>
      </c>
      <c r="AH54" s="185">
        <v>52</v>
      </c>
      <c r="AI54" s="185">
        <v>4</v>
      </c>
    </row>
    <row r="55" spans="1:35" ht="15" customHeight="1" thickBot="1" x14ac:dyDescent="0.3">
      <c r="A55" s="489"/>
      <c r="B55" s="512"/>
      <c r="C55" s="515"/>
      <c r="D55" s="45" t="s">
        <v>772</v>
      </c>
      <c r="E55" s="46" t="s">
        <v>27</v>
      </c>
      <c r="F55" s="390">
        <v>3</v>
      </c>
      <c r="G55" s="225">
        <v>4</v>
      </c>
      <c r="H55" s="237">
        <v>5</v>
      </c>
      <c r="I55" s="225">
        <v>3</v>
      </c>
      <c r="J55" s="225">
        <v>3</v>
      </c>
      <c r="K55" s="225">
        <v>5</v>
      </c>
      <c r="L55" s="225">
        <v>3</v>
      </c>
      <c r="M55" s="225">
        <v>3</v>
      </c>
      <c r="N55" s="235">
        <v>3</v>
      </c>
      <c r="O55" s="225">
        <v>3</v>
      </c>
      <c r="P55" s="225">
        <v>3</v>
      </c>
      <c r="Q55" s="239">
        <v>7</v>
      </c>
      <c r="R55" s="225">
        <v>4</v>
      </c>
      <c r="S55" s="237">
        <v>4</v>
      </c>
      <c r="T55" s="237">
        <v>4</v>
      </c>
      <c r="U55" s="225">
        <v>3</v>
      </c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60</v>
      </c>
      <c r="AH55" s="186">
        <v>112</v>
      </c>
      <c r="AI55" s="186">
        <v>10</v>
      </c>
    </row>
    <row r="56" spans="1:35" ht="15" hidden="1" customHeight="1" x14ac:dyDescent="0.25">
      <c r="A56" s="489"/>
      <c r="B56" s="512"/>
      <c r="C56" s="515"/>
      <c r="D56" s="45" t="s">
        <v>772</v>
      </c>
      <c r="E56" s="4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112</v>
      </c>
      <c r="AI56" s="186">
        <v>10</v>
      </c>
    </row>
    <row r="57" spans="1:35" ht="15.75" hidden="1" customHeight="1" x14ac:dyDescent="0.25">
      <c r="A57" s="489"/>
      <c r="B57" s="512"/>
      <c r="C57" s="515"/>
      <c r="D57" s="45" t="s">
        <v>772</v>
      </c>
      <c r="E57" s="4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112</v>
      </c>
      <c r="AI57" s="186">
        <v>10</v>
      </c>
    </row>
    <row r="58" spans="1:35" ht="15.75" hidden="1" customHeight="1" thickBot="1" x14ac:dyDescent="0.3">
      <c r="A58" s="490"/>
      <c r="B58" s="513"/>
      <c r="C58" s="516"/>
      <c r="D58" s="47" t="s">
        <v>772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112</v>
      </c>
      <c r="AI58" s="187">
        <v>10</v>
      </c>
    </row>
    <row r="59" spans="1:35" ht="15" customHeight="1" x14ac:dyDescent="0.25">
      <c r="A59" s="488">
        <v>11</v>
      </c>
      <c r="B59" s="511">
        <v>11</v>
      </c>
      <c r="C59" s="514" t="s">
        <v>494</v>
      </c>
      <c r="D59" s="43" t="s">
        <v>494</v>
      </c>
      <c r="E59" s="44" t="s">
        <v>26</v>
      </c>
      <c r="F59" s="391">
        <v>3</v>
      </c>
      <c r="G59" s="238">
        <v>6</v>
      </c>
      <c r="H59" s="222">
        <v>4</v>
      </c>
      <c r="I59" s="240">
        <v>2</v>
      </c>
      <c r="J59" s="222">
        <v>3</v>
      </c>
      <c r="K59" s="240">
        <v>4</v>
      </c>
      <c r="L59" s="236">
        <v>4</v>
      </c>
      <c r="M59" s="240">
        <v>2</v>
      </c>
      <c r="N59" s="240">
        <v>3</v>
      </c>
      <c r="O59" s="236">
        <v>4</v>
      </c>
      <c r="P59" s="222">
        <v>3</v>
      </c>
      <c r="Q59" s="222">
        <v>4</v>
      </c>
      <c r="R59" s="222">
        <v>4</v>
      </c>
      <c r="S59" s="222">
        <v>3</v>
      </c>
      <c r="T59" s="238">
        <v>5</v>
      </c>
      <c r="U59" s="222">
        <v>3</v>
      </c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57</v>
      </c>
      <c r="AH59" s="185">
        <v>57</v>
      </c>
      <c r="AI59" s="185">
        <v>12</v>
      </c>
    </row>
    <row r="60" spans="1:35" ht="15" customHeight="1" thickBot="1" x14ac:dyDescent="0.3">
      <c r="A60" s="489"/>
      <c r="B60" s="512"/>
      <c r="C60" s="515"/>
      <c r="D60" s="45" t="s">
        <v>494</v>
      </c>
      <c r="E60" s="46" t="s">
        <v>27</v>
      </c>
      <c r="F60" s="390">
        <v>3</v>
      </c>
      <c r="G60" s="237">
        <v>5</v>
      </c>
      <c r="H60" s="237">
        <v>5</v>
      </c>
      <c r="I60" s="225">
        <v>3</v>
      </c>
      <c r="J60" s="225">
        <v>3</v>
      </c>
      <c r="K60" s="235">
        <v>4</v>
      </c>
      <c r="L60" s="225">
        <v>3</v>
      </c>
      <c r="M60" s="235">
        <v>2</v>
      </c>
      <c r="N60" s="235">
        <v>3</v>
      </c>
      <c r="O60" s="225">
        <v>3</v>
      </c>
      <c r="P60" s="235">
        <v>2</v>
      </c>
      <c r="Q60" s="239">
        <v>6</v>
      </c>
      <c r="R60" s="235">
        <v>3</v>
      </c>
      <c r="S60" s="237">
        <v>4</v>
      </c>
      <c r="T60" s="225">
        <v>3</v>
      </c>
      <c r="U60" s="237">
        <v>4</v>
      </c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56</v>
      </c>
      <c r="AH60" s="186">
        <v>113</v>
      </c>
      <c r="AI60" s="186">
        <v>11</v>
      </c>
    </row>
    <row r="61" spans="1:35" ht="15" hidden="1" customHeight="1" x14ac:dyDescent="0.25">
      <c r="A61" s="489"/>
      <c r="B61" s="512"/>
      <c r="C61" s="515"/>
      <c r="D61" s="45" t="s">
        <v>494</v>
      </c>
      <c r="E61" s="4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113</v>
      </c>
      <c r="AI61" s="186">
        <v>11</v>
      </c>
    </row>
    <row r="62" spans="1:35" ht="15.75" hidden="1" customHeight="1" x14ac:dyDescent="0.25">
      <c r="A62" s="489"/>
      <c r="B62" s="512"/>
      <c r="C62" s="515"/>
      <c r="D62" s="45" t="s">
        <v>494</v>
      </c>
      <c r="E62" s="4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113</v>
      </c>
      <c r="AI62" s="186">
        <v>11</v>
      </c>
    </row>
    <row r="63" spans="1:35" ht="15.75" hidden="1" customHeight="1" thickBot="1" x14ac:dyDescent="0.3">
      <c r="A63" s="490"/>
      <c r="B63" s="513"/>
      <c r="C63" s="516"/>
      <c r="D63" s="47" t="s">
        <v>494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113</v>
      </c>
      <c r="AI63" s="187">
        <v>11</v>
      </c>
    </row>
    <row r="64" spans="1:35" ht="15" customHeight="1" x14ac:dyDescent="0.25">
      <c r="A64" s="488">
        <v>12</v>
      </c>
      <c r="B64" s="511">
        <v>11</v>
      </c>
      <c r="C64" s="514" t="s">
        <v>785</v>
      </c>
      <c r="D64" s="43" t="s">
        <v>785</v>
      </c>
      <c r="E64" s="44" t="s">
        <v>26</v>
      </c>
      <c r="F64" s="223">
        <v>4</v>
      </c>
      <c r="G64" s="240">
        <v>3</v>
      </c>
      <c r="H64" s="236">
        <v>5</v>
      </c>
      <c r="I64" s="240">
        <v>2</v>
      </c>
      <c r="J64" s="236">
        <v>4</v>
      </c>
      <c r="K64" s="240">
        <v>4</v>
      </c>
      <c r="L64" s="222">
        <v>3</v>
      </c>
      <c r="M64" s="222">
        <v>3</v>
      </c>
      <c r="N64" s="236">
        <v>5</v>
      </c>
      <c r="O64" s="222">
        <v>3</v>
      </c>
      <c r="P64" s="222">
        <v>3</v>
      </c>
      <c r="Q64" s="236">
        <v>5</v>
      </c>
      <c r="R64" s="240">
        <v>3</v>
      </c>
      <c r="S64" s="222">
        <v>3</v>
      </c>
      <c r="T64" s="236">
        <v>4</v>
      </c>
      <c r="U64" s="222">
        <v>3</v>
      </c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57</v>
      </c>
      <c r="AH64" s="185">
        <v>57</v>
      </c>
      <c r="AI64" s="185">
        <v>12</v>
      </c>
    </row>
    <row r="65" spans="1:35" ht="15" customHeight="1" thickBot="1" x14ac:dyDescent="0.3">
      <c r="A65" s="489"/>
      <c r="B65" s="512"/>
      <c r="C65" s="515"/>
      <c r="D65" s="45" t="s">
        <v>785</v>
      </c>
      <c r="E65" s="46" t="s">
        <v>27</v>
      </c>
      <c r="F65" s="224">
        <v>4</v>
      </c>
      <c r="G65" s="225">
        <v>4</v>
      </c>
      <c r="H65" s="237">
        <v>5</v>
      </c>
      <c r="I65" s="225">
        <v>3</v>
      </c>
      <c r="J65" s="225">
        <v>3</v>
      </c>
      <c r="K65" s="235">
        <v>4</v>
      </c>
      <c r="L65" s="237">
        <v>4</v>
      </c>
      <c r="M65" s="237">
        <v>4</v>
      </c>
      <c r="N65" s="225">
        <v>4</v>
      </c>
      <c r="O65" s="225">
        <v>3</v>
      </c>
      <c r="P65" s="235">
        <v>2</v>
      </c>
      <c r="Q65" s="237">
        <v>5</v>
      </c>
      <c r="R65" s="235">
        <v>3</v>
      </c>
      <c r="S65" s="235">
        <v>2</v>
      </c>
      <c r="T65" s="225">
        <v>3</v>
      </c>
      <c r="U65" s="225">
        <v>3</v>
      </c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56</v>
      </c>
      <c r="AH65" s="186">
        <v>113</v>
      </c>
      <c r="AI65" s="186">
        <v>11</v>
      </c>
    </row>
    <row r="66" spans="1:35" ht="15" hidden="1" customHeight="1" x14ac:dyDescent="0.25">
      <c r="A66" s="489"/>
      <c r="B66" s="512"/>
      <c r="C66" s="515"/>
      <c r="D66" s="45" t="s">
        <v>785</v>
      </c>
      <c r="E66" s="4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113</v>
      </c>
      <c r="AI66" s="186">
        <v>11</v>
      </c>
    </row>
    <row r="67" spans="1:35" ht="15.75" hidden="1" customHeight="1" x14ac:dyDescent="0.25">
      <c r="A67" s="489"/>
      <c r="B67" s="512"/>
      <c r="C67" s="515"/>
      <c r="D67" s="45" t="s">
        <v>785</v>
      </c>
      <c r="E67" s="4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113</v>
      </c>
      <c r="AI67" s="186">
        <v>11</v>
      </c>
    </row>
    <row r="68" spans="1:35" ht="15.75" hidden="1" customHeight="1" thickBot="1" x14ac:dyDescent="0.3">
      <c r="A68" s="490"/>
      <c r="B68" s="513"/>
      <c r="C68" s="516"/>
      <c r="D68" s="47" t="s">
        <v>785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113</v>
      </c>
      <c r="AI68" s="187">
        <v>11</v>
      </c>
    </row>
    <row r="69" spans="1:35" ht="15" customHeight="1" x14ac:dyDescent="0.25">
      <c r="A69" s="488">
        <v>13</v>
      </c>
      <c r="B69" s="511">
        <v>13</v>
      </c>
      <c r="C69" s="514" t="s">
        <v>428</v>
      </c>
      <c r="D69" s="43" t="s">
        <v>428</v>
      </c>
      <c r="E69" s="44" t="s">
        <v>26</v>
      </c>
      <c r="F69" s="223">
        <v>4</v>
      </c>
      <c r="G69" s="222">
        <v>4</v>
      </c>
      <c r="H69" s="236">
        <v>5</v>
      </c>
      <c r="I69" s="222">
        <v>3</v>
      </c>
      <c r="J69" s="240">
        <v>2</v>
      </c>
      <c r="K69" s="236">
        <v>6</v>
      </c>
      <c r="L69" s="222">
        <v>3</v>
      </c>
      <c r="M69" s="222">
        <v>3</v>
      </c>
      <c r="N69" s="222">
        <v>4</v>
      </c>
      <c r="O69" s="222">
        <v>3</v>
      </c>
      <c r="P69" s="222">
        <v>3</v>
      </c>
      <c r="Q69" s="222">
        <v>4</v>
      </c>
      <c r="R69" s="240">
        <v>3</v>
      </c>
      <c r="S69" s="236">
        <v>4</v>
      </c>
      <c r="T69" s="222">
        <v>3</v>
      </c>
      <c r="U69" s="236">
        <v>4</v>
      </c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58</v>
      </c>
      <c r="AH69" s="185">
        <v>58</v>
      </c>
      <c r="AI69" s="185">
        <v>14</v>
      </c>
    </row>
    <row r="70" spans="1:35" ht="15" customHeight="1" thickBot="1" x14ac:dyDescent="0.3">
      <c r="A70" s="489"/>
      <c r="B70" s="512"/>
      <c r="C70" s="515"/>
      <c r="D70" s="45" t="s">
        <v>428</v>
      </c>
      <c r="E70" s="46" t="s">
        <v>27</v>
      </c>
      <c r="F70" s="390">
        <v>3</v>
      </c>
      <c r="G70" s="225">
        <v>4</v>
      </c>
      <c r="H70" s="237">
        <v>5</v>
      </c>
      <c r="I70" s="235">
        <v>2</v>
      </c>
      <c r="J70" s="225">
        <v>3</v>
      </c>
      <c r="K70" s="235">
        <v>4</v>
      </c>
      <c r="L70" s="225">
        <v>3</v>
      </c>
      <c r="M70" s="237">
        <v>4</v>
      </c>
      <c r="N70" s="225">
        <v>4</v>
      </c>
      <c r="O70" s="225">
        <v>3</v>
      </c>
      <c r="P70" s="225">
        <v>3</v>
      </c>
      <c r="Q70" s="237">
        <v>5</v>
      </c>
      <c r="R70" s="225">
        <v>4</v>
      </c>
      <c r="S70" s="237">
        <v>4</v>
      </c>
      <c r="T70" s="235">
        <v>2</v>
      </c>
      <c r="U70" s="225">
        <v>3</v>
      </c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56</v>
      </c>
      <c r="AH70" s="186">
        <v>114</v>
      </c>
      <c r="AI70" s="186">
        <v>13</v>
      </c>
    </row>
    <row r="71" spans="1:35" ht="15" hidden="1" customHeight="1" x14ac:dyDescent="0.25">
      <c r="A71" s="489"/>
      <c r="B71" s="512"/>
      <c r="C71" s="515"/>
      <c r="D71" s="45" t="s">
        <v>428</v>
      </c>
      <c r="E71" s="4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114</v>
      </c>
      <c r="AI71" s="186">
        <v>13</v>
      </c>
    </row>
    <row r="72" spans="1:35" ht="15.75" hidden="1" customHeight="1" x14ac:dyDescent="0.25">
      <c r="A72" s="489"/>
      <c r="B72" s="512"/>
      <c r="C72" s="515"/>
      <c r="D72" s="45" t="s">
        <v>428</v>
      </c>
      <c r="E72" s="4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114</v>
      </c>
      <c r="AI72" s="186">
        <v>13</v>
      </c>
    </row>
    <row r="73" spans="1:35" ht="15.75" hidden="1" customHeight="1" thickBot="1" x14ac:dyDescent="0.3">
      <c r="A73" s="490"/>
      <c r="B73" s="513"/>
      <c r="C73" s="516"/>
      <c r="D73" s="47" t="s">
        <v>428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114</v>
      </c>
      <c r="AI73" s="187">
        <v>13</v>
      </c>
    </row>
    <row r="74" spans="1:35" ht="15" customHeight="1" x14ac:dyDescent="0.25">
      <c r="A74" s="488">
        <v>14</v>
      </c>
      <c r="B74" s="511">
        <v>13</v>
      </c>
      <c r="C74" s="514" t="s">
        <v>765</v>
      </c>
      <c r="D74" s="43" t="s">
        <v>765</v>
      </c>
      <c r="E74" s="44" t="s">
        <v>26</v>
      </c>
      <c r="F74" s="223">
        <v>4</v>
      </c>
      <c r="G74" s="240">
        <v>3</v>
      </c>
      <c r="H74" s="236">
        <v>5</v>
      </c>
      <c r="I74" s="222">
        <v>3</v>
      </c>
      <c r="J74" s="236">
        <v>4</v>
      </c>
      <c r="K74" s="236">
        <v>6</v>
      </c>
      <c r="L74" s="222">
        <v>3</v>
      </c>
      <c r="M74" s="222">
        <v>3</v>
      </c>
      <c r="N74" s="222">
        <v>4</v>
      </c>
      <c r="O74" s="236">
        <v>4</v>
      </c>
      <c r="P74" s="222">
        <v>3</v>
      </c>
      <c r="Q74" s="222">
        <v>4</v>
      </c>
      <c r="R74" s="222">
        <v>4</v>
      </c>
      <c r="S74" s="222">
        <v>3</v>
      </c>
      <c r="T74" s="222">
        <v>3</v>
      </c>
      <c r="U74" s="222">
        <v>3</v>
      </c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59</v>
      </c>
      <c r="AH74" s="185">
        <v>59</v>
      </c>
      <c r="AI74" s="185">
        <v>16</v>
      </c>
    </row>
    <row r="75" spans="1:35" ht="15" customHeight="1" thickBot="1" x14ac:dyDescent="0.3">
      <c r="A75" s="489"/>
      <c r="B75" s="512"/>
      <c r="C75" s="515"/>
      <c r="D75" s="45" t="s">
        <v>765</v>
      </c>
      <c r="E75" s="46" t="s">
        <v>27</v>
      </c>
      <c r="F75" s="224">
        <v>4</v>
      </c>
      <c r="G75" s="225">
        <v>4</v>
      </c>
      <c r="H75" s="225">
        <v>4</v>
      </c>
      <c r="I75" s="225">
        <v>3</v>
      </c>
      <c r="J75" s="235">
        <v>2</v>
      </c>
      <c r="K75" s="225">
        <v>5</v>
      </c>
      <c r="L75" s="225">
        <v>3</v>
      </c>
      <c r="M75" s="225">
        <v>3</v>
      </c>
      <c r="N75" s="225">
        <v>4</v>
      </c>
      <c r="O75" s="225">
        <v>3</v>
      </c>
      <c r="P75" s="225">
        <v>3</v>
      </c>
      <c r="Q75" s="225">
        <v>4</v>
      </c>
      <c r="R75" s="225">
        <v>4</v>
      </c>
      <c r="S75" s="237">
        <v>4</v>
      </c>
      <c r="T75" s="225">
        <v>3</v>
      </c>
      <c r="U75" s="235">
        <v>2</v>
      </c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55</v>
      </c>
      <c r="AH75" s="186">
        <v>114</v>
      </c>
      <c r="AI75" s="186">
        <v>13</v>
      </c>
    </row>
    <row r="76" spans="1:35" ht="15" hidden="1" customHeight="1" x14ac:dyDescent="0.25">
      <c r="A76" s="489"/>
      <c r="B76" s="512"/>
      <c r="C76" s="515"/>
      <c r="D76" s="45" t="s">
        <v>765</v>
      </c>
      <c r="E76" s="4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114</v>
      </c>
      <c r="AI76" s="186">
        <v>13</v>
      </c>
    </row>
    <row r="77" spans="1:35" ht="15.75" hidden="1" customHeight="1" x14ac:dyDescent="0.25">
      <c r="A77" s="489"/>
      <c r="B77" s="512"/>
      <c r="C77" s="515"/>
      <c r="D77" s="45" t="s">
        <v>765</v>
      </c>
      <c r="E77" s="4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114</v>
      </c>
      <c r="AI77" s="186">
        <v>13</v>
      </c>
    </row>
    <row r="78" spans="1:35" ht="15.75" hidden="1" customHeight="1" thickBot="1" x14ac:dyDescent="0.3">
      <c r="A78" s="490"/>
      <c r="B78" s="513"/>
      <c r="C78" s="516"/>
      <c r="D78" s="47" t="s">
        <v>765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114</v>
      </c>
      <c r="AI78" s="187">
        <v>13</v>
      </c>
    </row>
    <row r="79" spans="1:35" ht="15" customHeight="1" x14ac:dyDescent="0.25">
      <c r="A79" s="488">
        <v>15</v>
      </c>
      <c r="B79" s="511">
        <v>15</v>
      </c>
      <c r="C79" s="514" t="s">
        <v>518</v>
      </c>
      <c r="D79" s="43" t="s">
        <v>518</v>
      </c>
      <c r="E79" s="44" t="s">
        <v>26</v>
      </c>
      <c r="F79" s="356">
        <v>5</v>
      </c>
      <c r="G79" s="236">
        <v>5</v>
      </c>
      <c r="H79" s="236">
        <v>5</v>
      </c>
      <c r="I79" s="222">
        <v>3</v>
      </c>
      <c r="J79" s="236">
        <v>4</v>
      </c>
      <c r="K79" s="240">
        <v>4</v>
      </c>
      <c r="L79" s="222">
        <v>3</v>
      </c>
      <c r="M79" s="236">
        <v>4</v>
      </c>
      <c r="N79" s="222">
        <v>4</v>
      </c>
      <c r="O79" s="236">
        <v>4</v>
      </c>
      <c r="P79" s="222">
        <v>3</v>
      </c>
      <c r="Q79" s="240">
        <v>3</v>
      </c>
      <c r="R79" s="222">
        <v>4</v>
      </c>
      <c r="S79" s="236">
        <v>4</v>
      </c>
      <c r="T79" s="238">
        <v>5</v>
      </c>
      <c r="U79" s="240">
        <v>2</v>
      </c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62</v>
      </c>
      <c r="AH79" s="185">
        <v>62</v>
      </c>
      <c r="AI79" s="185">
        <v>19</v>
      </c>
    </row>
    <row r="80" spans="1:35" ht="15" customHeight="1" thickBot="1" x14ac:dyDescent="0.3">
      <c r="A80" s="489"/>
      <c r="B80" s="512"/>
      <c r="C80" s="515"/>
      <c r="D80" s="45" t="s">
        <v>518</v>
      </c>
      <c r="E80" s="46" t="s">
        <v>27</v>
      </c>
      <c r="F80" s="390">
        <v>3</v>
      </c>
      <c r="G80" s="225">
        <v>4</v>
      </c>
      <c r="H80" s="225">
        <v>4</v>
      </c>
      <c r="I80" s="235">
        <v>2</v>
      </c>
      <c r="J80" s="235">
        <v>2</v>
      </c>
      <c r="K80" s="225">
        <v>5</v>
      </c>
      <c r="L80" s="225">
        <v>3</v>
      </c>
      <c r="M80" s="235">
        <v>2</v>
      </c>
      <c r="N80" s="225">
        <v>4</v>
      </c>
      <c r="O80" s="225">
        <v>3</v>
      </c>
      <c r="P80" s="225">
        <v>3</v>
      </c>
      <c r="Q80" s="225">
        <v>4</v>
      </c>
      <c r="R80" s="225">
        <v>4</v>
      </c>
      <c r="S80" s="237">
        <v>4</v>
      </c>
      <c r="T80" s="225">
        <v>3</v>
      </c>
      <c r="U80" s="237">
        <v>4</v>
      </c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54</v>
      </c>
      <c r="AH80" s="186">
        <v>116</v>
      </c>
      <c r="AI80" s="186">
        <v>15</v>
      </c>
    </row>
    <row r="81" spans="1:35" ht="15" hidden="1" customHeight="1" x14ac:dyDescent="0.25">
      <c r="A81" s="489"/>
      <c r="B81" s="512"/>
      <c r="C81" s="515"/>
      <c r="D81" s="45" t="s">
        <v>518</v>
      </c>
      <c r="E81" s="4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116</v>
      </c>
      <c r="AI81" s="186">
        <v>15</v>
      </c>
    </row>
    <row r="82" spans="1:35" ht="15.75" hidden="1" customHeight="1" x14ac:dyDescent="0.25">
      <c r="A82" s="489"/>
      <c r="B82" s="512"/>
      <c r="C82" s="515"/>
      <c r="D82" s="45" t="s">
        <v>518</v>
      </c>
      <c r="E82" s="4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116</v>
      </c>
      <c r="AI82" s="186">
        <v>15</v>
      </c>
    </row>
    <row r="83" spans="1:35" ht="15.75" hidden="1" customHeight="1" thickBot="1" x14ac:dyDescent="0.3">
      <c r="A83" s="490"/>
      <c r="B83" s="513"/>
      <c r="C83" s="516"/>
      <c r="D83" s="47" t="s">
        <v>518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116</v>
      </c>
      <c r="AI83" s="187">
        <v>15</v>
      </c>
    </row>
    <row r="84" spans="1:35" ht="15" customHeight="1" x14ac:dyDescent="0.25">
      <c r="A84" s="488">
        <v>16</v>
      </c>
      <c r="B84" s="511">
        <v>15</v>
      </c>
      <c r="C84" s="514" t="s">
        <v>323</v>
      </c>
      <c r="D84" s="43" t="s">
        <v>323</v>
      </c>
      <c r="E84" s="44" t="s">
        <v>26</v>
      </c>
      <c r="F84" s="223">
        <v>4</v>
      </c>
      <c r="G84" s="240">
        <v>3</v>
      </c>
      <c r="H84" s="240">
        <v>3</v>
      </c>
      <c r="I84" s="222">
        <v>3</v>
      </c>
      <c r="J84" s="240">
        <v>2</v>
      </c>
      <c r="K84" s="240">
        <v>4</v>
      </c>
      <c r="L84" s="222">
        <v>3</v>
      </c>
      <c r="M84" s="240">
        <v>2</v>
      </c>
      <c r="N84" s="240">
        <v>3</v>
      </c>
      <c r="O84" s="222">
        <v>3</v>
      </c>
      <c r="P84" s="222">
        <v>3</v>
      </c>
      <c r="Q84" s="236">
        <v>5</v>
      </c>
      <c r="R84" s="222">
        <v>4</v>
      </c>
      <c r="S84" s="222">
        <v>3</v>
      </c>
      <c r="T84" s="236">
        <v>4</v>
      </c>
      <c r="U84" s="222">
        <v>3</v>
      </c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52</v>
      </c>
      <c r="AH84" s="185">
        <v>52</v>
      </c>
      <c r="AI84" s="185">
        <v>4</v>
      </c>
    </row>
    <row r="85" spans="1:35" ht="15" customHeight="1" thickBot="1" x14ac:dyDescent="0.3">
      <c r="A85" s="489"/>
      <c r="B85" s="512"/>
      <c r="C85" s="515"/>
      <c r="D85" s="45" t="s">
        <v>323</v>
      </c>
      <c r="E85" s="46" t="s">
        <v>27</v>
      </c>
      <c r="F85" s="392">
        <v>6</v>
      </c>
      <c r="G85" s="225">
        <v>4</v>
      </c>
      <c r="H85" s="225">
        <v>4</v>
      </c>
      <c r="I85" s="225">
        <v>3</v>
      </c>
      <c r="J85" s="237">
        <v>4</v>
      </c>
      <c r="K85" s="225">
        <v>5</v>
      </c>
      <c r="L85" s="225">
        <v>3</v>
      </c>
      <c r="M85" s="225">
        <v>3</v>
      </c>
      <c r="N85" s="239">
        <v>6</v>
      </c>
      <c r="O85" s="237">
        <v>4</v>
      </c>
      <c r="P85" s="225">
        <v>3</v>
      </c>
      <c r="Q85" s="225">
        <v>4</v>
      </c>
      <c r="R85" s="237">
        <v>5</v>
      </c>
      <c r="S85" s="235">
        <v>2</v>
      </c>
      <c r="T85" s="237">
        <v>4</v>
      </c>
      <c r="U85" s="237">
        <v>4</v>
      </c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64</v>
      </c>
      <c r="AH85" s="186">
        <v>116</v>
      </c>
      <c r="AI85" s="186">
        <v>15</v>
      </c>
    </row>
    <row r="86" spans="1:35" ht="15" hidden="1" customHeight="1" x14ac:dyDescent="0.25">
      <c r="A86" s="489"/>
      <c r="B86" s="512"/>
      <c r="C86" s="515"/>
      <c r="D86" s="45" t="s">
        <v>323</v>
      </c>
      <c r="E86" s="4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116</v>
      </c>
      <c r="AI86" s="186">
        <v>15</v>
      </c>
    </row>
    <row r="87" spans="1:35" ht="15.75" hidden="1" customHeight="1" x14ac:dyDescent="0.25">
      <c r="A87" s="489"/>
      <c r="B87" s="512"/>
      <c r="C87" s="515"/>
      <c r="D87" s="45" t="s">
        <v>323</v>
      </c>
      <c r="E87" s="4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116</v>
      </c>
      <c r="AI87" s="186">
        <v>15</v>
      </c>
    </row>
    <row r="88" spans="1:35" ht="15.75" hidden="1" customHeight="1" thickBot="1" x14ac:dyDescent="0.3">
      <c r="A88" s="490"/>
      <c r="B88" s="513"/>
      <c r="C88" s="516"/>
      <c r="D88" s="47" t="s">
        <v>323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116</v>
      </c>
      <c r="AI88" s="187">
        <v>15</v>
      </c>
    </row>
    <row r="89" spans="1:35" ht="15" customHeight="1" x14ac:dyDescent="0.25">
      <c r="A89" s="488">
        <v>17</v>
      </c>
      <c r="B89" s="511">
        <v>17</v>
      </c>
      <c r="C89" s="514" t="s">
        <v>404</v>
      </c>
      <c r="D89" s="43" t="s">
        <v>404</v>
      </c>
      <c r="E89" s="44" t="s">
        <v>26</v>
      </c>
      <c r="F89" s="356">
        <v>5</v>
      </c>
      <c r="G89" s="222">
        <v>4</v>
      </c>
      <c r="H89" s="238">
        <v>6</v>
      </c>
      <c r="I89" s="240">
        <v>2</v>
      </c>
      <c r="J89" s="236">
        <v>4</v>
      </c>
      <c r="K89" s="222">
        <v>5</v>
      </c>
      <c r="L89" s="236">
        <v>4</v>
      </c>
      <c r="M89" s="236">
        <v>4</v>
      </c>
      <c r="N89" s="222">
        <v>4</v>
      </c>
      <c r="O89" s="236">
        <v>4</v>
      </c>
      <c r="P89" s="222">
        <v>3</v>
      </c>
      <c r="Q89" s="236">
        <v>5</v>
      </c>
      <c r="R89" s="222">
        <v>4</v>
      </c>
      <c r="S89" s="222">
        <v>3</v>
      </c>
      <c r="T89" s="222">
        <v>3</v>
      </c>
      <c r="U89" s="236">
        <v>4</v>
      </c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64</v>
      </c>
      <c r="AH89" s="185">
        <v>64</v>
      </c>
      <c r="AI89" s="185">
        <v>27</v>
      </c>
    </row>
    <row r="90" spans="1:35" ht="15" customHeight="1" thickBot="1" x14ac:dyDescent="0.3">
      <c r="A90" s="489"/>
      <c r="B90" s="512"/>
      <c r="C90" s="515"/>
      <c r="D90" s="45" t="s">
        <v>404</v>
      </c>
      <c r="E90" s="46" t="s">
        <v>27</v>
      </c>
      <c r="F90" s="224">
        <v>4</v>
      </c>
      <c r="G90" s="235">
        <v>3</v>
      </c>
      <c r="H90" s="225">
        <v>4</v>
      </c>
      <c r="I90" s="235">
        <v>2</v>
      </c>
      <c r="J90" s="225">
        <v>3</v>
      </c>
      <c r="K90" s="237">
        <v>6</v>
      </c>
      <c r="L90" s="235">
        <v>2</v>
      </c>
      <c r="M90" s="225">
        <v>3</v>
      </c>
      <c r="N90" s="237">
        <v>5</v>
      </c>
      <c r="O90" s="225">
        <v>3</v>
      </c>
      <c r="P90" s="225">
        <v>3</v>
      </c>
      <c r="Q90" s="225">
        <v>4</v>
      </c>
      <c r="R90" s="237">
        <v>5</v>
      </c>
      <c r="S90" s="225">
        <v>3</v>
      </c>
      <c r="T90" s="225">
        <v>3</v>
      </c>
      <c r="U90" s="225">
        <v>3</v>
      </c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56</v>
      </c>
      <c r="AH90" s="186">
        <v>120</v>
      </c>
      <c r="AI90" s="186">
        <v>17</v>
      </c>
    </row>
    <row r="91" spans="1:35" ht="15" hidden="1" customHeight="1" x14ac:dyDescent="0.25">
      <c r="A91" s="489"/>
      <c r="B91" s="512"/>
      <c r="C91" s="515"/>
      <c r="D91" s="45" t="s">
        <v>404</v>
      </c>
      <c r="E91" s="4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120</v>
      </c>
      <c r="AI91" s="186">
        <v>17</v>
      </c>
    </row>
    <row r="92" spans="1:35" ht="15.75" hidden="1" customHeight="1" x14ac:dyDescent="0.25">
      <c r="A92" s="489"/>
      <c r="B92" s="512"/>
      <c r="C92" s="515"/>
      <c r="D92" s="45" t="s">
        <v>404</v>
      </c>
      <c r="E92" s="4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120</v>
      </c>
      <c r="AI92" s="186">
        <v>17</v>
      </c>
    </row>
    <row r="93" spans="1:35" ht="15.75" hidden="1" customHeight="1" thickBot="1" x14ac:dyDescent="0.3">
      <c r="A93" s="490"/>
      <c r="B93" s="513"/>
      <c r="C93" s="516"/>
      <c r="D93" s="47" t="s">
        <v>404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120</v>
      </c>
      <c r="AI93" s="187">
        <v>17</v>
      </c>
    </row>
    <row r="94" spans="1:35" ht="15" customHeight="1" x14ac:dyDescent="0.25">
      <c r="A94" s="488">
        <v>18</v>
      </c>
      <c r="B94" s="511">
        <v>18</v>
      </c>
      <c r="C94" s="514" t="s">
        <v>500</v>
      </c>
      <c r="D94" s="43" t="s">
        <v>500</v>
      </c>
      <c r="E94" s="44" t="s">
        <v>26</v>
      </c>
      <c r="F94" s="389">
        <v>6</v>
      </c>
      <c r="G94" s="236">
        <v>5</v>
      </c>
      <c r="H94" s="222">
        <v>4</v>
      </c>
      <c r="I94" s="222">
        <v>3</v>
      </c>
      <c r="J94" s="240">
        <v>2</v>
      </c>
      <c r="K94" s="222">
        <v>5</v>
      </c>
      <c r="L94" s="222">
        <v>3</v>
      </c>
      <c r="M94" s="222">
        <v>3</v>
      </c>
      <c r="N94" s="236">
        <v>5</v>
      </c>
      <c r="O94" s="236">
        <v>4</v>
      </c>
      <c r="P94" s="222">
        <v>3</v>
      </c>
      <c r="Q94" s="222">
        <v>4</v>
      </c>
      <c r="R94" s="222">
        <v>4</v>
      </c>
      <c r="S94" s="240">
        <v>2</v>
      </c>
      <c r="T94" s="222">
        <v>3</v>
      </c>
      <c r="U94" s="236">
        <v>4</v>
      </c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60</v>
      </c>
      <c r="AH94" s="185">
        <v>60</v>
      </c>
      <c r="AI94" s="185">
        <v>17</v>
      </c>
    </row>
    <row r="95" spans="1:35" ht="15" customHeight="1" thickBot="1" x14ac:dyDescent="0.3">
      <c r="A95" s="489"/>
      <c r="B95" s="512"/>
      <c r="C95" s="515"/>
      <c r="D95" s="45" t="s">
        <v>500</v>
      </c>
      <c r="E95" s="46" t="s">
        <v>27</v>
      </c>
      <c r="F95" s="224">
        <v>4</v>
      </c>
      <c r="G95" s="239">
        <v>6</v>
      </c>
      <c r="H95" s="225">
        <v>4</v>
      </c>
      <c r="I95" s="225">
        <v>3</v>
      </c>
      <c r="J95" s="225">
        <v>3</v>
      </c>
      <c r="K95" s="225">
        <v>5</v>
      </c>
      <c r="L95" s="225">
        <v>3</v>
      </c>
      <c r="M95" s="235">
        <v>2</v>
      </c>
      <c r="N95" s="225">
        <v>4</v>
      </c>
      <c r="O95" s="225">
        <v>3</v>
      </c>
      <c r="P95" s="225">
        <v>3</v>
      </c>
      <c r="Q95" s="225">
        <v>4</v>
      </c>
      <c r="R95" s="237">
        <v>5</v>
      </c>
      <c r="S95" s="237">
        <v>4</v>
      </c>
      <c r="T95" s="239">
        <v>5</v>
      </c>
      <c r="U95" s="225">
        <v>3</v>
      </c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61</v>
      </c>
      <c r="AH95" s="186">
        <v>121</v>
      </c>
      <c r="AI95" s="186">
        <v>18</v>
      </c>
    </row>
    <row r="96" spans="1:35" ht="15" hidden="1" customHeight="1" x14ac:dyDescent="0.25">
      <c r="A96" s="489"/>
      <c r="B96" s="512"/>
      <c r="C96" s="515"/>
      <c r="D96" s="45" t="s">
        <v>500</v>
      </c>
      <c r="E96" s="4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121</v>
      </c>
      <c r="AI96" s="186">
        <v>18</v>
      </c>
    </row>
    <row r="97" spans="1:35" ht="15.75" hidden="1" customHeight="1" x14ac:dyDescent="0.25">
      <c r="A97" s="489"/>
      <c r="B97" s="512"/>
      <c r="C97" s="515"/>
      <c r="D97" s="45" t="s">
        <v>500</v>
      </c>
      <c r="E97" s="4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121</v>
      </c>
      <c r="AI97" s="186">
        <v>18</v>
      </c>
    </row>
    <row r="98" spans="1:35" ht="15.75" hidden="1" customHeight="1" thickBot="1" x14ac:dyDescent="0.3">
      <c r="A98" s="490"/>
      <c r="B98" s="513"/>
      <c r="C98" s="516"/>
      <c r="D98" s="47" t="s">
        <v>500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121</v>
      </c>
      <c r="AI98" s="187">
        <v>18</v>
      </c>
    </row>
    <row r="99" spans="1:35" ht="15" customHeight="1" x14ac:dyDescent="0.25">
      <c r="A99" s="488">
        <v>19</v>
      </c>
      <c r="B99" s="511">
        <v>18</v>
      </c>
      <c r="C99" s="514" t="s">
        <v>611</v>
      </c>
      <c r="D99" s="43" t="s">
        <v>611</v>
      </c>
      <c r="E99" s="44" t="s">
        <v>26</v>
      </c>
      <c r="F99" s="356">
        <v>5</v>
      </c>
      <c r="G99" s="240">
        <v>3</v>
      </c>
      <c r="H99" s="236">
        <v>5</v>
      </c>
      <c r="I99" s="222">
        <v>3</v>
      </c>
      <c r="J99" s="238">
        <v>6</v>
      </c>
      <c r="K99" s="236">
        <v>6</v>
      </c>
      <c r="L99" s="222">
        <v>3</v>
      </c>
      <c r="M99" s="236">
        <v>4</v>
      </c>
      <c r="N99" s="222">
        <v>4</v>
      </c>
      <c r="O99" s="222">
        <v>3</v>
      </c>
      <c r="P99" s="240">
        <v>2</v>
      </c>
      <c r="Q99" s="238">
        <v>6</v>
      </c>
      <c r="R99" s="222">
        <v>4</v>
      </c>
      <c r="S99" s="222">
        <v>3</v>
      </c>
      <c r="T99" s="236">
        <v>4</v>
      </c>
      <c r="U99" s="240">
        <v>2</v>
      </c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63</v>
      </c>
      <c r="AH99" s="185">
        <v>63</v>
      </c>
      <c r="AI99" s="185">
        <v>23</v>
      </c>
    </row>
    <row r="100" spans="1:35" ht="15" customHeight="1" thickBot="1" x14ac:dyDescent="0.3">
      <c r="A100" s="489"/>
      <c r="B100" s="512"/>
      <c r="C100" s="515"/>
      <c r="D100" s="45" t="s">
        <v>611</v>
      </c>
      <c r="E100" s="46" t="s">
        <v>27</v>
      </c>
      <c r="F100" s="224">
        <v>4</v>
      </c>
      <c r="G100" s="235">
        <v>3</v>
      </c>
      <c r="H100" s="225">
        <v>4</v>
      </c>
      <c r="I100" s="237">
        <v>4</v>
      </c>
      <c r="J100" s="225">
        <v>3</v>
      </c>
      <c r="K100" s="237">
        <v>6</v>
      </c>
      <c r="L100" s="239">
        <v>5</v>
      </c>
      <c r="M100" s="235">
        <v>2</v>
      </c>
      <c r="N100" s="225">
        <v>4</v>
      </c>
      <c r="O100" s="237">
        <v>4</v>
      </c>
      <c r="P100" s="225">
        <v>3</v>
      </c>
      <c r="Q100" s="237">
        <v>5</v>
      </c>
      <c r="R100" s="235">
        <v>3</v>
      </c>
      <c r="S100" s="225">
        <v>3</v>
      </c>
      <c r="T100" s="225">
        <v>3</v>
      </c>
      <c r="U100" s="235">
        <v>2</v>
      </c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58</v>
      </c>
      <c r="AH100" s="186">
        <v>121</v>
      </c>
      <c r="AI100" s="186">
        <v>18</v>
      </c>
    </row>
    <row r="101" spans="1:35" ht="15" hidden="1" customHeight="1" x14ac:dyDescent="0.25">
      <c r="A101" s="489"/>
      <c r="B101" s="512"/>
      <c r="C101" s="515"/>
      <c r="D101" s="45" t="s">
        <v>611</v>
      </c>
      <c r="E101" s="4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121</v>
      </c>
      <c r="AI101" s="186">
        <v>18</v>
      </c>
    </row>
    <row r="102" spans="1:35" ht="15.75" hidden="1" customHeight="1" x14ac:dyDescent="0.25">
      <c r="A102" s="489"/>
      <c r="B102" s="512"/>
      <c r="C102" s="515"/>
      <c r="D102" s="45" t="s">
        <v>611</v>
      </c>
      <c r="E102" s="4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121</v>
      </c>
      <c r="AI102" s="186">
        <v>18</v>
      </c>
    </row>
    <row r="103" spans="1:35" ht="15.75" hidden="1" customHeight="1" thickBot="1" x14ac:dyDescent="0.3">
      <c r="A103" s="490"/>
      <c r="B103" s="513"/>
      <c r="C103" s="516"/>
      <c r="D103" s="47" t="s">
        <v>611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121</v>
      </c>
      <c r="AI103" s="187">
        <v>18</v>
      </c>
    </row>
    <row r="104" spans="1:35" ht="15" customHeight="1" x14ac:dyDescent="0.25">
      <c r="A104" s="488">
        <v>20</v>
      </c>
      <c r="B104" s="511">
        <v>20</v>
      </c>
      <c r="C104" s="514" t="s">
        <v>394</v>
      </c>
      <c r="D104" s="43" t="s">
        <v>394</v>
      </c>
      <c r="E104" s="44" t="s">
        <v>26</v>
      </c>
      <c r="F104" s="223">
        <v>4</v>
      </c>
      <c r="G104" s="236">
        <v>5</v>
      </c>
      <c r="H104" s="222">
        <v>4</v>
      </c>
      <c r="I104" s="222">
        <v>3</v>
      </c>
      <c r="J104" s="222">
        <v>3</v>
      </c>
      <c r="K104" s="222">
        <v>5</v>
      </c>
      <c r="L104" s="222">
        <v>3</v>
      </c>
      <c r="M104" s="222">
        <v>3</v>
      </c>
      <c r="N104" s="222">
        <v>4</v>
      </c>
      <c r="O104" s="238">
        <v>5</v>
      </c>
      <c r="P104" s="222">
        <v>3</v>
      </c>
      <c r="Q104" s="238">
        <v>6</v>
      </c>
      <c r="R104" s="222">
        <v>4</v>
      </c>
      <c r="S104" s="240">
        <v>2</v>
      </c>
      <c r="T104" s="236">
        <v>4</v>
      </c>
      <c r="U104" s="236">
        <v>4</v>
      </c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62</v>
      </c>
      <c r="AH104" s="185">
        <v>62</v>
      </c>
      <c r="AI104" s="185">
        <v>19</v>
      </c>
    </row>
    <row r="105" spans="1:35" ht="15" customHeight="1" thickBot="1" x14ac:dyDescent="0.3">
      <c r="A105" s="489"/>
      <c r="B105" s="512"/>
      <c r="C105" s="515"/>
      <c r="D105" s="45" t="s">
        <v>394</v>
      </c>
      <c r="E105" s="46" t="s">
        <v>27</v>
      </c>
      <c r="F105" s="224">
        <v>4</v>
      </c>
      <c r="G105" s="225">
        <v>4</v>
      </c>
      <c r="H105" s="237">
        <v>5</v>
      </c>
      <c r="I105" s="225">
        <v>3</v>
      </c>
      <c r="J105" s="237">
        <v>4</v>
      </c>
      <c r="K105" s="225">
        <v>5</v>
      </c>
      <c r="L105" s="225">
        <v>3</v>
      </c>
      <c r="M105" s="235">
        <v>2</v>
      </c>
      <c r="N105" s="225">
        <v>4</v>
      </c>
      <c r="O105" s="225">
        <v>3</v>
      </c>
      <c r="P105" s="237">
        <v>4</v>
      </c>
      <c r="Q105" s="225">
        <v>4</v>
      </c>
      <c r="R105" s="237">
        <v>5</v>
      </c>
      <c r="S105" s="237">
        <v>4</v>
      </c>
      <c r="T105" s="237">
        <v>4</v>
      </c>
      <c r="U105" s="235">
        <v>2</v>
      </c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60</v>
      </c>
      <c r="AH105" s="186">
        <v>122</v>
      </c>
      <c r="AI105" s="186">
        <v>20</v>
      </c>
    </row>
    <row r="106" spans="1:35" ht="15" hidden="1" customHeight="1" x14ac:dyDescent="0.25">
      <c r="A106" s="489"/>
      <c r="B106" s="512"/>
      <c r="C106" s="515"/>
      <c r="D106" s="45" t="s">
        <v>394</v>
      </c>
      <c r="E106" s="4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122</v>
      </c>
      <c r="AI106" s="186">
        <v>20</v>
      </c>
    </row>
    <row r="107" spans="1:35" ht="15.75" hidden="1" customHeight="1" x14ac:dyDescent="0.25">
      <c r="A107" s="489"/>
      <c r="B107" s="512"/>
      <c r="C107" s="515"/>
      <c r="D107" s="45" t="s">
        <v>394</v>
      </c>
      <c r="E107" s="4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122</v>
      </c>
      <c r="AI107" s="186">
        <v>20</v>
      </c>
    </row>
    <row r="108" spans="1:35" ht="15.75" hidden="1" customHeight="1" thickBot="1" x14ac:dyDescent="0.3">
      <c r="A108" s="490"/>
      <c r="B108" s="513"/>
      <c r="C108" s="516"/>
      <c r="D108" s="47" t="s">
        <v>394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122</v>
      </c>
      <c r="AI108" s="187">
        <v>20</v>
      </c>
    </row>
    <row r="109" spans="1:35" ht="15" customHeight="1" x14ac:dyDescent="0.25">
      <c r="A109" s="488">
        <v>21</v>
      </c>
      <c r="B109" s="511">
        <v>20</v>
      </c>
      <c r="C109" s="514" t="s">
        <v>784</v>
      </c>
      <c r="D109" s="43" t="s">
        <v>784</v>
      </c>
      <c r="E109" s="44" t="s">
        <v>26</v>
      </c>
      <c r="F109" s="223">
        <v>4</v>
      </c>
      <c r="G109" s="222">
        <v>4</v>
      </c>
      <c r="H109" s="236">
        <v>5</v>
      </c>
      <c r="I109" s="222">
        <v>3</v>
      </c>
      <c r="J109" s="222">
        <v>3</v>
      </c>
      <c r="K109" s="236">
        <v>6</v>
      </c>
      <c r="L109" s="222">
        <v>3</v>
      </c>
      <c r="M109" s="222">
        <v>3</v>
      </c>
      <c r="N109" s="222">
        <v>4</v>
      </c>
      <c r="O109" s="238">
        <v>5</v>
      </c>
      <c r="P109" s="222">
        <v>3</v>
      </c>
      <c r="Q109" s="222">
        <v>4</v>
      </c>
      <c r="R109" s="236">
        <v>5</v>
      </c>
      <c r="S109" s="238">
        <v>5</v>
      </c>
      <c r="T109" s="236">
        <v>4</v>
      </c>
      <c r="U109" s="222">
        <v>3</v>
      </c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64</v>
      </c>
      <c r="AH109" s="185">
        <v>64</v>
      </c>
      <c r="AI109" s="185">
        <v>27</v>
      </c>
    </row>
    <row r="110" spans="1:35" ht="15" customHeight="1" thickBot="1" x14ac:dyDescent="0.3">
      <c r="A110" s="489"/>
      <c r="B110" s="512"/>
      <c r="C110" s="515"/>
      <c r="D110" s="45" t="s">
        <v>784</v>
      </c>
      <c r="E110" s="46" t="s">
        <v>27</v>
      </c>
      <c r="F110" s="224">
        <v>4</v>
      </c>
      <c r="G110" s="237">
        <v>5</v>
      </c>
      <c r="H110" s="225">
        <v>4</v>
      </c>
      <c r="I110" s="225">
        <v>3</v>
      </c>
      <c r="J110" s="225">
        <v>3</v>
      </c>
      <c r="K110" s="225">
        <v>5</v>
      </c>
      <c r="L110" s="235">
        <v>2</v>
      </c>
      <c r="M110" s="235">
        <v>2</v>
      </c>
      <c r="N110" s="237">
        <v>5</v>
      </c>
      <c r="O110" s="225">
        <v>3</v>
      </c>
      <c r="P110" s="235">
        <v>2</v>
      </c>
      <c r="Q110" s="239">
        <v>8</v>
      </c>
      <c r="R110" s="225">
        <v>4</v>
      </c>
      <c r="S110" s="235">
        <v>2</v>
      </c>
      <c r="T110" s="225">
        <v>3</v>
      </c>
      <c r="U110" s="225">
        <v>3</v>
      </c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58</v>
      </c>
      <c r="AH110" s="186">
        <v>122</v>
      </c>
      <c r="AI110" s="186">
        <v>20</v>
      </c>
    </row>
    <row r="111" spans="1:35" ht="15" hidden="1" customHeight="1" x14ac:dyDescent="0.25">
      <c r="A111" s="489"/>
      <c r="B111" s="512"/>
      <c r="C111" s="515"/>
      <c r="D111" s="45" t="s">
        <v>784</v>
      </c>
      <c r="E111" s="4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122</v>
      </c>
      <c r="AI111" s="186">
        <v>20</v>
      </c>
    </row>
    <row r="112" spans="1:35" ht="15.75" hidden="1" customHeight="1" x14ac:dyDescent="0.25">
      <c r="A112" s="489"/>
      <c r="B112" s="512"/>
      <c r="C112" s="515"/>
      <c r="D112" s="45" t="s">
        <v>784</v>
      </c>
      <c r="E112" s="4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122</v>
      </c>
      <c r="AI112" s="186">
        <v>20</v>
      </c>
    </row>
    <row r="113" spans="1:35" ht="15.75" hidden="1" customHeight="1" thickBot="1" x14ac:dyDescent="0.3">
      <c r="A113" s="490"/>
      <c r="B113" s="513"/>
      <c r="C113" s="516"/>
      <c r="D113" s="47" t="s">
        <v>784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122</v>
      </c>
      <c r="AI113" s="187">
        <v>20</v>
      </c>
    </row>
    <row r="114" spans="1:35" ht="15" customHeight="1" x14ac:dyDescent="0.25">
      <c r="A114" s="488">
        <v>22</v>
      </c>
      <c r="B114" s="511">
        <v>22</v>
      </c>
      <c r="C114" s="514" t="s">
        <v>588</v>
      </c>
      <c r="D114" s="43" t="s">
        <v>588</v>
      </c>
      <c r="E114" s="44" t="s">
        <v>26</v>
      </c>
      <c r="F114" s="391">
        <v>3</v>
      </c>
      <c r="G114" s="236">
        <v>5</v>
      </c>
      <c r="H114" s="236">
        <v>5</v>
      </c>
      <c r="I114" s="222">
        <v>3</v>
      </c>
      <c r="J114" s="222">
        <v>3</v>
      </c>
      <c r="K114" s="222">
        <v>5</v>
      </c>
      <c r="L114" s="222">
        <v>3</v>
      </c>
      <c r="M114" s="222">
        <v>3</v>
      </c>
      <c r="N114" s="222">
        <v>4</v>
      </c>
      <c r="O114" s="222">
        <v>3</v>
      </c>
      <c r="P114" s="240">
        <v>2</v>
      </c>
      <c r="Q114" s="222">
        <v>4</v>
      </c>
      <c r="R114" s="236">
        <v>5</v>
      </c>
      <c r="S114" s="222">
        <v>3</v>
      </c>
      <c r="T114" s="222">
        <v>3</v>
      </c>
      <c r="U114" s="236">
        <v>4</v>
      </c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58</v>
      </c>
      <c r="AH114" s="185">
        <v>58</v>
      </c>
      <c r="AI114" s="185">
        <v>14</v>
      </c>
    </row>
    <row r="115" spans="1:35" ht="15" customHeight="1" thickBot="1" x14ac:dyDescent="0.3">
      <c r="A115" s="489"/>
      <c r="B115" s="512"/>
      <c r="C115" s="515"/>
      <c r="D115" s="45" t="s">
        <v>588</v>
      </c>
      <c r="E115" s="46" t="s">
        <v>27</v>
      </c>
      <c r="F115" s="390">
        <v>3</v>
      </c>
      <c r="G115" s="239">
        <v>6</v>
      </c>
      <c r="H115" s="237">
        <v>5</v>
      </c>
      <c r="I115" s="239">
        <v>5</v>
      </c>
      <c r="J115" s="225">
        <v>3</v>
      </c>
      <c r="K115" s="237">
        <v>6</v>
      </c>
      <c r="L115" s="239">
        <v>5</v>
      </c>
      <c r="M115" s="237">
        <v>4</v>
      </c>
      <c r="N115" s="237">
        <v>5</v>
      </c>
      <c r="O115" s="239">
        <v>5</v>
      </c>
      <c r="P115" s="225">
        <v>3</v>
      </c>
      <c r="Q115" s="225">
        <v>4</v>
      </c>
      <c r="R115" s="225">
        <v>4</v>
      </c>
      <c r="S115" s="235">
        <v>2</v>
      </c>
      <c r="T115" s="237">
        <v>4</v>
      </c>
      <c r="U115" s="235">
        <v>2</v>
      </c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66</v>
      </c>
      <c r="AH115" s="186">
        <v>124</v>
      </c>
      <c r="AI115" s="186">
        <v>22</v>
      </c>
    </row>
    <row r="116" spans="1:35" ht="15" hidden="1" customHeight="1" x14ac:dyDescent="0.25">
      <c r="A116" s="489"/>
      <c r="B116" s="512"/>
      <c r="C116" s="515"/>
      <c r="D116" s="45" t="s">
        <v>588</v>
      </c>
      <c r="E116" s="4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124</v>
      </c>
      <c r="AI116" s="186">
        <v>22</v>
      </c>
    </row>
    <row r="117" spans="1:35" ht="15.75" hidden="1" customHeight="1" x14ac:dyDescent="0.25">
      <c r="A117" s="489"/>
      <c r="B117" s="512"/>
      <c r="C117" s="515"/>
      <c r="D117" s="45" t="s">
        <v>588</v>
      </c>
      <c r="E117" s="4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124</v>
      </c>
      <c r="AI117" s="186">
        <v>22</v>
      </c>
    </row>
    <row r="118" spans="1:35" ht="15.75" hidden="1" customHeight="1" thickBot="1" x14ac:dyDescent="0.3">
      <c r="A118" s="490"/>
      <c r="B118" s="513"/>
      <c r="C118" s="516"/>
      <c r="D118" s="47" t="s">
        <v>588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124</v>
      </c>
      <c r="AI118" s="187">
        <v>22</v>
      </c>
    </row>
    <row r="119" spans="1:35" ht="15" customHeight="1" x14ac:dyDescent="0.25">
      <c r="A119" s="488">
        <v>23</v>
      </c>
      <c r="B119" s="511">
        <v>22</v>
      </c>
      <c r="C119" s="514" t="s">
        <v>15</v>
      </c>
      <c r="D119" s="43" t="s">
        <v>15</v>
      </c>
      <c r="E119" s="44" t="s">
        <v>26</v>
      </c>
      <c r="F119" s="223">
        <v>4</v>
      </c>
      <c r="G119" s="222">
        <v>4</v>
      </c>
      <c r="H119" s="238">
        <v>6</v>
      </c>
      <c r="I119" s="222">
        <v>3</v>
      </c>
      <c r="J119" s="222">
        <v>3</v>
      </c>
      <c r="K119" s="236">
        <v>6</v>
      </c>
      <c r="L119" s="236">
        <v>4</v>
      </c>
      <c r="M119" s="240">
        <v>2</v>
      </c>
      <c r="N119" s="238">
        <v>6</v>
      </c>
      <c r="O119" s="222">
        <v>3</v>
      </c>
      <c r="P119" s="222">
        <v>3</v>
      </c>
      <c r="Q119" s="222">
        <v>4</v>
      </c>
      <c r="R119" s="236">
        <v>5</v>
      </c>
      <c r="S119" s="240">
        <v>2</v>
      </c>
      <c r="T119" s="236">
        <v>4</v>
      </c>
      <c r="U119" s="236">
        <v>4</v>
      </c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63</v>
      </c>
      <c r="AH119" s="185">
        <v>63</v>
      </c>
      <c r="AI119" s="185">
        <v>23</v>
      </c>
    </row>
    <row r="120" spans="1:35" ht="15" customHeight="1" thickBot="1" x14ac:dyDescent="0.3">
      <c r="A120" s="489"/>
      <c r="B120" s="512"/>
      <c r="C120" s="515"/>
      <c r="D120" s="45" t="s">
        <v>15</v>
      </c>
      <c r="E120" s="46" t="s">
        <v>27</v>
      </c>
      <c r="F120" s="224">
        <v>4</v>
      </c>
      <c r="G120" s="225">
        <v>4</v>
      </c>
      <c r="H120" s="225">
        <v>4</v>
      </c>
      <c r="I120" s="225">
        <v>3</v>
      </c>
      <c r="J120" s="225">
        <v>3</v>
      </c>
      <c r="K120" s="225">
        <v>5</v>
      </c>
      <c r="L120" s="225">
        <v>3</v>
      </c>
      <c r="M120" s="225">
        <v>3</v>
      </c>
      <c r="N120" s="237">
        <v>5</v>
      </c>
      <c r="O120" s="237">
        <v>4</v>
      </c>
      <c r="P120" s="225">
        <v>3</v>
      </c>
      <c r="Q120" s="237">
        <v>5</v>
      </c>
      <c r="R120" s="235">
        <v>3</v>
      </c>
      <c r="S120" s="237">
        <v>4</v>
      </c>
      <c r="T120" s="237">
        <v>4</v>
      </c>
      <c r="U120" s="237">
        <v>4</v>
      </c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61</v>
      </c>
      <c r="AH120" s="186">
        <v>124</v>
      </c>
      <c r="AI120" s="186">
        <v>22</v>
      </c>
    </row>
    <row r="121" spans="1:35" ht="15" hidden="1" customHeight="1" x14ac:dyDescent="0.25">
      <c r="A121" s="489"/>
      <c r="B121" s="512"/>
      <c r="C121" s="515"/>
      <c r="D121" s="45" t="s">
        <v>15</v>
      </c>
      <c r="E121" s="4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124</v>
      </c>
      <c r="AI121" s="186">
        <v>22</v>
      </c>
    </row>
    <row r="122" spans="1:35" ht="15.75" hidden="1" customHeight="1" x14ac:dyDescent="0.25">
      <c r="A122" s="489"/>
      <c r="B122" s="512"/>
      <c r="C122" s="515"/>
      <c r="D122" s="45" t="s">
        <v>15</v>
      </c>
      <c r="E122" s="4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124</v>
      </c>
      <c r="AI122" s="186">
        <v>22</v>
      </c>
    </row>
    <row r="123" spans="1:35" ht="15.75" hidden="1" customHeight="1" thickBot="1" x14ac:dyDescent="0.3">
      <c r="A123" s="490"/>
      <c r="B123" s="513"/>
      <c r="C123" s="516"/>
      <c r="D123" s="47" t="s">
        <v>15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124</v>
      </c>
      <c r="AI123" s="187">
        <v>22</v>
      </c>
    </row>
    <row r="124" spans="1:35" ht="15" customHeight="1" x14ac:dyDescent="0.25">
      <c r="A124" s="488">
        <v>24</v>
      </c>
      <c r="B124" s="511">
        <v>22</v>
      </c>
      <c r="C124" s="514" t="s">
        <v>778</v>
      </c>
      <c r="D124" s="43" t="s">
        <v>778</v>
      </c>
      <c r="E124" s="44" t="s">
        <v>26</v>
      </c>
      <c r="F124" s="223">
        <v>4</v>
      </c>
      <c r="G124" s="240">
        <v>3</v>
      </c>
      <c r="H124" s="236">
        <v>5</v>
      </c>
      <c r="I124" s="222">
        <v>3</v>
      </c>
      <c r="J124" s="222">
        <v>3</v>
      </c>
      <c r="K124" s="222">
        <v>5</v>
      </c>
      <c r="L124" s="222">
        <v>3</v>
      </c>
      <c r="M124" s="236">
        <v>4</v>
      </c>
      <c r="N124" s="222">
        <v>4</v>
      </c>
      <c r="O124" s="222">
        <v>3</v>
      </c>
      <c r="P124" s="222">
        <v>3</v>
      </c>
      <c r="Q124" s="236">
        <v>5</v>
      </c>
      <c r="R124" s="222">
        <v>4</v>
      </c>
      <c r="S124" s="238">
        <v>5</v>
      </c>
      <c r="T124" s="238">
        <v>5</v>
      </c>
      <c r="U124" s="240">
        <v>2</v>
      </c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61</v>
      </c>
      <c r="AH124" s="185">
        <v>61</v>
      </c>
      <c r="AI124" s="185">
        <v>18</v>
      </c>
    </row>
    <row r="125" spans="1:35" ht="15" customHeight="1" thickBot="1" x14ac:dyDescent="0.3">
      <c r="A125" s="489"/>
      <c r="B125" s="512"/>
      <c r="C125" s="515"/>
      <c r="D125" s="45" t="s">
        <v>778</v>
      </c>
      <c r="E125" s="46" t="s">
        <v>27</v>
      </c>
      <c r="F125" s="357">
        <v>5</v>
      </c>
      <c r="G125" s="225">
        <v>4</v>
      </c>
      <c r="H125" s="237">
        <v>5</v>
      </c>
      <c r="I125" s="235">
        <v>2</v>
      </c>
      <c r="J125" s="237">
        <v>4</v>
      </c>
      <c r="K125" s="225">
        <v>5</v>
      </c>
      <c r="L125" s="225">
        <v>3</v>
      </c>
      <c r="M125" s="225">
        <v>3</v>
      </c>
      <c r="N125" s="225">
        <v>4</v>
      </c>
      <c r="O125" s="225">
        <v>3</v>
      </c>
      <c r="P125" s="225">
        <v>3</v>
      </c>
      <c r="Q125" s="237">
        <v>5</v>
      </c>
      <c r="R125" s="237">
        <v>5</v>
      </c>
      <c r="S125" s="237">
        <v>4</v>
      </c>
      <c r="T125" s="239">
        <v>5</v>
      </c>
      <c r="U125" s="225">
        <v>3</v>
      </c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63</v>
      </c>
      <c r="AH125" s="186">
        <v>124</v>
      </c>
      <c r="AI125" s="186">
        <v>22</v>
      </c>
    </row>
    <row r="126" spans="1:35" ht="15" hidden="1" customHeight="1" x14ac:dyDescent="0.25">
      <c r="A126" s="489"/>
      <c r="B126" s="512"/>
      <c r="C126" s="515"/>
      <c r="D126" s="45" t="s">
        <v>778</v>
      </c>
      <c r="E126" s="4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124</v>
      </c>
      <c r="AI126" s="186">
        <v>22</v>
      </c>
    </row>
    <row r="127" spans="1:35" ht="15.75" hidden="1" customHeight="1" x14ac:dyDescent="0.25">
      <c r="A127" s="489"/>
      <c r="B127" s="512"/>
      <c r="C127" s="515"/>
      <c r="D127" s="45" t="s">
        <v>778</v>
      </c>
      <c r="E127" s="4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124</v>
      </c>
      <c r="AI127" s="186">
        <v>22</v>
      </c>
    </row>
    <row r="128" spans="1:35" ht="15.75" hidden="1" customHeight="1" thickBot="1" x14ac:dyDescent="0.3">
      <c r="A128" s="490"/>
      <c r="B128" s="513"/>
      <c r="C128" s="516"/>
      <c r="D128" s="47" t="s">
        <v>778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124</v>
      </c>
      <c r="AI128" s="187">
        <v>22</v>
      </c>
    </row>
    <row r="129" spans="1:35" ht="15" customHeight="1" x14ac:dyDescent="0.25">
      <c r="A129" s="488">
        <v>25</v>
      </c>
      <c r="B129" s="511">
        <v>25</v>
      </c>
      <c r="C129" s="514" t="s">
        <v>774</v>
      </c>
      <c r="D129" s="43" t="s">
        <v>774</v>
      </c>
      <c r="E129" s="44" t="s">
        <v>26</v>
      </c>
      <c r="F129" s="223">
        <v>4</v>
      </c>
      <c r="G129" s="236">
        <v>5</v>
      </c>
      <c r="H129" s="222">
        <v>4</v>
      </c>
      <c r="I129" s="222">
        <v>3</v>
      </c>
      <c r="J129" s="222">
        <v>3</v>
      </c>
      <c r="K129" s="222">
        <v>5</v>
      </c>
      <c r="L129" s="222">
        <v>3</v>
      </c>
      <c r="M129" s="222">
        <v>3</v>
      </c>
      <c r="N129" s="236">
        <v>5</v>
      </c>
      <c r="O129" s="236">
        <v>4</v>
      </c>
      <c r="P129" s="222">
        <v>3</v>
      </c>
      <c r="Q129" s="236">
        <v>5</v>
      </c>
      <c r="R129" s="222">
        <v>4</v>
      </c>
      <c r="S129" s="236">
        <v>4</v>
      </c>
      <c r="T129" s="222">
        <v>3</v>
      </c>
      <c r="U129" s="236">
        <v>4</v>
      </c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19</v>
      </c>
    </row>
    <row r="130" spans="1:35" ht="15" customHeight="1" thickBot="1" x14ac:dyDescent="0.3">
      <c r="A130" s="489"/>
      <c r="B130" s="512"/>
      <c r="C130" s="515"/>
      <c r="D130" s="45" t="s">
        <v>774</v>
      </c>
      <c r="E130" s="46" t="s">
        <v>27</v>
      </c>
      <c r="F130" s="392">
        <v>6</v>
      </c>
      <c r="G130" s="225">
        <v>4</v>
      </c>
      <c r="H130" s="239">
        <v>6</v>
      </c>
      <c r="I130" s="225">
        <v>3</v>
      </c>
      <c r="J130" s="237">
        <v>4</v>
      </c>
      <c r="K130" s="239">
        <v>7</v>
      </c>
      <c r="L130" s="237">
        <v>4</v>
      </c>
      <c r="M130" s="225">
        <v>3</v>
      </c>
      <c r="N130" s="237">
        <v>5</v>
      </c>
      <c r="O130" s="225">
        <v>3</v>
      </c>
      <c r="P130" s="225">
        <v>3</v>
      </c>
      <c r="Q130" s="225">
        <v>4</v>
      </c>
      <c r="R130" s="237">
        <v>5</v>
      </c>
      <c r="S130" s="235">
        <v>2</v>
      </c>
      <c r="T130" s="225">
        <v>3</v>
      </c>
      <c r="U130" s="225">
        <v>3</v>
      </c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65</v>
      </c>
      <c r="AH130" s="186">
        <v>127</v>
      </c>
      <c r="AI130" s="186">
        <v>25</v>
      </c>
    </row>
    <row r="131" spans="1:35" ht="15" hidden="1" customHeight="1" x14ac:dyDescent="0.25">
      <c r="A131" s="489"/>
      <c r="B131" s="512"/>
      <c r="C131" s="515"/>
      <c r="D131" s="45" t="s">
        <v>774</v>
      </c>
      <c r="E131" s="4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127</v>
      </c>
      <c r="AI131" s="186">
        <v>25</v>
      </c>
    </row>
    <row r="132" spans="1:35" ht="15.75" hidden="1" customHeight="1" x14ac:dyDescent="0.25">
      <c r="A132" s="489"/>
      <c r="B132" s="512"/>
      <c r="C132" s="515"/>
      <c r="D132" s="45" t="s">
        <v>774</v>
      </c>
      <c r="E132" s="4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127</v>
      </c>
      <c r="AI132" s="186">
        <v>25</v>
      </c>
    </row>
    <row r="133" spans="1:35" ht="15.75" hidden="1" customHeight="1" thickBot="1" x14ac:dyDescent="0.3">
      <c r="A133" s="490"/>
      <c r="B133" s="513"/>
      <c r="C133" s="516"/>
      <c r="D133" s="47" t="s">
        <v>774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127</v>
      </c>
      <c r="AI133" s="187">
        <v>25</v>
      </c>
    </row>
    <row r="134" spans="1:35" ht="15" customHeight="1" x14ac:dyDescent="0.25">
      <c r="A134" s="488">
        <v>26</v>
      </c>
      <c r="B134" s="511">
        <v>25</v>
      </c>
      <c r="C134" s="514" t="s">
        <v>623</v>
      </c>
      <c r="D134" s="43" t="s">
        <v>623</v>
      </c>
      <c r="E134" s="44" t="s">
        <v>26</v>
      </c>
      <c r="F134" s="223">
        <v>4</v>
      </c>
      <c r="G134" s="222">
        <v>4</v>
      </c>
      <c r="H134" s="222">
        <v>4</v>
      </c>
      <c r="I134" s="222">
        <v>3</v>
      </c>
      <c r="J134" s="236">
        <v>4</v>
      </c>
      <c r="K134" s="222">
        <v>5</v>
      </c>
      <c r="L134" s="222">
        <v>3</v>
      </c>
      <c r="M134" s="222">
        <v>3</v>
      </c>
      <c r="N134" s="236">
        <v>5</v>
      </c>
      <c r="O134" s="222">
        <v>3</v>
      </c>
      <c r="P134" s="222">
        <v>3</v>
      </c>
      <c r="Q134" s="238">
        <v>7</v>
      </c>
      <c r="R134" s="222">
        <v>4</v>
      </c>
      <c r="S134" s="222">
        <v>3</v>
      </c>
      <c r="T134" s="222">
        <v>3</v>
      </c>
      <c r="U134" s="238">
        <v>5</v>
      </c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63</v>
      </c>
      <c r="AH134" s="185">
        <v>63</v>
      </c>
      <c r="AI134" s="185">
        <v>23</v>
      </c>
    </row>
    <row r="135" spans="1:35" ht="15" customHeight="1" thickBot="1" x14ac:dyDescent="0.3">
      <c r="A135" s="489"/>
      <c r="B135" s="512"/>
      <c r="C135" s="515"/>
      <c r="D135" s="45" t="s">
        <v>623</v>
      </c>
      <c r="E135" s="46" t="s">
        <v>27</v>
      </c>
      <c r="F135" s="224">
        <v>4</v>
      </c>
      <c r="G135" s="237">
        <v>5</v>
      </c>
      <c r="H135" s="239">
        <v>6</v>
      </c>
      <c r="I135" s="225">
        <v>3</v>
      </c>
      <c r="J135" s="225">
        <v>3</v>
      </c>
      <c r="K135" s="237">
        <v>6</v>
      </c>
      <c r="L135" s="225">
        <v>3</v>
      </c>
      <c r="M135" s="225">
        <v>3</v>
      </c>
      <c r="N135" s="237">
        <v>5</v>
      </c>
      <c r="O135" s="237">
        <v>4</v>
      </c>
      <c r="P135" s="225">
        <v>3</v>
      </c>
      <c r="Q135" s="239">
        <v>6</v>
      </c>
      <c r="R135" s="225">
        <v>4</v>
      </c>
      <c r="S135" s="225">
        <v>3</v>
      </c>
      <c r="T135" s="225">
        <v>3</v>
      </c>
      <c r="U135" s="225">
        <v>3</v>
      </c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64</v>
      </c>
      <c r="AH135" s="186">
        <v>127</v>
      </c>
      <c r="AI135" s="186">
        <v>25</v>
      </c>
    </row>
    <row r="136" spans="1:35" ht="15" hidden="1" customHeight="1" x14ac:dyDescent="0.25">
      <c r="A136" s="489"/>
      <c r="B136" s="512"/>
      <c r="C136" s="515"/>
      <c r="D136" s="45" t="s">
        <v>623</v>
      </c>
      <c r="E136" s="4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127</v>
      </c>
      <c r="AI136" s="186">
        <v>25</v>
      </c>
    </row>
    <row r="137" spans="1:35" ht="15.75" hidden="1" customHeight="1" x14ac:dyDescent="0.25">
      <c r="A137" s="489"/>
      <c r="B137" s="512"/>
      <c r="C137" s="515"/>
      <c r="D137" s="45" t="s">
        <v>623</v>
      </c>
      <c r="E137" s="4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127</v>
      </c>
      <c r="AI137" s="186">
        <v>25</v>
      </c>
    </row>
    <row r="138" spans="1:35" ht="15.75" hidden="1" customHeight="1" thickBot="1" x14ac:dyDescent="0.3">
      <c r="A138" s="490"/>
      <c r="B138" s="513"/>
      <c r="C138" s="516"/>
      <c r="D138" s="47" t="s">
        <v>623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127</v>
      </c>
      <c r="AI138" s="187">
        <v>25</v>
      </c>
    </row>
    <row r="139" spans="1:35" ht="15" customHeight="1" x14ac:dyDescent="0.25">
      <c r="A139" s="488">
        <v>27</v>
      </c>
      <c r="B139" s="511">
        <v>25</v>
      </c>
      <c r="C139" s="514" t="s">
        <v>405</v>
      </c>
      <c r="D139" s="43" t="s">
        <v>405</v>
      </c>
      <c r="E139" s="44" t="s">
        <v>26</v>
      </c>
      <c r="F139" s="391">
        <v>3</v>
      </c>
      <c r="G139" s="222">
        <v>4</v>
      </c>
      <c r="H139" s="238">
        <v>6</v>
      </c>
      <c r="I139" s="236">
        <v>4</v>
      </c>
      <c r="J139" s="222">
        <v>3</v>
      </c>
      <c r="K139" s="240">
        <v>4</v>
      </c>
      <c r="L139" s="238">
        <v>5</v>
      </c>
      <c r="M139" s="240">
        <v>2</v>
      </c>
      <c r="N139" s="236">
        <v>5</v>
      </c>
      <c r="O139" s="236">
        <v>4</v>
      </c>
      <c r="P139" s="222">
        <v>3</v>
      </c>
      <c r="Q139" s="238">
        <v>7</v>
      </c>
      <c r="R139" s="222">
        <v>4</v>
      </c>
      <c r="S139" s="238">
        <v>5</v>
      </c>
      <c r="T139" s="222">
        <v>3</v>
      </c>
      <c r="U139" s="236">
        <v>4</v>
      </c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66</v>
      </c>
      <c r="AH139" s="185">
        <v>66</v>
      </c>
      <c r="AI139" s="185">
        <v>31</v>
      </c>
    </row>
    <row r="140" spans="1:35" ht="15" customHeight="1" thickBot="1" x14ac:dyDescent="0.3">
      <c r="A140" s="489"/>
      <c r="B140" s="512"/>
      <c r="C140" s="515"/>
      <c r="D140" s="45" t="s">
        <v>405</v>
      </c>
      <c r="E140" s="46" t="s">
        <v>27</v>
      </c>
      <c r="F140" s="390">
        <v>3</v>
      </c>
      <c r="G140" s="225">
        <v>4</v>
      </c>
      <c r="H140" s="235">
        <v>3</v>
      </c>
      <c r="I140" s="235">
        <v>2</v>
      </c>
      <c r="J140" s="225">
        <v>3</v>
      </c>
      <c r="K140" s="225">
        <v>5</v>
      </c>
      <c r="L140" s="239">
        <v>5</v>
      </c>
      <c r="M140" s="225">
        <v>3</v>
      </c>
      <c r="N140" s="235">
        <v>3</v>
      </c>
      <c r="O140" s="225">
        <v>3</v>
      </c>
      <c r="P140" s="235">
        <v>2</v>
      </c>
      <c r="Q140" s="239">
        <v>8</v>
      </c>
      <c r="R140" s="239">
        <v>6</v>
      </c>
      <c r="S140" s="237">
        <v>4</v>
      </c>
      <c r="T140" s="239">
        <v>5</v>
      </c>
      <c r="U140" s="235">
        <v>2</v>
      </c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61</v>
      </c>
      <c r="AH140" s="186">
        <v>127</v>
      </c>
      <c r="AI140" s="186">
        <v>25</v>
      </c>
    </row>
    <row r="141" spans="1:35" ht="15" hidden="1" customHeight="1" x14ac:dyDescent="0.25">
      <c r="A141" s="489"/>
      <c r="B141" s="512"/>
      <c r="C141" s="515"/>
      <c r="D141" s="45" t="s">
        <v>405</v>
      </c>
      <c r="E141" s="4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127</v>
      </c>
      <c r="AI141" s="186">
        <v>25</v>
      </c>
    </row>
    <row r="142" spans="1:35" ht="15.75" hidden="1" customHeight="1" x14ac:dyDescent="0.25">
      <c r="A142" s="489"/>
      <c r="B142" s="512"/>
      <c r="C142" s="515"/>
      <c r="D142" s="45" t="s">
        <v>405</v>
      </c>
      <c r="E142" s="4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127</v>
      </c>
      <c r="AI142" s="186">
        <v>25</v>
      </c>
    </row>
    <row r="143" spans="1:35" ht="15.75" hidden="1" customHeight="1" thickBot="1" x14ac:dyDescent="0.3">
      <c r="A143" s="490"/>
      <c r="B143" s="513"/>
      <c r="C143" s="516"/>
      <c r="D143" s="47" t="s">
        <v>405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127</v>
      </c>
      <c r="AI143" s="187">
        <v>25</v>
      </c>
    </row>
    <row r="144" spans="1:35" ht="15" customHeight="1" x14ac:dyDescent="0.25">
      <c r="A144" s="488">
        <v>28</v>
      </c>
      <c r="B144" s="511">
        <v>28</v>
      </c>
      <c r="C144" s="514" t="s">
        <v>782</v>
      </c>
      <c r="D144" s="43" t="s">
        <v>782</v>
      </c>
      <c r="E144" s="44" t="s">
        <v>26</v>
      </c>
      <c r="F144" s="389">
        <v>6</v>
      </c>
      <c r="G144" s="240">
        <v>3</v>
      </c>
      <c r="H144" s="238">
        <v>6</v>
      </c>
      <c r="I144" s="222">
        <v>3</v>
      </c>
      <c r="J144" s="222">
        <v>3</v>
      </c>
      <c r="K144" s="240">
        <v>4</v>
      </c>
      <c r="L144" s="222">
        <v>3</v>
      </c>
      <c r="M144" s="222">
        <v>3</v>
      </c>
      <c r="N144" s="236">
        <v>5</v>
      </c>
      <c r="O144" s="222">
        <v>3</v>
      </c>
      <c r="P144" s="222">
        <v>3</v>
      </c>
      <c r="Q144" s="236">
        <v>5</v>
      </c>
      <c r="R144" s="222">
        <v>4</v>
      </c>
      <c r="S144" s="238">
        <v>5</v>
      </c>
      <c r="T144" s="222">
        <v>3</v>
      </c>
      <c r="U144" s="222">
        <v>3</v>
      </c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62</v>
      </c>
      <c r="AH144" s="185">
        <v>62</v>
      </c>
      <c r="AI144" s="185">
        <v>19</v>
      </c>
    </row>
    <row r="145" spans="1:35" ht="15" customHeight="1" thickBot="1" x14ac:dyDescent="0.3">
      <c r="A145" s="489"/>
      <c r="B145" s="512"/>
      <c r="C145" s="515"/>
      <c r="D145" s="45" t="s">
        <v>782</v>
      </c>
      <c r="E145" s="46" t="s">
        <v>27</v>
      </c>
      <c r="F145" s="357">
        <v>5</v>
      </c>
      <c r="G145" s="239">
        <v>7</v>
      </c>
      <c r="H145" s="239">
        <v>6</v>
      </c>
      <c r="I145" s="235">
        <v>2</v>
      </c>
      <c r="J145" s="225">
        <v>3</v>
      </c>
      <c r="K145" s="225">
        <v>5</v>
      </c>
      <c r="L145" s="237">
        <v>4</v>
      </c>
      <c r="M145" s="237">
        <v>4</v>
      </c>
      <c r="N145" s="237">
        <v>5</v>
      </c>
      <c r="O145" s="237">
        <v>4</v>
      </c>
      <c r="P145" s="225">
        <v>3</v>
      </c>
      <c r="Q145" s="225">
        <v>4</v>
      </c>
      <c r="R145" s="235">
        <v>3</v>
      </c>
      <c r="S145" s="237">
        <v>4</v>
      </c>
      <c r="T145" s="237">
        <v>4</v>
      </c>
      <c r="U145" s="225">
        <v>3</v>
      </c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66</v>
      </c>
      <c r="AH145" s="186">
        <v>128</v>
      </c>
      <c r="AI145" s="186">
        <v>28</v>
      </c>
    </row>
    <row r="146" spans="1:35" ht="15" hidden="1" customHeight="1" x14ac:dyDescent="0.25">
      <c r="A146" s="489"/>
      <c r="B146" s="512"/>
      <c r="C146" s="515"/>
      <c r="D146" s="45" t="s">
        <v>782</v>
      </c>
      <c r="E146" s="4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128</v>
      </c>
      <c r="AI146" s="186">
        <v>28</v>
      </c>
    </row>
    <row r="147" spans="1:35" ht="15.75" hidden="1" customHeight="1" x14ac:dyDescent="0.25">
      <c r="A147" s="489"/>
      <c r="B147" s="512"/>
      <c r="C147" s="515"/>
      <c r="D147" s="45" t="s">
        <v>782</v>
      </c>
      <c r="E147" s="4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128</v>
      </c>
      <c r="AI147" s="186">
        <v>28</v>
      </c>
    </row>
    <row r="148" spans="1:35" ht="15.75" hidden="1" customHeight="1" thickBot="1" x14ac:dyDescent="0.3">
      <c r="A148" s="490"/>
      <c r="B148" s="513"/>
      <c r="C148" s="516"/>
      <c r="D148" s="47" t="s">
        <v>782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128</v>
      </c>
      <c r="AI148" s="187">
        <v>28</v>
      </c>
    </row>
    <row r="149" spans="1:35" ht="15" customHeight="1" x14ac:dyDescent="0.25">
      <c r="A149" s="488">
        <v>29</v>
      </c>
      <c r="B149" s="511">
        <v>29</v>
      </c>
      <c r="C149" s="514" t="s">
        <v>780</v>
      </c>
      <c r="D149" s="43" t="s">
        <v>780</v>
      </c>
      <c r="E149" s="44" t="s">
        <v>26</v>
      </c>
      <c r="F149" s="223">
        <v>4</v>
      </c>
      <c r="G149" s="222">
        <v>4</v>
      </c>
      <c r="H149" s="236">
        <v>5</v>
      </c>
      <c r="I149" s="236">
        <v>4</v>
      </c>
      <c r="J149" s="222">
        <v>3</v>
      </c>
      <c r="K149" s="222">
        <v>5</v>
      </c>
      <c r="L149" s="236">
        <v>4</v>
      </c>
      <c r="M149" s="222">
        <v>3</v>
      </c>
      <c r="N149" s="236">
        <v>5</v>
      </c>
      <c r="O149" s="222">
        <v>3</v>
      </c>
      <c r="P149" s="222">
        <v>3</v>
      </c>
      <c r="Q149" s="238">
        <v>6</v>
      </c>
      <c r="R149" s="238">
        <v>6</v>
      </c>
      <c r="S149" s="240">
        <v>2</v>
      </c>
      <c r="T149" s="236">
        <v>4</v>
      </c>
      <c r="U149" s="222">
        <v>3</v>
      </c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64</v>
      </c>
      <c r="AH149" s="185">
        <v>64</v>
      </c>
      <c r="AI149" s="185">
        <v>27</v>
      </c>
    </row>
    <row r="150" spans="1:35" ht="15" customHeight="1" thickBot="1" x14ac:dyDescent="0.3">
      <c r="A150" s="489"/>
      <c r="B150" s="512"/>
      <c r="C150" s="515"/>
      <c r="D150" s="45" t="s">
        <v>780</v>
      </c>
      <c r="E150" s="46" t="s">
        <v>27</v>
      </c>
      <c r="F150" s="224">
        <v>4</v>
      </c>
      <c r="G150" s="225">
        <v>4</v>
      </c>
      <c r="H150" s="237">
        <v>5</v>
      </c>
      <c r="I150" s="237">
        <v>4</v>
      </c>
      <c r="J150" s="225">
        <v>3</v>
      </c>
      <c r="K150" s="237">
        <v>6</v>
      </c>
      <c r="L150" s="225">
        <v>3</v>
      </c>
      <c r="M150" s="225">
        <v>3</v>
      </c>
      <c r="N150" s="237">
        <v>5</v>
      </c>
      <c r="O150" s="225">
        <v>3</v>
      </c>
      <c r="P150" s="225">
        <v>3</v>
      </c>
      <c r="Q150" s="239">
        <v>7</v>
      </c>
      <c r="R150" s="237">
        <v>5</v>
      </c>
      <c r="S150" s="237">
        <v>4</v>
      </c>
      <c r="T150" s="225">
        <v>3</v>
      </c>
      <c r="U150" s="225">
        <v>3</v>
      </c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65</v>
      </c>
      <c r="AH150" s="186">
        <v>129</v>
      </c>
      <c r="AI150" s="186">
        <v>29</v>
      </c>
    </row>
    <row r="151" spans="1:35" ht="15" hidden="1" customHeight="1" x14ac:dyDescent="0.25">
      <c r="A151" s="489"/>
      <c r="B151" s="512"/>
      <c r="C151" s="515"/>
      <c r="D151" s="45" t="s">
        <v>780</v>
      </c>
      <c r="E151" s="4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129</v>
      </c>
      <c r="AI151" s="186">
        <v>29</v>
      </c>
    </row>
    <row r="152" spans="1:35" ht="15.75" hidden="1" customHeight="1" x14ac:dyDescent="0.25">
      <c r="A152" s="489"/>
      <c r="B152" s="512"/>
      <c r="C152" s="515"/>
      <c r="D152" s="45" t="s">
        <v>780</v>
      </c>
      <c r="E152" s="4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129</v>
      </c>
      <c r="AI152" s="186">
        <v>29</v>
      </c>
    </row>
    <row r="153" spans="1:35" ht="15.75" hidden="1" customHeight="1" thickBot="1" x14ac:dyDescent="0.3">
      <c r="A153" s="490"/>
      <c r="B153" s="513"/>
      <c r="C153" s="516"/>
      <c r="D153" s="47" t="s">
        <v>780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129</v>
      </c>
      <c r="AI153" s="187">
        <v>29</v>
      </c>
    </row>
    <row r="154" spans="1:35" ht="15" customHeight="1" x14ac:dyDescent="0.25">
      <c r="A154" s="488">
        <v>30</v>
      </c>
      <c r="B154" s="511">
        <v>30</v>
      </c>
      <c r="C154" s="514" t="s">
        <v>766</v>
      </c>
      <c r="D154" s="43" t="s">
        <v>766</v>
      </c>
      <c r="E154" s="44" t="s">
        <v>26</v>
      </c>
      <c r="F154" s="356">
        <v>5</v>
      </c>
      <c r="G154" s="236">
        <v>5</v>
      </c>
      <c r="H154" s="238">
        <v>6</v>
      </c>
      <c r="I154" s="222">
        <v>3</v>
      </c>
      <c r="J154" s="236">
        <v>4</v>
      </c>
      <c r="K154" s="222">
        <v>5</v>
      </c>
      <c r="L154" s="222">
        <v>3</v>
      </c>
      <c r="M154" s="238">
        <v>6</v>
      </c>
      <c r="N154" s="236">
        <v>5</v>
      </c>
      <c r="O154" s="236">
        <v>4</v>
      </c>
      <c r="P154" s="222">
        <v>3</v>
      </c>
      <c r="Q154" s="222">
        <v>4</v>
      </c>
      <c r="R154" s="222">
        <v>4</v>
      </c>
      <c r="S154" s="236">
        <v>4</v>
      </c>
      <c r="T154" s="236">
        <v>4</v>
      </c>
      <c r="U154" s="240">
        <v>2</v>
      </c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67</v>
      </c>
      <c r="AH154" s="185">
        <v>67</v>
      </c>
      <c r="AI154" s="185">
        <v>32</v>
      </c>
    </row>
    <row r="155" spans="1:35" ht="15" customHeight="1" thickBot="1" x14ac:dyDescent="0.3">
      <c r="A155" s="489"/>
      <c r="B155" s="512"/>
      <c r="C155" s="515"/>
      <c r="D155" s="45" t="s">
        <v>766</v>
      </c>
      <c r="E155" s="46" t="s">
        <v>27</v>
      </c>
      <c r="F155" s="394">
        <v>2</v>
      </c>
      <c r="G155" s="239">
        <v>6</v>
      </c>
      <c r="H155" s="237">
        <v>5</v>
      </c>
      <c r="I155" s="237">
        <v>4</v>
      </c>
      <c r="J155" s="225">
        <v>3</v>
      </c>
      <c r="K155" s="225">
        <v>5</v>
      </c>
      <c r="L155" s="239">
        <v>5</v>
      </c>
      <c r="M155" s="225">
        <v>3</v>
      </c>
      <c r="N155" s="237">
        <v>5</v>
      </c>
      <c r="O155" s="237">
        <v>4</v>
      </c>
      <c r="P155" s="225">
        <v>3</v>
      </c>
      <c r="Q155" s="237">
        <v>5</v>
      </c>
      <c r="R155" s="225">
        <v>4</v>
      </c>
      <c r="S155" s="235">
        <v>2</v>
      </c>
      <c r="T155" s="237">
        <v>4</v>
      </c>
      <c r="U155" s="225">
        <v>3</v>
      </c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63</v>
      </c>
      <c r="AH155" s="186">
        <v>130</v>
      </c>
      <c r="AI155" s="186">
        <v>30</v>
      </c>
    </row>
    <row r="156" spans="1:35" ht="15" hidden="1" customHeight="1" x14ac:dyDescent="0.25">
      <c r="A156" s="489"/>
      <c r="B156" s="512"/>
      <c r="C156" s="515"/>
      <c r="D156" s="45" t="s">
        <v>766</v>
      </c>
      <c r="E156" s="4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130</v>
      </c>
      <c r="AI156" s="186">
        <v>30</v>
      </c>
    </row>
    <row r="157" spans="1:35" ht="15.75" hidden="1" customHeight="1" x14ac:dyDescent="0.25">
      <c r="A157" s="489"/>
      <c r="B157" s="512"/>
      <c r="C157" s="515"/>
      <c r="D157" s="45" t="s">
        <v>766</v>
      </c>
      <c r="E157" s="4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130</v>
      </c>
      <c r="AI157" s="186">
        <v>30</v>
      </c>
    </row>
    <row r="158" spans="1:35" ht="15.75" hidden="1" customHeight="1" thickBot="1" x14ac:dyDescent="0.3">
      <c r="A158" s="490"/>
      <c r="B158" s="513"/>
      <c r="C158" s="516"/>
      <c r="D158" s="47" t="s">
        <v>766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130</v>
      </c>
      <c r="AI158" s="187">
        <v>30</v>
      </c>
    </row>
    <row r="159" spans="1:35" ht="15" customHeight="1" x14ac:dyDescent="0.25">
      <c r="A159" s="488">
        <v>31</v>
      </c>
      <c r="B159" s="511">
        <v>31</v>
      </c>
      <c r="C159" s="514" t="s">
        <v>779</v>
      </c>
      <c r="D159" s="43" t="s">
        <v>779</v>
      </c>
      <c r="E159" s="44" t="s">
        <v>26</v>
      </c>
      <c r="F159" s="356">
        <v>5</v>
      </c>
      <c r="G159" s="236">
        <v>5</v>
      </c>
      <c r="H159" s="236">
        <v>5</v>
      </c>
      <c r="I159" s="222">
        <v>3</v>
      </c>
      <c r="J159" s="222">
        <v>3</v>
      </c>
      <c r="K159" s="222">
        <v>5</v>
      </c>
      <c r="L159" s="236">
        <v>4</v>
      </c>
      <c r="M159" s="222">
        <v>3</v>
      </c>
      <c r="N159" s="236">
        <v>5</v>
      </c>
      <c r="O159" s="222">
        <v>3</v>
      </c>
      <c r="P159" s="222">
        <v>3</v>
      </c>
      <c r="Q159" s="238">
        <v>6</v>
      </c>
      <c r="R159" s="222">
        <v>4</v>
      </c>
      <c r="S159" s="236">
        <v>4</v>
      </c>
      <c r="T159" s="236">
        <v>4</v>
      </c>
      <c r="U159" s="240">
        <v>2</v>
      </c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64</v>
      </c>
      <c r="AH159" s="185">
        <v>64</v>
      </c>
      <c r="AI159" s="185">
        <v>27</v>
      </c>
    </row>
    <row r="160" spans="1:35" ht="15" customHeight="1" thickBot="1" x14ac:dyDescent="0.3">
      <c r="A160" s="489"/>
      <c r="B160" s="512"/>
      <c r="C160" s="515"/>
      <c r="D160" s="45" t="s">
        <v>779</v>
      </c>
      <c r="E160" s="46" t="s">
        <v>27</v>
      </c>
      <c r="F160" s="357">
        <v>5</v>
      </c>
      <c r="G160" s="239">
        <v>6</v>
      </c>
      <c r="H160" s="237">
        <v>5</v>
      </c>
      <c r="I160" s="225">
        <v>3</v>
      </c>
      <c r="J160" s="237">
        <v>4</v>
      </c>
      <c r="K160" s="225">
        <v>5</v>
      </c>
      <c r="L160" s="235">
        <v>2</v>
      </c>
      <c r="M160" s="225">
        <v>3</v>
      </c>
      <c r="N160" s="237">
        <v>5</v>
      </c>
      <c r="O160" s="225">
        <v>3</v>
      </c>
      <c r="P160" s="237">
        <v>4</v>
      </c>
      <c r="Q160" s="239">
        <v>8</v>
      </c>
      <c r="R160" s="237">
        <v>5</v>
      </c>
      <c r="S160" s="225">
        <v>3</v>
      </c>
      <c r="T160" s="239">
        <v>5</v>
      </c>
      <c r="U160" s="225">
        <v>3</v>
      </c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69</v>
      </c>
      <c r="AH160" s="186">
        <v>133</v>
      </c>
      <c r="AI160" s="186">
        <v>31</v>
      </c>
    </row>
    <row r="161" spans="1:35" ht="15" hidden="1" customHeight="1" x14ac:dyDescent="0.25">
      <c r="A161" s="489"/>
      <c r="B161" s="512"/>
      <c r="C161" s="515"/>
      <c r="D161" s="45" t="s">
        <v>779</v>
      </c>
      <c r="E161" s="4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133</v>
      </c>
      <c r="AI161" s="186">
        <v>31</v>
      </c>
    </row>
    <row r="162" spans="1:35" ht="15.75" hidden="1" customHeight="1" x14ac:dyDescent="0.25">
      <c r="A162" s="489"/>
      <c r="B162" s="512"/>
      <c r="C162" s="515"/>
      <c r="D162" s="45" t="s">
        <v>779</v>
      </c>
      <c r="E162" s="4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133</v>
      </c>
      <c r="AI162" s="186">
        <v>31</v>
      </c>
    </row>
    <row r="163" spans="1:35" ht="15.75" hidden="1" customHeight="1" thickBot="1" x14ac:dyDescent="0.3">
      <c r="A163" s="490"/>
      <c r="B163" s="513"/>
      <c r="C163" s="516"/>
      <c r="D163" s="47" t="s">
        <v>779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133</v>
      </c>
      <c r="AI163" s="187">
        <v>31</v>
      </c>
    </row>
    <row r="164" spans="1:35" ht="15" customHeight="1" x14ac:dyDescent="0.25">
      <c r="A164" s="488">
        <v>32</v>
      </c>
      <c r="B164" s="511">
        <v>31</v>
      </c>
      <c r="C164" s="514" t="s">
        <v>781</v>
      </c>
      <c r="D164" s="43" t="s">
        <v>781</v>
      </c>
      <c r="E164" s="44" t="s">
        <v>26</v>
      </c>
      <c r="F164" s="223">
        <v>4</v>
      </c>
      <c r="G164" s="222">
        <v>4</v>
      </c>
      <c r="H164" s="238">
        <v>7</v>
      </c>
      <c r="I164" s="222">
        <v>3</v>
      </c>
      <c r="J164" s="222">
        <v>3</v>
      </c>
      <c r="K164" s="222">
        <v>5</v>
      </c>
      <c r="L164" s="236">
        <v>4</v>
      </c>
      <c r="M164" s="222">
        <v>3</v>
      </c>
      <c r="N164" s="236">
        <v>5</v>
      </c>
      <c r="O164" s="236">
        <v>4</v>
      </c>
      <c r="P164" s="222">
        <v>3</v>
      </c>
      <c r="Q164" s="238">
        <v>6</v>
      </c>
      <c r="R164" s="236">
        <v>5</v>
      </c>
      <c r="S164" s="236">
        <v>4</v>
      </c>
      <c r="T164" s="222">
        <v>3</v>
      </c>
      <c r="U164" s="236">
        <v>4</v>
      </c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67</v>
      </c>
      <c r="AH164" s="185">
        <v>67</v>
      </c>
      <c r="AI164" s="185">
        <v>32</v>
      </c>
    </row>
    <row r="165" spans="1:35" ht="15" customHeight="1" thickBot="1" x14ac:dyDescent="0.3">
      <c r="A165" s="489"/>
      <c r="B165" s="512"/>
      <c r="C165" s="515"/>
      <c r="D165" s="45" t="s">
        <v>781</v>
      </c>
      <c r="E165" s="46" t="s">
        <v>27</v>
      </c>
      <c r="F165" s="224">
        <v>4</v>
      </c>
      <c r="G165" s="237">
        <v>5</v>
      </c>
      <c r="H165" s="239">
        <v>6</v>
      </c>
      <c r="I165" s="225">
        <v>3</v>
      </c>
      <c r="J165" s="237">
        <v>4</v>
      </c>
      <c r="K165" s="225">
        <v>5</v>
      </c>
      <c r="L165" s="237">
        <v>4</v>
      </c>
      <c r="M165" s="225">
        <v>3</v>
      </c>
      <c r="N165" s="237">
        <v>5</v>
      </c>
      <c r="O165" s="225">
        <v>3</v>
      </c>
      <c r="P165" s="237">
        <v>4</v>
      </c>
      <c r="Q165" s="237">
        <v>5</v>
      </c>
      <c r="R165" s="239">
        <v>6</v>
      </c>
      <c r="S165" s="225">
        <v>3</v>
      </c>
      <c r="T165" s="225">
        <v>3</v>
      </c>
      <c r="U165" s="225">
        <v>3</v>
      </c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66</v>
      </c>
      <c r="AH165" s="186">
        <v>133</v>
      </c>
      <c r="AI165" s="186">
        <v>31</v>
      </c>
    </row>
    <row r="166" spans="1:35" ht="15" hidden="1" customHeight="1" x14ac:dyDescent="0.25">
      <c r="A166" s="489"/>
      <c r="B166" s="512"/>
      <c r="C166" s="515"/>
      <c r="D166" s="45" t="s">
        <v>781</v>
      </c>
      <c r="E166" s="4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133</v>
      </c>
      <c r="AI166" s="186">
        <v>31</v>
      </c>
    </row>
    <row r="167" spans="1:35" ht="15.75" hidden="1" customHeight="1" x14ac:dyDescent="0.25">
      <c r="A167" s="489"/>
      <c r="B167" s="512"/>
      <c r="C167" s="515"/>
      <c r="D167" s="45" t="s">
        <v>781</v>
      </c>
      <c r="E167" s="4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133</v>
      </c>
      <c r="AI167" s="186">
        <v>31</v>
      </c>
    </row>
    <row r="168" spans="1:35" ht="15.75" hidden="1" customHeight="1" thickBot="1" x14ac:dyDescent="0.3">
      <c r="A168" s="490"/>
      <c r="B168" s="513"/>
      <c r="C168" s="516"/>
      <c r="D168" s="47" t="s">
        <v>781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133</v>
      </c>
      <c r="AI168" s="187">
        <v>31</v>
      </c>
    </row>
    <row r="169" spans="1:35" ht="15" customHeight="1" x14ac:dyDescent="0.25">
      <c r="A169" s="488">
        <v>33</v>
      </c>
      <c r="B169" s="511">
        <v>33</v>
      </c>
      <c r="C169" s="514" t="s">
        <v>591</v>
      </c>
      <c r="D169" s="43" t="s">
        <v>591</v>
      </c>
      <c r="E169" s="44" t="s">
        <v>26</v>
      </c>
      <c r="F169" s="223">
        <v>4</v>
      </c>
      <c r="G169" s="222">
        <v>4</v>
      </c>
      <c r="H169" s="238">
        <v>6</v>
      </c>
      <c r="I169" s="222">
        <v>3</v>
      </c>
      <c r="J169" s="236">
        <v>4</v>
      </c>
      <c r="K169" s="238">
        <v>9</v>
      </c>
      <c r="L169" s="236">
        <v>4</v>
      </c>
      <c r="M169" s="222">
        <v>3</v>
      </c>
      <c r="N169" s="236">
        <v>5</v>
      </c>
      <c r="O169" s="236">
        <v>4</v>
      </c>
      <c r="P169" s="222">
        <v>3</v>
      </c>
      <c r="Q169" s="222">
        <v>4</v>
      </c>
      <c r="R169" s="238">
        <v>6</v>
      </c>
      <c r="S169" s="236">
        <v>4</v>
      </c>
      <c r="T169" s="222">
        <v>3</v>
      </c>
      <c r="U169" s="222">
        <v>3</v>
      </c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69</v>
      </c>
      <c r="AH169" s="185">
        <v>69</v>
      </c>
      <c r="AI169" s="185">
        <v>34</v>
      </c>
    </row>
    <row r="170" spans="1:35" ht="15" customHeight="1" thickBot="1" x14ac:dyDescent="0.3">
      <c r="A170" s="489"/>
      <c r="B170" s="512"/>
      <c r="C170" s="515"/>
      <c r="D170" s="45" t="s">
        <v>591</v>
      </c>
      <c r="E170" s="46" t="s">
        <v>27</v>
      </c>
      <c r="F170" s="224">
        <v>4</v>
      </c>
      <c r="G170" s="225">
        <v>4</v>
      </c>
      <c r="H170" s="239">
        <v>6</v>
      </c>
      <c r="I170" s="225">
        <v>3</v>
      </c>
      <c r="J170" s="237">
        <v>4</v>
      </c>
      <c r="K170" s="237">
        <v>6</v>
      </c>
      <c r="L170" s="239">
        <v>5</v>
      </c>
      <c r="M170" s="237">
        <v>4</v>
      </c>
      <c r="N170" s="239">
        <v>7</v>
      </c>
      <c r="O170" s="225">
        <v>3</v>
      </c>
      <c r="P170" s="225">
        <v>3</v>
      </c>
      <c r="Q170" s="239">
        <v>6</v>
      </c>
      <c r="R170" s="237">
        <v>5</v>
      </c>
      <c r="S170" s="235">
        <v>2</v>
      </c>
      <c r="T170" s="237">
        <v>4</v>
      </c>
      <c r="U170" s="237">
        <v>4</v>
      </c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70</v>
      </c>
      <c r="AH170" s="186">
        <v>139</v>
      </c>
      <c r="AI170" s="186">
        <v>33</v>
      </c>
    </row>
    <row r="171" spans="1:35" ht="15" hidden="1" customHeight="1" x14ac:dyDescent="0.25">
      <c r="A171" s="489"/>
      <c r="B171" s="512"/>
      <c r="C171" s="515"/>
      <c r="D171" s="45" t="s">
        <v>591</v>
      </c>
      <c r="E171" s="4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139</v>
      </c>
      <c r="AI171" s="186">
        <v>33</v>
      </c>
    </row>
    <row r="172" spans="1:35" ht="15.75" hidden="1" customHeight="1" x14ac:dyDescent="0.25">
      <c r="A172" s="489"/>
      <c r="B172" s="512"/>
      <c r="C172" s="515"/>
      <c r="D172" s="45" t="s">
        <v>591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139</v>
      </c>
      <c r="AI172" s="186">
        <v>33</v>
      </c>
    </row>
    <row r="173" spans="1:35" ht="15.75" hidden="1" customHeight="1" thickBot="1" x14ac:dyDescent="0.3">
      <c r="A173" s="490"/>
      <c r="B173" s="513"/>
      <c r="C173" s="516"/>
      <c r="D173" s="47" t="s">
        <v>591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139</v>
      </c>
      <c r="AI173" s="187">
        <v>33</v>
      </c>
    </row>
    <row r="174" spans="1:35" ht="15" customHeight="1" x14ac:dyDescent="0.25">
      <c r="A174" s="488">
        <v>34</v>
      </c>
      <c r="B174" s="511">
        <v>34</v>
      </c>
      <c r="C174" s="514" t="s">
        <v>775</v>
      </c>
      <c r="D174" s="43" t="s">
        <v>775</v>
      </c>
      <c r="E174" s="44" t="s">
        <v>26</v>
      </c>
      <c r="F174" s="389">
        <v>6</v>
      </c>
      <c r="G174" s="238">
        <v>6</v>
      </c>
      <c r="H174" s="236">
        <v>5</v>
      </c>
      <c r="I174" s="222">
        <v>3</v>
      </c>
      <c r="J174" s="222">
        <v>3</v>
      </c>
      <c r="K174" s="238">
        <v>7</v>
      </c>
      <c r="L174" s="222">
        <v>3</v>
      </c>
      <c r="M174" s="236">
        <v>4</v>
      </c>
      <c r="N174" s="222">
        <v>4</v>
      </c>
      <c r="O174" s="236">
        <v>4</v>
      </c>
      <c r="P174" s="240">
        <v>2</v>
      </c>
      <c r="Q174" s="238">
        <v>7</v>
      </c>
      <c r="R174" s="238">
        <v>7</v>
      </c>
      <c r="S174" s="236">
        <v>4</v>
      </c>
      <c r="T174" s="222">
        <v>3</v>
      </c>
      <c r="U174" s="222">
        <v>3</v>
      </c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71</v>
      </c>
      <c r="AH174" s="185">
        <v>71</v>
      </c>
      <c r="AI174" s="185">
        <v>35</v>
      </c>
    </row>
    <row r="175" spans="1:35" ht="15" customHeight="1" thickBot="1" x14ac:dyDescent="0.3">
      <c r="A175" s="489"/>
      <c r="B175" s="512"/>
      <c r="C175" s="515"/>
      <c r="D175" s="45" t="s">
        <v>775</v>
      </c>
      <c r="E175" s="46" t="s">
        <v>27</v>
      </c>
      <c r="F175" s="392">
        <v>6</v>
      </c>
      <c r="G175" s="225">
        <v>4</v>
      </c>
      <c r="H175" s="239">
        <v>8</v>
      </c>
      <c r="I175" s="225">
        <v>3</v>
      </c>
      <c r="J175" s="237">
        <v>4</v>
      </c>
      <c r="K175" s="237">
        <v>6</v>
      </c>
      <c r="L175" s="225">
        <v>3</v>
      </c>
      <c r="M175" s="225">
        <v>3</v>
      </c>
      <c r="N175" s="237">
        <v>5</v>
      </c>
      <c r="O175" s="225">
        <v>3</v>
      </c>
      <c r="P175" s="225">
        <v>3</v>
      </c>
      <c r="Q175" s="239">
        <v>6</v>
      </c>
      <c r="R175" s="225">
        <v>4</v>
      </c>
      <c r="S175" s="237">
        <v>4</v>
      </c>
      <c r="T175" s="237">
        <v>4</v>
      </c>
      <c r="U175" s="225">
        <v>3</v>
      </c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69</v>
      </c>
      <c r="AH175" s="186">
        <v>140</v>
      </c>
      <c r="AI175" s="186">
        <v>34</v>
      </c>
    </row>
    <row r="176" spans="1:35" ht="15" hidden="1" customHeight="1" x14ac:dyDescent="0.25">
      <c r="A176" s="489"/>
      <c r="B176" s="512"/>
      <c r="C176" s="515"/>
      <c r="D176" s="45" t="s">
        <v>775</v>
      </c>
      <c r="E176" s="4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140</v>
      </c>
      <c r="AI176" s="186">
        <v>34</v>
      </c>
    </row>
    <row r="177" spans="1:35" ht="15.75" hidden="1" customHeight="1" x14ac:dyDescent="0.25">
      <c r="A177" s="489"/>
      <c r="B177" s="512"/>
      <c r="C177" s="515"/>
      <c r="D177" s="45" t="s">
        <v>775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140</v>
      </c>
      <c r="AI177" s="186">
        <v>34</v>
      </c>
    </row>
    <row r="178" spans="1:35" ht="15.75" hidden="1" customHeight="1" thickBot="1" x14ac:dyDescent="0.3">
      <c r="A178" s="490"/>
      <c r="B178" s="513"/>
      <c r="C178" s="516"/>
      <c r="D178" s="47" t="s">
        <v>775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140</v>
      </c>
      <c r="AI178" s="187">
        <v>34</v>
      </c>
    </row>
    <row r="179" spans="1:35" ht="15" customHeight="1" x14ac:dyDescent="0.25">
      <c r="A179" s="488">
        <v>35</v>
      </c>
      <c r="B179" s="511">
        <v>35</v>
      </c>
      <c r="C179" s="514" t="s">
        <v>483</v>
      </c>
      <c r="D179" s="43" t="s">
        <v>483</v>
      </c>
      <c r="E179" s="44" t="s">
        <v>26</v>
      </c>
      <c r="F179" s="356">
        <v>5</v>
      </c>
      <c r="G179" s="236">
        <v>5</v>
      </c>
      <c r="H179" s="238">
        <v>7</v>
      </c>
      <c r="I179" s="238">
        <v>5</v>
      </c>
      <c r="J179" s="236">
        <v>4</v>
      </c>
      <c r="K179" s="236">
        <v>6</v>
      </c>
      <c r="L179" s="222">
        <v>3</v>
      </c>
      <c r="M179" s="222">
        <v>3</v>
      </c>
      <c r="N179" s="236">
        <v>5</v>
      </c>
      <c r="O179" s="238">
        <v>6</v>
      </c>
      <c r="P179" s="222">
        <v>3</v>
      </c>
      <c r="Q179" s="238">
        <v>6</v>
      </c>
      <c r="R179" s="236">
        <v>5</v>
      </c>
      <c r="S179" s="236">
        <v>4</v>
      </c>
      <c r="T179" s="236">
        <v>4</v>
      </c>
      <c r="U179" s="236">
        <v>4</v>
      </c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75</v>
      </c>
      <c r="AH179" s="185">
        <v>75</v>
      </c>
      <c r="AI179" s="185">
        <v>39</v>
      </c>
    </row>
    <row r="180" spans="1:35" ht="15" customHeight="1" thickBot="1" x14ac:dyDescent="0.3">
      <c r="A180" s="489"/>
      <c r="B180" s="512"/>
      <c r="C180" s="515"/>
      <c r="D180" s="45" t="s">
        <v>483</v>
      </c>
      <c r="E180" s="46" t="s">
        <v>27</v>
      </c>
      <c r="F180" s="224">
        <v>4</v>
      </c>
      <c r="G180" s="239">
        <v>6</v>
      </c>
      <c r="H180" s="239">
        <v>7</v>
      </c>
      <c r="I180" s="225">
        <v>3</v>
      </c>
      <c r="J180" s="237">
        <v>4</v>
      </c>
      <c r="K180" s="237">
        <v>6</v>
      </c>
      <c r="L180" s="225">
        <v>3</v>
      </c>
      <c r="M180" s="225">
        <v>3</v>
      </c>
      <c r="N180" s="237">
        <v>5</v>
      </c>
      <c r="O180" s="225">
        <v>3</v>
      </c>
      <c r="P180" s="225">
        <v>3</v>
      </c>
      <c r="Q180" s="239">
        <v>6</v>
      </c>
      <c r="R180" s="237">
        <v>5</v>
      </c>
      <c r="S180" s="235">
        <v>2</v>
      </c>
      <c r="T180" s="237">
        <v>4</v>
      </c>
      <c r="U180" s="225">
        <v>3</v>
      </c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67</v>
      </c>
      <c r="AH180" s="186">
        <v>142</v>
      </c>
      <c r="AI180" s="186">
        <v>35</v>
      </c>
    </row>
    <row r="181" spans="1:35" ht="15" hidden="1" customHeight="1" x14ac:dyDescent="0.25">
      <c r="A181" s="489"/>
      <c r="B181" s="512"/>
      <c r="C181" s="515"/>
      <c r="D181" s="45" t="s">
        <v>483</v>
      </c>
      <c r="E181" s="4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142</v>
      </c>
      <c r="AI181" s="186">
        <v>35</v>
      </c>
    </row>
    <row r="182" spans="1:35" ht="15.75" hidden="1" customHeight="1" x14ac:dyDescent="0.25">
      <c r="A182" s="489"/>
      <c r="B182" s="512"/>
      <c r="C182" s="515"/>
      <c r="D182" s="45" t="s">
        <v>483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142</v>
      </c>
      <c r="AI182" s="186">
        <v>35</v>
      </c>
    </row>
    <row r="183" spans="1:35" ht="15.75" hidden="1" customHeight="1" thickBot="1" x14ac:dyDescent="0.3">
      <c r="A183" s="490"/>
      <c r="B183" s="513"/>
      <c r="C183" s="516"/>
      <c r="D183" s="47" t="s">
        <v>483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142</v>
      </c>
      <c r="AI183" s="187">
        <v>35</v>
      </c>
    </row>
    <row r="184" spans="1:35" ht="15" customHeight="1" x14ac:dyDescent="0.25">
      <c r="A184" s="488">
        <v>36</v>
      </c>
      <c r="B184" s="511">
        <v>36</v>
      </c>
      <c r="C184" s="514" t="s">
        <v>400</v>
      </c>
      <c r="D184" s="43" t="s">
        <v>400</v>
      </c>
      <c r="E184" s="44" t="s">
        <v>26</v>
      </c>
      <c r="F184" s="389">
        <v>6</v>
      </c>
      <c r="G184" s="236">
        <v>5</v>
      </c>
      <c r="H184" s="238">
        <v>6</v>
      </c>
      <c r="I184" s="222">
        <v>3</v>
      </c>
      <c r="J184" s="236">
        <v>4</v>
      </c>
      <c r="K184" s="238">
        <v>8</v>
      </c>
      <c r="L184" s="222">
        <v>3</v>
      </c>
      <c r="M184" s="222">
        <v>3</v>
      </c>
      <c r="N184" s="238">
        <v>6</v>
      </c>
      <c r="O184" s="238">
        <v>5</v>
      </c>
      <c r="P184" s="222">
        <v>3</v>
      </c>
      <c r="Q184" s="222">
        <v>4</v>
      </c>
      <c r="R184" s="236">
        <v>5</v>
      </c>
      <c r="S184" s="236">
        <v>4</v>
      </c>
      <c r="T184" s="238">
        <v>5</v>
      </c>
      <c r="U184" s="236">
        <v>4</v>
      </c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74</v>
      </c>
      <c r="AH184" s="185">
        <v>74</v>
      </c>
      <c r="AI184" s="185">
        <v>37</v>
      </c>
    </row>
    <row r="185" spans="1:35" ht="15" customHeight="1" thickBot="1" x14ac:dyDescent="0.3">
      <c r="A185" s="489"/>
      <c r="B185" s="512"/>
      <c r="C185" s="515"/>
      <c r="D185" s="45" t="s">
        <v>400</v>
      </c>
      <c r="E185" s="46" t="s">
        <v>27</v>
      </c>
      <c r="F185" s="392">
        <v>7</v>
      </c>
      <c r="G185" s="239">
        <v>6</v>
      </c>
      <c r="H185" s="239">
        <v>6</v>
      </c>
      <c r="I185" s="225">
        <v>3</v>
      </c>
      <c r="J185" s="225">
        <v>3</v>
      </c>
      <c r="K185" s="239">
        <v>7</v>
      </c>
      <c r="L185" s="237">
        <v>4</v>
      </c>
      <c r="M185" s="225">
        <v>3</v>
      </c>
      <c r="N185" s="237">
        <v>5</v>
      </c>
      <c r="O185" s="239">
        <v>6</v>
      </c>
      <c r="P185" s="225">
        <v>3</v>
      </c>
      <c r="Q185" s="239">
        <v>6</v>
      </c>
      <c r="R185" s="237">
        <v>5</v>
      </c>
      <c r="S185" s="237">
        <v>4</v>
      </c>
      <c r="T185" s="237">
        <v>4</v>
      </c>
      <c r="U185" s="225">
        <v>3</v>
      </c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75</v>
      </c>
      <c r="AH185" s="186">
        <v>149</v>
      </c>
      <c r="AI185" s="186">
        <v>36</v>
      </c>
    </row>
    <row r="186" spans="1:35" ht="15" hidden="1" customHeight="1" x14ac:dyDescent="0.25">
      <c r="A186" s="489"/>
      <c r="B186" s="512"/>
      <c r="C186" s="515"/>
      <c r="D186" s="45" t="s">
        <v>400</v>
      </c>
      <c r="E186" s="4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149</v>
      </c>
      <c r="AI186" s="186">
        <v>36</v>
      </c>
    </row>
    <row r="187" spans="1:35" ht="15.75" hidden="1" customHeight="1" x14ac:dyDescent="0.25">
      <c r="A187" s="489"/>
      <c r="B187" s="512"/>
      <c r="C187" s="515"/>
      <c r="D187" s="45" t="s">
        <v>400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149</v>
      </c>
      <c r="AI187" s="186">
        <v>36</v>
      </c>
    </row>
    <row r="188" spans="1:35" ht="15.75" hidden="1" customHeight="1" thickBot="1" x14ac:dyDescent="0.3">
      <c r="A188" s="490"/>
      <c r="B188" s="513"/>
      <c r="C188" s="516"/>
      <c r="D188" s="47" t="s">
        <v>400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149</v>
      </c>
      <c r="AI188" s="187">
        <v>36</v>
      </c>
    </row>
    <row r="189" spans="1:35" ht="15" customHeight="1" x14ac:dyDescent="0.25">
      <c r="A189" s="488">
        <v>37</v>
      </c>
      <c r="B189" s="511">
        <v>37</v>
      </c>
      <c r="C189" s="514" t="s">
        <v>615</v>
      </c>
      <c r="D189" s="43" t="s">
        <v>615</v>
      </c>
      <c r="E189" s="44" t="s">
        <v>26</v>
      </c>
      <c r="F189" s="389">
        <v>6</v>
      </c>
      <c r="G189" s="238">
        <v>7</v>
      </c>
      <c r="H189" s="238">
        <v>6</v>
      </c>
      <c r="I189" s="222">
        <v>3</v>
      </c>
      <c r="J189" s="236">
        <v>4</v>
      </c>
      <c r="K189" s="238">
        <v>8</v>
      </c>
      <c r="L189" s="236">
        <v>4</v>
      </c>
      <c r="M189" s="222">
        <v>3</v>
      </c>
      <c r="N189" s="222">
        <v>4</v>
      </c>
      <c r="O189" s="238">
        <v>5</v>
      </c>
      <c r="P189" s="222">
        <v>3</v>
      </c>
      <c r="Q189" s="236">
        <v>5</v>
      </c>
      <c r="R189" s="222">
        <v>4</v>
      </c>
      <c r="S189" s="236">
        <v>4</v>
      </c>
      <c r="T189" s="222">
        <v>3</v>
      </c>
      <c r="U189" s="236">
        <v>4</v>
      </c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73</v>
      </c>
      <c r="AH189" s="185">
        <v>73</v>
      </c>
      <c r="AI189" s="185">
        <v>36</v>
      </c>
    </row>
    <row r="190" spans="1:35" ht="15" customHeight="1" thickBot="1" x14ac:dyDescent="0.3">
      <c r="A190" s="489"/>
      <c r="B190" s="512"/>
      <c r="C190" s="515"/>
      <c r="D190" s="45" t="s">
        <v>615</v>
      </c>
      <c r="E190" s="46" t="s">
        <v>27</v>
      </c>
      <c r="F190" s="392">
        <v>7</v>
      </c>
      <c r="G190" s="239">
        <v>6</v>
      </c>
      <c r="H190" s="237">
        <v>5</v>
      </c>
      <c r="I190" s="237">
        <v>4</v>
      </c>
      <c r="J190" s="225">
        <v>3</v>
      </c>
      <c r="K190" s="237">
        <v>6</v>
      </c>
      <c r="L190" s="237">
        <v>4</v>
      </c>
      <c r="M190" s="225">
        <v>3</v>
      </c>
      <c r="N190" s="239">
        <v>6</v>
      </c>
      <c r="O190" s="239">
        <v>5</v>
      </c>
      <c r="P190" s="237">
        <v>4</v>
      </c>
      <c r="Q190" s="239">
        <v>7</v>
      </c>
      <c r="R190" s="239">
        <v>6</v>
      </c>
      <c r="S190" s="225">
        <v>3</v>
      </c>
      <c r="T190" s="239">
        <v>5</v>
      </c>
      <c r="U190" s="225">
        <v>3</v>
      </c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77</v>
      </c>
      <c r="AH190" s="186">
        <v>150</v>
      </c>
      <c r="AI190" s="186">
        <v>37</v>
      </c>
    </row>
    <row r="191" spans="1:35" ht="15" hidden="1" customHeight="1" x14ac:dyDescent="0.25">
      <c r="A191" s="489"/>
      <c r="B191" s="512"/>
      <c r="C191" s="515"/>
      <c r="D191" s="45" t="s">
        <v>615</v>
      </c>
      <c r="E191" s="4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150</v>
      </c>
      <c r="AI191" s="186">
        <v>37</v>
      </c>
    </row>
    <row r="192" spans="1:35" ht="15.75" hidden="1" customHeight="1" x14ac:dyDescent="0.25">
      <c r="A192" s="489"/>
      <c r="B192" s="512"/>
      <c r="C192" s="515"/>
      <c r="D192" s="45" t="s">
        <v>615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150</v>
      </c>
      <c r="AI192" s="186">
        <v>37</v>
      </c>
    </row>
    <row r="193" spans="1:35" ht="15.75" hidden="1" customHeight="1" thickBot="1" x14ac:dyDescent="0.3">
      <c r="A193" s="490"/>
      <c r="B193" s="513"/>
      <c r="C193" s="516"/>
      <c r="D193" s="47" t="s">
        <v>615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150</v>
      </c>
      <c r="AI193" s="187">
        <v>37</v>
      </c>
    </row>
    <row r="194" spans="1:35" ht="15" customHeight="1" x14ac:dyDescent="0.25">
      <c r="A194" s="488">
        <v>38</v>
      </c>
      <c r="B194" s="511">
        <v>38</v>
      </c>
      <c r="C194" s="514" t="s">
        <v>634</v>
      </c>
      <c r="D194" s="43" t="s">
        <v>634</v>
      </c>
      <c r="E194" s="44" t="s">
        <v>26</v>
      </c>
      <c r="F194" s="356">
        <v>5</v>
      </c>
      <c r="G194" s="238">
        <v>7</v>
      </c>
      <c r="H194" s="238">
        <v>6</v>
      </c>
      <c r="I194" s="238">
        <v>5</v>
      </c>
      <c r="J194" s="236">
        <v>4</v>
      </c>
      <c r="K194" s="236">
        <v>6</v>
      </c>
      <c r="L194" s="236">
        <v>4</v>
      </c>
      <c r="M194" s="222">
        <v>3</v>
      </c>
      <c r="N194" s="236">
        <v>5</v>
      </c>
      <c r="O194" s="236">
        <v>4</v>
      </c>
      <c r="P194" s="222">
        <v>3</v>
      </c>
      <c r="Q194" s="236">
        <v>5</v>
      </c>
      <c r="R194" s="222">
        <v>4</v>
      </c>
      <c r="S194" s="236">
        <v>4</v>
      </c>
      <c r="T194" s="238">
        <v>7</v>
      </c>
      <c r="U194" s="222">
        <v>3</v>
      </c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75</v>
      </c>
      <c r="AH194" s="185">
        <v>75</v>
      </c>
      <c r="AI194" s="185">
        <v>39</v>
      </c>
    </row>
    <row r="195" spans="1:35" ht="15" customHeight="1" thickBot="1" x14ac:dyDescent="0.3">
      <c r="A195" s="489"/>
      <c r="B195" s="512"/>
      <c r="C195" s="515"/>
      <c r="D195" s="45" t="s">
        <v>634</v>
      </c>
      <c r="E195" s="46" t="s">
        <v>27</v>
      </c>
      <c r="F195" s="357">
        <v>5</v>
      </c>
      <c r="G195" s="237">
        <v>5</v>
      </c>
      <c r="H195" s="239">
        <v>9</v>
      </c>
      <c r="I195" s="237">
        <v>4</v>
      </c>
      <c r="J195" s="239">
        <v>5</v>
      </c>
      <c r="K195" s="239">
        <v>7</v>
      </c>
      <c r="L195" s="225">
        <v>3</v>
      </c>
      <c r="M195" s="237">
        <v>4</v>
      </c>
      <c r="N195" s="237">
        <v>5</v>
      </c>
      <c r="O195" s="239">
        <v>5</v>
      </c>
      <c r="P195" s="237">
        <v>4</v>
      </c>
      <c r="Q195" s="239">
        <v>6</v>
      </c>
      <c r="R195" s="237">
        <v>5</v>
      </c>
      <c r="S195" s="237">
        <v>4</v>
      </c>
      <c r="T195" s="237">
        <v>4</v>
      </c>
      <c r="U195" s="225">
        <v>3</v>
      </c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78</v>
      </c>
      <c r="AH195" s="186">
        <v>153</v>
      </c>
      <c r="AI195" s="186">
        <v>38</v>
      </c>
    </row>
    <row r="196" spans="1:35" ht="15" hidden="1" customHeight="1" x14ac:dyDescent="0.25">
      <c r="A196" s="489"/>
      <c r="B196" s="512"/>
      <c r="C196" s="515"/>
      <c r="D196" s="45" t="s">
        <v>634</v>
      </c>
      <c r="E196" s="4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153</v>
      </c>
      <c r="AI196" s="186">
        <v>38</v>
      </c>
    </row>
    <row r="197" spans="1:35" ht="15.75" hidden="1" customHeight="1" x14ac:dyDescent="0.25">
      <c r="A197" s="489"/>
      <c r="B197" s="512"/>
      <c r="C197" s="515"/>
      <c r="D197" s="45" t="s">
        <v>634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153</v>
      </c>
      <c r="AI197" s="186">
        <v>38</v>
      </c>
    </row>
    <row r="198" spans="1:35" ht="15.75" hidden="1" customHeight="1" thickBot="1" x14ac:dyDescent="0.3">
      <c r="A198" s="490"/>
      <c r="B198" s="513"/>
      <c r="C198" s="516"/>
      <c r="D198" s="47" t="s">
        <v>634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153</v>
      </c>
      <c r="AI198" s="187">
        <v>38</v>
      </c>
    </row>
    <row r="199" spans="1:35" ht="15" customHeight="1" x14ac:dyDescent="0.25">
      <c r="A199" s="488">
        <v>39</v>
      </c>
      <c r="B199" s="511">
        <v>39</v>
      </c>
      <c r="C199" s="514" t="s">
        <v>631</v>
      </c>
      <c r="D199" s="43" t="s">
        <v>631</v>
      </c>
      <c r="E199" s="44" t="s">
        <v>26</v>
      </c>
      <c r="F199" s="356">
        <v>5</v>
      </c>
      <c r="G199" s="238">
        <v>7</v>
      </c>
      <c r="H199" s="238">
        <v>8</v>
      </c>
      <c r="I199" s="236">
        <v>4</v>
      </c>
      <c r="J199" s="236">
        <v>4</v>
      </c>
      <c r="K199" s="238">
        <v>7</v>
      </c>
      <c r="L199" s="236">
        <v>4</v>
      </c>
      <c r="M199" s="222">
        <v>3</v>
      </c>
      <c r="N199" s="238">
        <v>6</v>
      </c>
      <c r="O199" s="236">
        <v>4</v>
      </c>
      <c r="P199" s="222">
        <v>3</v>
      </c>
      <c r="Q199" s="236">
        <v>5</v>
      </c>
      <c r="R199" s="222">
        <v>4</v>
      </c>
      <c r="S199" s="236">
        <v>4</v>
      </c>
      <c r="T199" s="222">
        <v>3</v>
      </c>
      <c r="U199" s="222">
        <v>3</v>
      </c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74</v>
      </c>
      <c r="AH199" s="185">
        <v>74</v>
      </c>
      <c r="AI199" s="185">
        <v>37</v>
      </c>
    </row>
    <row r="200" spans="1:35" ht="15" customHeight="1" thickBot="1" x14ac:dyDescent="0.3">
      <c r="A200" s="489"/>
      <c r="B200" s="512"/>
      <c r="C200" s="515"/>
      <c r="D200" s="45" t="s">
        <v>631</v>
      </c>
      <c r="E200" s="46" t="s">
        <v>27</v>
      </c>
      <c r="F200" s="392">
        <v>7</v>
      </c>
      <c r="G200" s="239">
        <v>7</v>
      </c>
      <c r="H200" s="239">
        <v>7</v>
      </c>
      <c r="I200" s="225">
        <v>3</v>
      </c>
      <c r="J200" s="225">
        <v>3</v>
      </c>
      <c r="K200" s="239">
        <v>7</v>
      </c>
      <c r="L200" s="225">
        <v>3</v>
      </c>
      <c r="M200" s="239">
        <v>5</v>
      </c>
      <c r="N200" s="237">
        <v>5</v>
      </c>
      <c r="O200" s="239">
        <v>6</v>
      </c>
      <c r="P200" s="239">
        <v>5</v>
      </c>
      <c r="Q200" s="239">
        <v>8</v>
      </c>
      <c r="R200" s="237">
        <v>5</v>
      </c>
      <c r="S200" s="237">
        <v>4</v>
      </c>
      <c r="T200" s="225">
        <v>3</v>
      </c>
      <c r="U200" s="225">
        <v>3</v>
      </c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81</v>
      </c>
      <c r="AH200" s="186">
        <v>155</v>
      </c>
      <c r="AI200" s="186">
        <v>39</v>
      </c>
    </row>
    <row r="201" spans="1:35" ht="15" hidden="1" customHeight="1" x14ac:dyDescent="0.25">
      <c r="A201" s="489"/>
      <c r="B201" s="512"/>
      <c r="C201" s="515"/>
      <c r="D201" s="45" t="s">
        <v>631</v>
      </c>
      <c r="E201" s="4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155</v>
      </c>
      <c r="AI201" s="186">
        <v>39</v>
      </c>
    </row>
    <row r="202" spans="1:35" ht="15.75" hidden="1" customHeight="1" x14ac:dyDescent="0.25">
      <c r="A202" s="489"/>
      <c r="B202" s="512"/>
      <c r="C202" s="515"/>
      <c r="D202" s="45" t="s">
        <v>631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155</v>
      </c>
      <c r="AI202" s="186">
        <v>39</v>
      </c>
    </row>
    <row r="203" spans="1:35" ht="15.75" hidden="1" customHeight="1" thickBot="1" x14ac:dyDescent="0.3">
      <c r="A203" s="490"/>
      <c r="B203" s="513"/>
      <c r="C203" s="516"/>
      <c r="D203" s="47" t="s">
        <v>631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155</v>
      </c>
      <c r="AI203" s="187">
        <v>39</v>
      </c>
    </row>
    <row r="204" spans="1:35" ht="15" customHeight="1" x14ac:dyDescent="0.25">
      <c r="A204" s="488">
        <v>40</v>
      </c>
      <c r="B204" s="511">
        <v>40</v>
      </c>
      <c r="C204" s="514" t="s">
        <v>768</v>
      </c>
      <c r="D204" s="43" t="s">
        <v>768</v>
      </c>
      <c r="E204" s="44" t="s">
        <v>26</v>
      </c>
      <c r="F204" s="389">
        <v>8</v>
      </c>
      <c r="G204" s="238">
        <v>6</v>
      </c>
      <c r="H204" s="238">
        <v>6</v>
      </c>
      <c r="I204" s="222">
        <v>3</v>
      </c>
      <c r="J204" s="236">
        <v>4</v>
      </c>
      <c r="K204" s="238">
        <v>7</v>
      </c>
      <c r="L204" s="222">
        <v>3</v>
      </c>
      <c r="M204" s="236">
        <v>4</v>
      </c>
      <c r="N204" s="236">
        <v>5</v>
      </c>
      <c r="O204" s="236">
        <v>4</v>
      </c>
      <c r="P204" s="236">
        <v>4</v>
      </c>
      <c r="Q204" s="238">
        <v>6</v>
      </c>
      <c r="R204" s="222">
        <v>4</v>
      </c>
      <c r="S204" s="236">
        <v>4</v>
      </c>
      <c r="T204" s="238">
        <v>5</v>
      </c>
      <c r="U204" s="238">
        <v>5</v>
      </c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78</v>
      </c>
      <c r="AH204" s="185">
        <v>78</v>
      </c>
      <c r="AI204" s="185">
        <v>41</v>
      </c>
    </row>
    <row r="205" spans="1:35" ht="15" customHeight="1" thickBot="1" x14ac:dyDescent="0.3">
      <c r="A205" s="489"/>
      <c r="B205" s="512"/>
      <c r="C205" s="515"/>
      <c r="D205" s="45" t="s">
        <v>768</v>
      </c>
      <c r="E205" s="46" t="s">
        <v>27</v>
      </c>
      <c r="F205" s="392">
        <v>7</v>
      </c>
      <c r="G205" s="237">
        <v>5</v>
      </c>
      <c r="H205" s="239">
        <v>6</v>
      </c>
      <c r="I205" s="225">
        <v>3</v>
      </c>
      <c r="J205" s="225">
        <v>3</v>
      </c>
      <c r="K205" s="239">
        <v>8</v>
      </c>
      <c r="L205" s="237">
        <v>4</v>
      </c>
      <c r="M205" s="237">
        <v>4</v>
      </c>
      <c r="N205" s="237">
        <v>5</v>
      </c>
      <c r="O205" s="239">
        <v>5</v>
      </c>
      <c r="P205" s="237">
        <v>4</v>
      </c>
      <c r="Q205" s="239">
        <v>7</v>
      </c>
      <c r="R205" s="237">
        <v>5</v>
      </c>
      <c r="S205" s="237">
        <v>4</v>
      </c>
      <c r="T205" s="237">
        <v>4</v>
      </c>
      <c r="U205" s="237">
        <v>4</v>
      </c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78</v>
      </c>
      <c r="AH205" s="186">
        <v>156</v>
      </c>
      <c r="AI205" s="186">
        <v>40</v>
      </c>
    </row>
    <row r="206" spans="1:35" ht="15" hidden="1" customHeight="1" x14ac:dyDescent="0.25">
      <c r="A206" s="489"/>
      <c r="B206" s="512"/>
      <c r="C206" s="515"/>
      <c r="D206" s="45" t="s">
        <v>768</v>
      </c>
      <c r="E206" s="4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156</v>
      </c>
      <c r="AI206" s="186">
        <v>40</v>
      </c>
    </row>
    <row r="207" spans="1:35" ht="15.75" hidden="1" customHeight="1" x14ac:dyDescent="0.25">
      <c r="A207" s="489"/>
      <c r="B207" s="512"/>
      <c r="C207" s="515"/>
      <c r="D207" s="45" t="s">
        <v>768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156</v>
      </c>
      <c r="AI207" s="186">
        <v>40</v>
      </c>
    </row>
    <row r="208" spans="1:35" ht="15.75" hidden="1" customHeight="1" thickBot="1" x14ac:dyDescent="0.3">
      <c r="A208" s="490"/>
      <c r="B208" s="513"/>
      <c r="C208" s="516"/>
      <c r="D208" s="47" t="s">
        <v>768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156</v>
      </c>
      <c r="AI208" s="187">
        <v>40</v>
      </c>
    </row>
    <row r="209" spans="1:35" ht="15" hidden="1" customHeight="1" x14ac:dyDescent="0.25">
      <c r="A209" s="488">
        <v>41</v>
      </c>
      <c r="B209" s="511" t="e">
        <v>#N/A</v>
      </c>
      <c r="C209" s="514" t="e">
        <v>#N/A</v>
      </c>
      <c r="D209" s="43" t="e">
        <v>#N/A</v>
      </c>
      <c r="E209" s="4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0</v>
      </c>
      <c r="AH209" s="185">
        <v>0</v>
      </c>
      <c r="AI209" s="185" t="e">
        <v>#N/A</v>
      </c>
    </row>
    <row r="210" spans="1:35" ht="15" hidden="1" customHeight="1" thickBot="1" x14ac:dyDescent="0.3">
      <c r="A210" s="489"/>
      <c r="B210" s="512"/>
      <c r="C210" s="515"/>
      <c r="D210" s="45" t="e">
        <v>#N/A</v>
      </c>
      <c r="E210" s="4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0</v>
      </c>
      <c r="AH210" s="186">
        <v>0</v>
      </c>
      <c r="AI210" s="186" t="e">
        <v>#N/A</v>
      </c>
    </row>
    <row r="211" spans="1:35" ht="15" hidden="1" customHeight="1" x14ac:dyDescent="0.25">
      <c r="A211" s="489"/>
      <c r="B211" s="512"/>
      <c r="C211" s="515"/>
      <c r="D211" s="45" t="e">
        <v>#N/A</v>
      </c>
      <c r="E211" s="4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0</v>
      </c>
      <c r="AI211" s="186" t="e">
        <v>#N/A</v>
      </c>
    </row>
    <row r="212" spans="1:35" ht="15.75" hidden="1" customHeight="1" x14ac:dyDescent="0.25">
      <c r="A212" s="489"/>
      <c r="B212" s="512"/>
      <c r="C212" s="515"/>
      <c r="D212" s="45" t="e">
        <v>#N/A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0</v>
      </c>
      <c r="AI212" s="186" t="e">
        <v>#N/A</v>
      </c>
    </row>
    <row r="213" spans="1:35" ht="15.75" hidden="1" customHeight="1" thickBot="1" x14ac:dyDescent="0.3">
      <c r="A213" s="490"/>
      <c r="B213" s="513"/>
      <c r="C213" s="516"/>
      <c r="D213" s="47" t="e">
        <v>#N/A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0</v>
      </c>
      <c r="AI213" s="187" t="e">
        <v>#N/A</v>
      </c>
    </row>
    <row r="214" spans="1:35" ht="15" hidden="1" customHeight="1" x14ac:dyDescent="0.25">
      <c r="A214" s="488">
        <v>42</v>
      </c>
      <c r="B214" s="511" t="e">
        <v>#N/A</v>
      </c>
      <c r="C214" s="514" t="e">
        <v>#N/A</v>
      </c>
      <c r="D214" s="43" t="e">
        <v>#N/A</v>
      </c>
      <c r="E214" s="4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0</v>
      </c>
      <c r="AH214" s="185">
        <v>0</v>
      </c>
      <c r="AI214" s="185" t="e">
        <v>#N/A</v>
      </c>
    </row>
    <row r="215" spans="1:35" ht="15" hidden="1" customHeight="1" thickBot="1" x14ac:dyDescent="0.3">
      <c r="A215" s="489"/>
      <c r="B215" s="512"/>
      <c r="C215" s="515"/>
      <c r="D215" s="45" t="e">
        <v>#N/A</v>
      </c>
      <c r="E215" s="4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0</v>
      </c>
      <c r="AH215" s="186">
        <v>0</v>
      </c>
      <c r="AI215" s="186" t="e">
        <v>#N/A</v>
      </c>
    </row>
    <row r="216" spans="1:35" ht="15" hidden="1" customHeight="1" x14ac:dyDescent="0.25">
      <c r="A216" s="489"/>
      <c r="B216" s="512"/>
      <c r="C216" s="515"/>
      <c r="D216" s="45" t="e">
        <v>#N/A</v>
      </c>
      <c r="E216" s="4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0</v>
      </c>
      <c r="AI216" s="186" t="e">
        <v>#N/A</v>
      </c>
    </row>
    <row r="217" spans="1:35" ht="15.75" hidden="1" customHeight="1" x14ac:dyDescent="0.25">
      <c r="A217" s="489"/>
      <c r="B217" s="512"/>
      <c r="C217" s="515"/>
      <c r="D217" s="45" t="e">
        <v>#N/A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0</v>
      </c>
      <c r="AI217" s="186" t="e">
        <v>#N/A</v>
      </c>
    </row>
    <row r="218" spans="1:35" ht="15.75" hidden="1" customHeight="1" thickBot="1" x14ac:dyDescent="0.3">
      <c r="A218" s="490"/>
      <c r="B218" s="513"/>
      <c r="C218" s="516"/>
      <c r="D218" s="47" t="e">
        <v>#N/A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0</v>
      </c>
      <c r="AI218" s="187" t="e">
        <v>#N/A</v>
      </c>
    </row>
    <row r="219" spans="1:35" ht="15" hidden="1" customHeight="1" x14ac:dyDescent="0.25">
      <c r="A219" s="488">
        <v>43</v>
      </c>
      <c r="B219" s="511" t="e">
        <v>#N/A</v>
      </c>
      <c r="C219" s="514" t="e">
        <v>#N/A</v>
      </c>
      <c r="D219" s="43" t="e">
        <v>#N/A</v>
      </c>
      <c r="E219" s="4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0</v>
      </c>
      <c r="AH219" s="185">
        <v>0</v>
      </c>
      <c r="AI219" s="185" t="e">
        <v>#N/A</v>
      </c>
    </row>
    <row r="220" spans="1:35" ht="15" hidden="1" customHeight="1" thickBot="1" x14ac:dyDescent="0.3">
      <c r="A220" s="489"/>
      <c r="B220" s="512"/>
      <c r="C220" s="515"/>
      <c r="D220" s="45" t="e">
        <v>#N/A</v>
      </c>
      <c r="E220" s="4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0</v>
      </c>
      <c r="AH220" s="186">
        <v>0</v>
      </c>
      <c r="AI220" s="186" t="e">
        <v>#N/A</v>
      </c>
    </row>
    <row r="221" spans="1:35" ht="15" hidden="1" customHeight="1" x14ac:dyDescent="0.25">
      <c r="A221" s="489"/>
      <c r="B221" s="512"/>
      <c r="C221" s="515"/>
      <c r="D221" s="45" t="e">
        <v>#N/A</v>
      </c>
      <c r="E221" s="4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0</v>
      </c>
      <c r="AI221" s="186" t="e">
        <v>#N/A</v>
      </c>
    </row>
    <row r="222" spans="1:35" ht="15.75" hidden="1" customHeight="1" x14ac:dyDescent="0.25">
      <c r="A222" s="489"/>
      <c r="B222" s="512"/>
      <c r="C222" s="515"/>
      <c r="D222" s="45" t="e">
        <v>#N/A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0</v>
      </c>
      <c r="AI222" s="186" t="e">
        <v>#N/A</v>
      </c>
    </row>
    <row r="223" spans="1:35" ht="15.75" hidden="1" customHeight="1" thickBot="1" x14ac:dyDescent="0.3">
      <c r="A223" s="490"/>
      <c r="B223" s="513"/>
      <c r="C223" s="516"/>
      <c r="D223" s="47" t="e">
        <v>#N/A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0</v>
      </c>
      <c r="AI223" s="187" t="e">
        <v>#N/A</v>
      </c>
    </row>
    <row r="224" spans="1:35" ht="15" hidden="1" customHeight="1" x14ac:dyDescent="0.25">
      <c r="A224" s="488">
        <v>44</v>
      </c>
      <c r="B224" s="511" t="e">
        <v>#N/A</v>
      </c>
      <c r="C224" s="514" t="e">
        <v>#N/A</v>
      </c>
      <c r="D224" s="43" t="e">
        <v>#N/A</v>
      </c>
      <c r="E224" s="4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0</v>
      </c>
      <c r="AH224" s="185">
        <v>0</v>
      </c>
      <c r="AI224" s="185" t="e">
        <v>#N/A</v>
      </c>
    </row>
    <row r="225" spans="1:35" ht="15" hidden="1" customHeight="1" thickBot="1" x14ac:dyDescent="0.3">
      <c r="A225" s="489"/>
      <c r="B225" s="512"/>
      <c r="C225" s="515"/>
      <c r="D225" s="45" t="e">
        <v>#N/A</v>
      </c>
      <c r="E225" s="4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0</v>
      </c>
      <c r="AH225" s="186">
        <v>0</v>
      </c>
      <c r="AI225" s="186" t="e">
        <v>#N/A</v>
      </c>
    </row>
    <row r="226" spans="1:35" ht="15" hidden="1" customHeight="1" x14ac:dyDescent="0.25">
      <c r="A226" s="489"/>
      <c r="B226" s="512"/>
      <c r="C226" s="515"/>
      <c r="D226" s="45" t="e">
        <v>#N/A</v>
      </c>
      <c r="E226" s="4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0</v>
      </c>
      <c r="AI226" s="186" t="e">
        <v>#N/A</v>
      </c>
    </row>
    <row r="227" spans="1:35" ht="15.75" hidden="1" customHeight="1" x14ac:dyDescent="0.25">
      <c r="A227" s="489"/>
      <c r="B227" s="512"/>
      <c r="C227" s="515"/>
      <c r="D227" s="45" t="e">
        <v>#N/A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0</v>
      </c>
      <c r="AI227" s="186" t="e">
        <v>#N/A</v>
      </c>
    </row>
    <row r="228" spans="1:35" ht="15.75" hidden="1" customHeight="1" thickBot="1" x14ac:dyDescent="0.3">
      <c r="A228" s="490"/>
      <c r="B228" s="513"/>
      <c r="C228" s="516"/>
      <c r="D228" s="47" t="e">
        <v>#N/A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0</v>
      </c>
      <c r="AI228" s="187" t="e">
        <v>#N/A</v>
      </c>
    </row>
    <row r="229" spans="1:35" ht="15" hidden="1" customHeight="1" x14ac:dyDescent="0.25">
      <c r="A229" s="488">
        <v>45</v>
      </c>
      <c r="B229" s="511" t="e">
        <v>#N/A</v>
      </c>
      <c r="C229" s="514" t="e">
        <v>#N/A</v>
      </c>
      <c r="D229" s="43" t="e">
        <v>#N/A</v>
      </c>
      <c r="E229" s="4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0</v>
      </c>
      <c r="AH229" s="185">
        <v>0</v>
      </c>
      <c r="AI229" s="185" t="e">
        <v>#N/A</v>
      </c>
    </row>
    <row r="230" spans="1:35" ht="15" hidden="1" customHeight="1" thickBot="1" x14ac:dyDescent="0.3">
      <c r="A230" s="489"/>
      <c r="B230" s="512"/>
      <c r="C230" s="515"/>
      <c r="D230" s="45" t="e">
        <v>#N/A</v>
      </c>
      <c r="E230" s="4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0</v>
      </c>
      <c r="AH230" s="186">
        <v>0</v>
      </c>
      <c r="AI230" s="186" t="e">
        <v>#N/A</v>
      </c>
    </row>
    <row r="231" spans="1:35" ht="15" hidden="1" customHeight="1" x14ac:dyDescent="0.25">
      <c r="A231" s="489"/>
      <c r="B231" s="512"/>
      <c r="C231" s="515"/>
      <c r="D231" s="45" t="e">
        <v>#N/A</v>
      </c>
      <c r="E231" s="4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0</v>
      </c>
      <c r="AI231" s="186" t="e">
        <v>#N/A</v>
      </c>
    </row>
    <row r="232" spans="1:35" ht="15.75" hidden="1" customHeight="1" x14ac:dyDescent="0.25">
      <c r="A232" s="489"/>
      <c r="B232" s="512"/>
      <c r="C232" s="515"/>
      <c r="D232" s="45" t="e">
        <v>#N/A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0</v>
      </c>
      <c r="AI232" s="186" t="e">
        <v>#N/A</v>
      </c>
    </row>
    <row r="233" spans="1:35" ht="15.75" hidden="1" customHeight="1" thickBot="1" x14ac:dyDescent="0.3">
      <c r="A233" s="490"/>
      <c r="B233" s="513"/>
      <c r="C233" s="516"/>
      <c r="D233" s="47" t="e">
        <v>#N/A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0</v>
      </c>
      <c r="AI233" s="187" t="e">
        <v>#N/A</v>
      </c>
    </row>
    <row r="234" spans="1:35" ht="15" hidden="1" customHeight="1" x14ac:dyDescent="0.25">
      <c r="A234" s="488">
        <v>46</v>
      </c>
      <c r="B234" s="511" t="e">
        <v>#N/A</v>
      </c>
      <c r="C234" s="514" t="e">
        <v>#N/A</v>
      </c>
      <c r="D234" s="43" t="e">
        <v>#N/A</v>
      </c>
      <c r="E234" s="4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thickBot="1" x14ac:dyDescent="0.3">
      <c r="A235" s="489"/>
      <c r="B235" s="512"/>
      <c r="C235" s="515"/>
      <c r="D235" s="45" t="e">
        <v>#N/A</v>
      </c>
      <c r="E235" s="4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89"/>
      <c r="B236" s="512"/>
      <c r="C236" s="515"/>
      <c r="D236" s="45" t="e">
        <v>#N/A</v>
      </c>
      <c r="E236" s="4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x14ac:dyDescent="0.25">
      <c r="A237" s="489"/>
      <c r="B237" s="512"/>
      <c r="C237" s="515"/>
      <c r="D237" s="45" t="e">
        <v>#N/A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90"/>
      <c r="B238" s="513"/>
      <c r="C238" s="516"/>
      <c r="D238" s="47" t="e">
        <v>#N/A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88">
        <v>47</v>
      </c>
      <c r="B239" s="511" t="e">
        <v>#N/A</v>
      </c>
      <c r="C239" s="514" t="e">
        <v>#N/A</v>
      </c>
      <c r="D239" s="43" t="e">
        <v>#N/A</v>
      </c>
      <c r="E239" s="4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thickBot="1" x14ac:dyDescent="0.3">
      <c r="A240" s="489"/>
      <c r="B240" s="512"/>
      <c r="C240" s="515"/>
      <c r="D240" s="45" t="e">
        <v>#N/A</v>
      </c>
      <c r="E240" s="4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89"/>
      <c r="B241" s="512"/>
      <c r="C241" s="515"/>
      <c r="D241" s="45" t="e">
        <v>#N/A</v>
      </c>
      <c r="E241" s="4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x14ac:dyDescent="0.25">
      <c r="A242" s="489"/>
      <c r="B242" s="512"/>
      <c r="C242" s="515"/>
      <c r="D242" s="45" t="e">
        <v>#N/A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90"/>
      <c r="B243" s="513"/>
      <c r="C243" s="516"/>
      <c r="D243" s="47" t="e">
        <v>#N/A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88">
        <v>48</v>
      </c>
      <c r="B244" s="511" t="e">
        <v>#N/A</v>
      </c>
      <c r="C244" s="514" t="e">
        <v>#N/A</v>
      </c>
      <c r="D244" s="43" t="e">
        <v>#N/A</v>
      </c>
      <c r="E244" s="4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thickBot="1" x14ac:dyDescent="0.3">
      <c r="A245" s="489"/>
      <c r="B245" s="512"/>
      <c r="C245" s="515"/>
      <c r="D245" s="45" t="e">
        <v>#N/A</v>
      </c>
      <c r="E245" s="4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89"/>
      <c r="B246" s="512"/>
      <c r="C246" s="515"/>
      <c r="D246" s="45" t="e">
        <v>#N/A</v>
      </c>
      <c r="E246" s="4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x14ac:dyDescent="0.25">
      <c r="A247" s="489"/>
      <c r="B247" s="512"/>
      <c r="C247" s="515"/>
      <c r="D247" s="45" t="e">
        <v>#N/A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90"/>
      <c r="B248" s="513"/>
      <c r="C248" s="516"/>
      <c r="D248" s="47" t="e">
        <v>#N/A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88">
        <v>49</v>
      </c>
      <c r="B249" s="511" t="e">
        <v>#N/A</v>
      </c>
      <c r="C249" s="514" t="e">
        <v>#N/A</v>
      </c>
      <c r="D249" s="43" t="e">
        <v>#N/A</v>
      </c>
      <c r="E249" s="4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thickBot="1" x14ac:dyDescent="0.3">
      <c r="A250" s="489"/>
      <c r="B250" s="512"/>
      <c r="C250" s="515"/>
      <c r="D250" s="45" t="e">
        <v>#N/A</v>
      </c>
      <c r="E250" s="4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89"/>
      <c r="B251" s="512"/>
      <c r="C251" s="515"/>
      <c r="D251" s="45" t="e">
        <v>#N/A</v>
      </c>
      <c r="E251" s="4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x14ac:dyDescent="0.25">
      <c r="A252" s="489"/>
      <c r="B252" s="512"/>
      <c r="C252" s="515"/>
      <c r="D252" s="45" t="e">
        <v>#N/A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90"/>
      <c r="B253" s="513"/>
      <c r="C253" s="516"/>
      <c r="D253" s="47" t="e">
        <v>#N/A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88">
        <v>50</v>
      </c>
      <c r="B254" s="511" t="e">
        <v>#N/A</v>
      </c>
      <c r="C254" s="514" t="e">
        <v>#N/A</v>
      </c>
      <c r="D254" s="43" t="e">
        <v>#N/A</v>
      </c>
      <c r="E254" s="4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thickBot="1" x14ac:dyDescent="0.3">
      <c r="A255" s="489"/>
      <c r="B255" s="512"/>
      <c r="C255" s="515"/>
      <c r="D255" s="45" t="e">
        <v>#N/A</v>
      </c>
      <c r="E255" s="4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89"/>
      <c r="B256" s="512"/>
      <c r="C256" s="515"/>
      <c r="D256" s="45" t="e">
        <v>#N/A</v>
      </c>
      <c r="E256" s="4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x14ac:dyDescent="0.25">
      <c r="A257" s="489"/>
      <c r="B257" s="512"/>
      <c r="C257" s="515"/>
      <c r="D257" s="45" t="e">
        <v>#N/A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90"/>
      <c r="B258" s="513"/>
      <c r="C258" s="516"/>
      <c r="D258" s="47" t="e">
        <v>#N/A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88">
        <v>51</v>
      </c>
      <c r="B259" s="511" t="e">
        <v>#N/A</v>
      </c>
      <c r="C259" s="514" t="e">
        <v>#N/A</v>
      </c>
      <c r="D259" s="43" t="e">
        <v>#N/A</v>
      </c>
      <c r="E259" s="4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thickBot="1" x14ac:dyDescent="0.3">
      <c r="A260" s="489"/>
      <c r="B260" s="512"/>
      <c r="C260" s="515"/>
      <c r="D260" s="45" t="e">
        <v>#N/A</v>
      </c>
      <c r="E260" s="4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89"/>
      <c r="B261" s="512"/>
      <c r="C261" s="515"/>
      <c r="D261" s="45" t="e">
        <v>#N/A</v>
      </c>
      <c r="E261" s="4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x14ac:dyDescent="0.25">
      <c r="A262" s="489"/>
      <c r="B262" s="512"/>
      <c r="C262" s="515"/>
      <c r="D262" s="45" t="e">
        <v>#N/A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90"/>
      <c r="B263" s="513"/>
      <c r="C263" s="516"/>
      <c r="D263" s="47" t="e">
        <v>#N/A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88">
        <v>52</v>
      </c>
      <c r="B264" s="511" t="e">
        <v>#N/A</v>
      </c>
      <c r="C264" s="514" t="e">
        <v>#N/A</v>
      </c>
      <c r="D264" s="43" t="e">
        <v>#N/A</v>
      </c>
      <c r="E264" s="4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thickBot="1" x14ac:dyDescent="0.3">
      <c r="A265" s="489"/>
      <c r="B265" s="512"/>
      <c r="C265" s="515"/>
      <c r="D265" s="45" t="e">
        <v>#N/A</v>
      </c>
      <c r="E265" s="4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89"/>
      <c r="B266" s="512"/>
      <c r="C266" s="515"/>
      <c r="D266" s="45" t="e">
        <v>#N/A</v>
      </c>
      <c r="E266" s="4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x14ac:dyDescent="0.25">
      <c r="A267" s="489"/>
      <c r="B267" s="512"/>
      <c r="C267" s="515"/>
      <c r="D267" s="45" t="e">
        <v>#N/A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90"/>
      <c r="B268" s="513"/>
      <c r="C268" s="516"/>
      <c r="D268" s="47" t="e">
        <v>#N/A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88">
        <v>53</v>
      </c>
      <c r="B269" s="511" t="e">
        <v>#N/A</v>
      </c>
      <c r="C269" s="514" t="e">
        <v>#N/A</v>
      </c>
      <c r="D269" s="43" t="e">
        <v>#N/A</v>
      </c>
      <c r="E269" s="4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thickBot="1" x14ac:dyDescent="0.3">
      <c r="A270" s="489"/>
      <c r="B270" s="512"/>
      <c r="C270" s="515"/>
      <c r="D270" s="45" t="e">
        <v>#N/A</v>
      </c>
      <c r="E270" s="4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89"/>
      <c r="B271" s="512"/>
      <c r="C271" s="515"/>
      <c r="D271" s="45" t="e">
        <v>#N/A</v>
      </c>
      <c r="E271" s="4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x14ac:dyDescent="0.25">
      <c r="A272" s="489"/>
      <c r="B272" s="512"/>
      <c r="C272" s="515"/>
      <c r="D272" s="45" t="e">
        <v>#N/A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90"/>
      <c r="B273" s="513"/>
      <c r="C273" s="516"/>
      <c r="D273" s="47" t="e">
        <v>#N/A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88">
        <v>54</v>
      </c>
      <c r="B274" s="511" t="e">
        <v>#N/A</v>
      </c>
      <c r="C274" s="514" t="e">
        <v>#N/A</v>
      </c>
      <c r="D274" s="43" t="e">
        <v>#N/A</v>
      </c>
      <c r="E274" s="4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thickBot="1" x14ac:dyDescent="0.3">
      <c r="A275" s="489"/>
      <c r="B275" s="512"/>
      <c r="C275" s="515"/>
      <c r="D275" s="45" t="e">
        <v>#N/A</v>
      </c>
      <c r="E275" s="4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89"/>
      <c r="B276" s="512"/>
      <c r="C276" s="515"/>
      <c r="D276" s="45" t="e">
        <v>#N/A</v>
      </c>
      <c r="E276" s="4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x14ac:dyDescent="0.25">
      <c r="A277" s="489"/>
      <c r="B277" s="512"/>
      <c r="C277" s="515"/>
      <c r="D277" s="45" t="e">
        <v>#N/A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90"/>
      <c r="B278" s="513"/>
      <c r="C278" s="516"/>
      <c r="D278" s="47" t="e">
        <v>#N/A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88">
        <v>55</v>
      </c>
      <c r="B279" s="511" t="e">
        <v>#N/A</v>
      </c>
      <c r="C279" s="514" t="e">
        <v>#N/A</v>
      </c>
      <c r="D279" s="43" t="e">
        <v>#N/A</v>
      </c>
      <c r="E279" s="4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thickBot="1" x14ac:dyDescent="0.3">
      <c r="A280" s="489"/>
      <c r="B280" s="512"/>
      <c r="C280" s="515"/>
      <c r="D280" s="45" t="e">
        <v>#N/A</v>
      </c>
      <c r="E280" s="4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89"/>
      <c r="B281" s="512"/>
      <c r="C281" s="515"/>
      <c r="D281" s="45" t="e">
        <v>#N/A</v>
      </c>
      <c r="E281" s="4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x14ac:dyDescent="0.25">
      <c r="A282" s="489"/>
      <c r="B282" s="512"/>
      <c r="C282" s="515"/>
      <c r="D282" s="45" t="e">
        <v>#N/A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90"/>
      <c r="B283" s="513"/>
      <c r="C283" s="516"/>
      <c r="D283" s="47" t="e">
        <v>#N/A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88">
        <v>56</v>
      </c>
      <c r="B284" s="511" t="e">
        <v>#N/A</v>
      </c>
      <c r="C284" s="514" t="e">
        <v>#N/A</v>
      </c>
      <c r="D284" s="43" t="e">
        <v>#N/A</v>
      </c>
      <c r="E284" s="4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thickBot="1" x14ac:dyDescent="0.3">
      <c r="A285" s="489"/>
      <c r="B285" s="512"/>
      <c r="C285" s="515"/>
      <c r="D285" s="45" t="e">
        <v>#N/A</v>
      </c>
      <c r="E285" s="4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89"/>
      <c r="B286" s="512"/>
      <c r="C286" s="515"/>
      <c r="D286" s="45" t="e">
        <v>#N/A</v>
      </c>
      <c r="E286" s="4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x14ac:dyDescent="0.25">
      <c r="A287" s="489"/>
      <c r="B287" s="512"/>
      <c r="C287" s="515"/>
      <c r="D287" s="45" t="e">
        <v>#N/A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90"/>
      <c r="B288" s="513"/>
      <c r="C288" s="516"/>
      <c r="D288" s="47" t="e">
        <v>#N/A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88">
        <v>57</v>
      </c>
      <c r="B289" s="511" t="e">
        <v>#N/A</v>
      </c>
      <c r="C289" s="514" t="e">
        <v>#N/A</v>
      </c>
      <c r="D289" s="43" t="e">
        <v>#N/A</v>
      </c>
      <c r="E289" s="4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thickBot="1" x14ac:dyDescent="0.3">
      <c r="A290" s="489"/>
      <c r="B290" s="512"/>
      <c r="C290" s="515"/>
      <c r="D290" s="45" t="e">
        <v>#N/A</v>
      </c>
      <c r="E290" s="4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89"/>
      <c r="B291" s="512"/>
      <c r="C291" s="515"/>
      <c r="D291" s="45" t="e">
        <v>#N/A</v>
      </c>
      <c r="E291" s="4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89"/>
      <c r="B292" s="512"/>
      <c r="C292" s="515"/>
      <c r="D292" s="45" t="e">
        <v>#N/A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90"/>
      <c r="B293" s="513"/>
      <c r="C293" s="516"/>
      <c r="D293" s="47" t="e">
        <v>#N/A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88">
        <v>58</v>
      </c>
      <c r="B294" s="511" t="e">
        <v>#N/A</v>
      </c>
      <c r="C294" s="514" t="e">
        <v>#N/A</v>
      </c>
      <c r="D294" s="43" t="e">
        <v>#N/A</v>
      </c>
      <c r="E294" s="4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thickBot="1" x14ac:dyDescent="0.3">
      <c r="A295" s="489"/>
      <c r="B295" s="512"/>
      <c r="C295" s="515"/>
      <c r="D295" s="45" t="e">
        <v>#N/A</v>
      </c>
      <c r="E295" s="4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89"/>
      <c r="B296" s="512"/>
      <c r="C296" s="515"/>
      <c r="D296" s="45" t="e">
        <v>#N/A</v>
      </c>
      <c r="E296" s="4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89"/>
      <c r="B297" s="512"/>
      <c r="C297" s="515"/>
      <c r="D297" s="45" t="e">
        <v>#N/A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90"/>
      <c r="B298" s="513"/>
      <c r="C298" s="516"/>
      <c r="D298" s="47" t="e">
        <v>#N/A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88">
        <v>59</v>
      </c>
      <c r="B299" s="511" t="e">
        <v>#N/A</v>
      </c>
      <c r="C299" s="514" t="e">
        <v>#N/A</v>
      </c>
      <c r="D299" s="43" t="e">
        <v>#N/A</v>
      </c>
      <c r="E299" s="4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thickBot="1" x14ac:dyDescent="0.3">
      <c r="A300" s="489"/>
      <c r="B300" s="512"/>
      <c r="C300" s="515"/>
      <c r="D300" s="45" t="e">
        <v>#N/A</v>
      </c>
      <c r="E300" s="4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89"/>
      <c r="B301" s="512"/>
      <c r="C301" s="515"/>
      <c r="D301" s="45" t="e">
        <v>#N/A</v>
      </c>
      <c r="E301" s="4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89"/>
      <c r="B302" s="512"/>
      <c r="C302" s="515"/>
      <c r="D302" s="45" t="e">
        <v>#N/A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90"/>
      <c r="B303" s="513"/>
      <c r="C303" s="516"/>
      <c r="D303" s="47" t="e">
        <v>#N/A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88">
        <v>60</v>
      </c>
      <c r="B304" s="511" t="e">
        <v>#N/A</v>
      </c>
      <c r="C304" s="514" t="e">
        <v>#N/A</v>
      </c>
      <c r="D304" s="43" t="e">
        <v>#N/A</v>
      </c>
      <c r="E304" s="4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thickBot="1" x14ac:dyDescent="0.3">
      <c r="A305" s="489"/>
      <c r="B305" s="512"/>
      <c r="C305" s="515"/>
      <c r="D305" s="45" t="e">
        <v>#N/A</v>
      </c>
      <c r="E305" s="4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9"/>
      <c r="B306" s="512"/>
      <c r="C306" s="515"/>
      <c r="D306" s="45" t="e">
        <v>#N/A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89"/>
      <c r="B307" s="512"/>
      <c r="C307" s="515"/>
      <c r="D307" s="45" t="e">
        <v>#N/A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90"/>
      <c r="B308" s="513"/>
      <c r="C308" s="516"/>
      <c r="D308" s="47" t="e">
        <v>#N/A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88">
        <v>61</v>
      </c>
      <c r="B309" s="511" t="e">
        <v>#N/A</v>
      </c>
      <c r="C309" s="514" t="e">
        <v>#N/A</v>
      </c>
      <c r="D309" s="43" t="e">
        <v>#N/A</v>
      </c>
      <c r="E309" s="4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thickBot="1" x14ac:dyDescent="0.3">
      <c r="A310" s="489"/>
      <c r="B310" s="512"/>
      <c r="C310" s="515"/>
      <c r="D310" s="45" t="e">
        <v>#N/A</v>
      </c>
      <c r="E310" s="4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9"/>
      <c r="B311" s="512"/>
      <c r="C311" s="515"/>
      <c r="D311" s="45" t="e">
        <v>#N/A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89"/>
      <c r="B312" s="512"/>
      <c r="C312" s="515"/>
      <c r="D312" s="45" t="e">
        <v>#N/A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90"/>
      <c r="B313" s="513"/>
      <c r="C313" s="516"/>
      <c r="D313" s="47" t="e">
        <v>#N/A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8">
        <v>62</v>
      </c>
      <c r="B314" s="511" t="e">
        <v>#N/A</v>
      </c>
      <c r="C314" s="514" t="e">
        <v>#N/A</v>
      </c>
      <c r="D314" s="43" t="e">
        <v>#N/A</v>
      </c>
      <c r="E314" s="4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thickBot="1" x14ac:dyDescent="0.3">
      <c r="A315" s="489"/>
      <c r="B315" s="512"/>
      <c r="C315" s="515"/>
      <c r="D315" s="45" t="e">
        <v>#N/A</v>
      </c>
      <c r="E315" s="4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9"/>
      <c r="B316" s="512"/>
      <c r="C316" s="515"/>
      <c r="D316" s="45" t="e">
        <v>#N/A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89"/>
      <c r="B317" s="512"/>
      <c r="C317" s="515"/>
      <c r="D317" s="45" t="e">
        <v>#N/A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90"/>
      <c r="B318" s="513"/>
      <c r="C318" s="516"/>
      <c r="D318" s="47" t="e">
        <v>#N/A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8">
        <v>63</v>
      </c>
      <c r="B319" s="511" t="e">
        <v>#N/A</v>
      </c>
      <c r="C319" s="514" t="e">
        <v>#N/A</v>
      </c>
      <c r="D319" s="43" t="e">
        <v>#N/A</v>
      </c>
      <c r="E319" s="4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thickBot="1" x14ac:dyDescent="0.3">
      <c r="A320" s="489"/>
      <c r="B320" s="512"/>
      <c r="C320" s="515"/>
      <c r="D320" s="45" t="e">
        <v>#N/A</v>
      </c>
      <c r="E320" s="4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9"/>
      <c r="B321" s="512"/>
      <c r="C321" s="515"/>
      <c r="D321" s="45" t="e">
        <v>#N/A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89"/>
      <c r="B322" s="512"/>
      <c r="C322" s="515"/>
      <c r="D322" s="45" t="e">
        <v>#N/A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90"/>
      <c r="B323" s="513"/>
      <c r="C323" s="516"/>
      <c r="D323" s="47" t="e">
        <v>#N/A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8">
        <v>64</v>
      </c>
      <c r="B324" s="511" t="e">
        <v>#N/A</v>
      </c>
      <c r="C324" s="514" t="e">
        <v>#N/A</v>
      </c>
      <c r="D324" s="43" t="e">
        <v>#N/A</v>
      </c>
      <c r="E324" s="4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thickBot="1" x14ac:dyDescent="0.3">
      <c r="A325" s="489"/>
      <c r="B325" s="512"/>
      <c r="C325" s="515"/>
      <c r="D325" s="45" t="e">
        <v>#N/A</v>
      </c>
      <c r="E325" s="4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9"/>
      <c r="B326" s="512"/>
      <c r="C326" s="515"/>
      <c r="D326" s="45" t="e">
        <v>#N/A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89"/>
      <c r="B327" s="512"/>
      <c r="C327" s="515"/>
      <c r="D327" s="45" t="e">
        <v>#N/A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90"/>
      <c r="B328" s="513"/>
      <c r="C328" s="516"/>
      <c r="D328" s="47" t="e">
        <v>#N/A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8">
        <v>65</v>
      </c>
      <c r="B329" s="511" t="e">
        <v>#N/A</v>
      </c>
      <c r="C329" s="514" t="e">
        <v>#N/A</v>
      </c>
      <c r="D329" s="43" t="e">
        <v>#N/A</v>
      </c>
      <c r="E329" s="4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thickBot="1" x14ac:dyDescent="0.3">
      <c r="A330" s="489"/>
      <c r="B330" s="512"/>
      <c r="C330" s="515"/>
      <c r="D330" s="45" t="e">
        <v>#N/A</v>
      </c>
      <c r="E330" s="4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9"/>
      <c r="B331" s="512"/>
      <c r="C331" s="515"/>
      <c r="D331" s="45" t="e">
        <v>#N/A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89"/>
      <c r="B332" s="512"/>
      <c r="C332" s="515"/>
      <c r="D332" s="45" t="e">
        <v>#N/A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90"/>
      <c r="B333" s="513"/>
      <c r="C333" s="516"/>
      <c r="D333" s="47" t="e">
        <v>#N/A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8">
        <v>66</v>
      </c>
      <c r="B334" s="511" t="e">
        <v>#N/A</v>
      </c>
      <c r="C334" s="514" t="e">
        <v>#N/A</v>
      </c>
      <c r="D334" s="43" t="e">
        <v>#N/A</v>
      </c>
      <c r="E334" s="4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89"/>
      <c r="B335" s="512"/>
      <c r="C335" s="515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9"/>
      <c r="B336" s="512"/>
      <c r="C336" s="515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89"/>
      <c r="B337" s="512"/>
      <c r="C337" s="515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0"/>
      <c r="B338" s="513"/>
      <c r="C338" s="516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8">
        <v>67</v>
      </c>
      <c r="B339" s="511" t="e">
        <v>#N/A</v>
      </c>
      <c r="C339" s="514" t="e">
        <v>#N/A</v>
      </c>
      <c r="D339" s="43" t="e">
        <v>#N/A</v>
      </c>
      <c r="E339" s="4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89"/>
      <c r="B340" s="512"/>
      <c r="C340" s="515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9"/>
      <c r="B341" s="512"/>
      <c r="C341" s="515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89"/>
      <c r="B342" s="512"/>
      <c r="C342" s="515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0"/>
      <c r="B343" s="513"/>
      <c r="C343" s="516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8">
        <v>68</v>
      </c>
      <c r="B344" s="511" t="e">
        <v>#N/A</v>
      </c>
      <c r="C344" s="514" t="e">
        <v>#N/A</v>
      </c>
      <c r="D344" s="43" t="e">
        <v>#N/A</v>
      </c>
      <c r="E344" s="4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89"/>
      <c r="B345" s="512"/>
      <c r="C345" s="515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9"/>
      <c r="B346" s="512"/>
      <c r="C346" s="515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89"/>
      <c r="B347" s="512"/>
      <c r="C347" s="515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0"/>
      <c r="B348" s="513"/>
      <c r="C348" s="516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8">
        <v>69</v>
      </c>
      <c r="B349" s="511" t="e">
        <v>#N/A</v>
      </c>
      <c r="C349" s="514" t="e">
        <v>#N/A</v>
      </c>
      <c r="D349" s="43" t="e">
        <v>#N/A</v>
      </c>
      <c r="E349" s="4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89"/>
      <c r="B350" s="512"/>
      <c r="C350" s="515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9"/>
      <c r="B351" s="512"/>
      <c r="C351" s="515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89"/>
      <c r="B352" s="512"/>
      <c r="C352" s="515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0"/>
      <c r="B353" s="513"/>
      <c r="C353" s="516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8">
        <v>70</v>
      </c>
      <c r="B354" s="511" t="e">
        <v>#N/A</v>
      </c>
      <c r="C354" s="514" t="e">
        <v>#N/A</v>
      </c>
      <c r="D354" s="43" t="e">
        <v>#N/A</v>
      </c>
      <c r="E354" s="4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89"/>
      <c r="B355" s="512"/>
      <c r="C355" s="515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9"/>
      <c r="B356" s="512"/>
      <c r="C356" s="515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89"/>
      <c r="B357" s="512"/>
      <c r="C357" s="515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0"/>
      <c r="B358" s="513"/>
      <c r="C358" s="516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8">
        <v>71</v>
      </c>
      <c r="B359" s="511" t="e">
        <v>#N/A</v>
      </c>
      <c r="C359" s="514" t="e">
        <v>#N/A</v>
      </c>
      <c r="D359" s="43" t="e">
        <v>#N/A</v>
      </c>
      <c r="E359" s="4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89"/>
      <c r="B360" s="512"/>
      <c r="C360" s="515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9"/>
      <c r="B361" s="512"/>
      <c r="C361" s="515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89"/>
      <c r="B362" s="512"/>
      <c r="C362" s="515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0"/>
      <c r="B363" s="513"/>
      <c r="C363" s="516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8">
        <v>72</v>
      </c>
      <c r="B364" s="511" t="e">
        <v>#N/A</v>
      </c>
      <c r="C364" s="514" t="e">
        <v>#N/A</v>
      </c>
      <c r="D364" s="43" t="e">
        <v>#N/A</v>
      </c>
      <c r="E364" s="4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89"/>
      <c r="B365" s="512"/>
      <c r="C365" s="515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9"/>
      <c r="B366" s="512"/>
      <c r="C366" s="515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89"/>
      <c r="B367" s="512"/>
      <c r="C367" s="515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0"/>
      <c r="B368" s="513"/>
      <c r="C368" s="516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8">
        <v>73</v>
      </c>
      <c r="B369" s="511" t="e">
        <v>#N/A</v>
      </c>
      <c r="C369" s="514" t="e">
        <v>#N/A</v>
      </c>
      <c r="D369" s="43" t="e">
        <v>#N/A</v>
      </c>
      <c r="E369" s="4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89"/>
      <c r="B370" s="512"/>
      <c r="C370" s="515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9"/>
      <c r="B371" s="512"/>
      <c r="C371" s="515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89"/>
      <c r="B372" s="512"/>
      <c r="C372" s="515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0"/>
      <c r="B373" s="513"/>
      <c r="C373" s="516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8">
        <v>74</v>
      </c>
      <c r="B374" s="511" t="e">
        <v>#N/A</v>
      </c>
      <c r="C374" s="514" t="e">
        <v>#N/A</v>
      </c>
      <c r="D374" s="43" t="e">
        <v>#N/A</v>
      </c>
      <c r="E374" s="4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89"/>
      <c r="B375" s="512"/>
      <c r="C375" s="515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9"/>
      <c r="B376" s="512"/>
      <c r="C376" s="515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89"/>
      <c r="B377" s="512"/>
      <c r="C377" s="515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0"/>
      <c r="B378" s="513"/>
      <c r="C378" s="516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8">
        <v>75</v>
      </c>
      <c r="B379" s="511" t="e">
        <v>#N/A</v>
      </c>
      <c r="C379" s="514" t="e">
        <v>#N/A</v>
      </c>
      <c r="D379" s="43" t="e">
        <v>#N/A</v>
      </c>
      <c r="E379" s="4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89"/>
      <c r="B380" s="512"/>
      <c r="C380" s="515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9"/>
      <c r="B381" s="512"/>
      <c r="C381" s="515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89"/>
      <c r="B382" s="512"/>
      <c r="C382" s="515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0"/>
      <c r="B383" s="513"/>
      <c r="C383" s="516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8">
        <v>76</v>
      </c>
      <c r="B384" s="511" t="e">
        <v>#N/A</v>
      </c>
      <c r="C384" s="514" t="e">
        <v>#N/A</v>
      </c>
      <c r="D384" s="43" t="e">
        <v>#N/A</v>
      </c>
      <c r="E384" s="4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89"/>
      <c r="B385" s="512"/>
      <c r="C385" s="515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9"/>
      <c r="B386" s="512"/>
      <c r="C386" s="515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89"/>
      <c r="B387" s="512"/>
      <c r="C387" s="515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0"/>
      <c r="B388" s="513"/>
      <c r="C388" s="516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8">
        <v>77</v>
      </c>
      <c r="B389" s="511" t="e">
        <v>#N/A</v>
      </c>
      <c r="C389" s="514" t="e">
        <v>#N/A</v>
      </c>
      <c r="D389" s="43" t="e">
        <v>#N/A</v>
      </c>
      <c r="E389" s="4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89"/>
      <c r="B390" s="512"/>
      <c r="C390" s="515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9"/>
      <c r="B391" s="512"/>
      <c r="C391" s="515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89"/>
      <c r="B392" s="512"/>
      <c r="C392" s="515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0"/>
      <c r="B393" s="513"/>
      <c r="C393" s="516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8">
        <v>78</v>
      </c>
      <c r="B394" s="511" t="e">
        <v>#N/A</v>
      </c>
      <c r="C394" s="514" t="e">
        <v>#N/A</v>
      </c>
      <c r="D394" s="43" t="e">
        <v>#N/A</v>
      </c>
      <c r="E394" s="4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89"/>
      <c r="B395" s="512"/>
      <c r="C395" s="515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9"/>
      <c r="B396" s="512"/>
      <c r="C396" s="515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89"/>
      <c r="B397" s="512"/>
      <c r="C397" s="515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0"/>
      <c r="B398" s="513"/>
      <c r="C398" s="516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8">
        <v>79</v>
      </c>
      <c r="B399" s="511" t="e">
        <v>#N/A</v>
      </c>
      <c r="C399" s="514" t="e">
        <v>#N/A</v>
      </c>
      <c r="D399" s="43" t="e">
        <v>#N/A</v>
      </c>
      <c r="E399" s="4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89"/>
      <c r="B400" s="512"/>
      <c r="C400" s="515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9"/>
      <c r="B401" s="512"/>
      <c r="C401" s="515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89"/>
      <c r="B402" s="512"/>
      <c r="C402" s="515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0"/>
      <c r="B403" s="513"/>
      <c r="C403" s="516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8">
        <v>80</v>
      </c>
      <c r="B404" s="511" t="e">
        <v>#N/A</v>
      </c>
      <c r="C404" s="514" t="e">
        <v>#N/A</v>
      </c>
      <c r="D404" s="43" t="e">
        <v>#N/A</v>
      </c>
      <c r="E404" s="4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89"/>
      <c r="B405" s="512"/>
      <c r="C405" s="515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9"/>
      <c r="B406" s="512"/>
      <c r="C406" s="515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89"/>
      <c r="B407" s="512"/>
      <c r="C407" s="515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0"/>
      <c r="B408" s="513"/>
      <c r="C408" s="516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8" t="s">
        <v>34</v>
      </c>
      <c r="B409" s="511" t="s">
        <v>895</v>
      </c>
      <c r="C409" s="514" t="s">
        <v>331</v>
      </c>
      <c r="D409" s="43" t="s">
        <v>331</v>
      </c>
      <c r="E409" s="44" t="s">
        <v>26</v>
      </c>
      <c r="F409" s="391">
        <v>3</v>
      </c>
      <c r="G409" s="226"/>
      <c r="H409" s="238">
        <v>6</v>
      </c>
      <c r="I409" s="240">
        <v>2</v>
      </c>
      <c r="J409" s="222">
        <v>3</v>
      </c>
      <c r="K409" s="222">
        <v>5</v>
      </c>
      <c r="L409" s="236">
        <v>4</v>
      </c>
      <c r="M409" s="222">
        <v>3</v>
      </c>
      <c r="N409" s="236">
        <v>5</v>
      </c>
      <c r="O409" s="238">
        <v>5</v>
      </c>
      <c r="P409" s="240">
        <v>2</v>
      </c>
      <c r="Q409" s="238">
        <v>6</v>
      </c>
      <c r="R409" s="240">
        <v>3</v>
      </c>
      <c r="S409" s="236">
        <v>4</v>
      </c>
      <c r="T409" s="222">
        <v>3</v>
      </c>
      <c r="U409" s="222">
        <v>3</v>
      </c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57</v>
      </c>
      <c r="AH409" s="185">
        <v>57</v>
      </c>
      <c r="AI409" s="185" t="s">
        <v>895</v>
      </c>
    </row>
    <row r="410" spans="1:35" ht="15" customHeight="1" thickBot="1" x14ac:dyDescent="0.3">
      <c r="A410" s="489"/>
      <c r="B410" s="512"/>
      <c r="C410" s="515"/>
      <c r="D410" s="45" t="s">
        <v>331</v>
      </c>
      <c r="E410" s="4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57</v>
      </c>
      <c r="AI410" s="186" t="s">
        <v>895</v>
      </c>
    </row>
    <row r="411" spans="1:35" ht="15" hidden="1" customHeight="1" x14ac:dyDescent="0.25">
      <c r="A411" s="489"/>
      <c r="B411" s="512"/>
      <c r="C411" s="515"/>
      <c r="D411" s="45" t="s">
        <v>331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57</v>
      </c>
      <c r="AI411" s="186" t="s">
        <v>895</v>
      </c>
    </row>
    <row r="412" spans="1:35" ht="15.75" hidden="1" customHeight="1" x14ac:dyDescent="0.25">
      <c r="A412" s="489"/>
      <c r="B412" s="512"/>
      <c r="C412" s="515"/>
      <c r="D412" s="45" t="s">
        <v>331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57</v>
      </c>
      <c r="AI412" s="186" t="s">
        <v>895</v>
      </c>
    </row>
    <row r="413" spans="1:35" ht="15.75" hidden="1" customHeight="1" thickBot="1" x14ac:dyDescent="0.3">
      <c r="A413" s="490"/>
      <c r="B413" s="513"/>
      <c r="C413" s="516"/>
      <c r="D413" s="47" t="s">
        <v>331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57</v>
      </c>
      <c r="AI413" s="187" t="s">
        <v>895</v>
      </c>
    </row>
    <row r="414" spans="1:35" ht="15" customHeight="1" x14ac:dyDescent="0.25">
      <c r="A414" s="488" t="s">
        <v>35</v>
      </c>
      <c r="B414" s="511" t="s">
        <v>895</v>
      </c>
      <c r="C414" s="514" t="s">
        <v>398</v>
      </c>
      <c r="D414" s="43" t="s">
        <v>398</v>
      </c>
      <c r="E414" s="44" t="s">
        <v>26</v>
      </c>
      <c r="F414" s="223">
        <v>4</v>
      </c>
      <c r="G414" s="222">
        <v>4</v>
      </c>
      <c r="H414" s="236">
        <v>5</v>
      </c>
      <c r="I414" s="222">
        <v>3</v>
      </c>
      <c r="J414" s="222">
        <v>3</v>
      </c>
      <c r="K414" s="236">
        <v>6</v>
      </c>
      <c r="L414" s="222">
        <v>3</v>
      </c>
      <c r="M414" s="222">
        <v>3</v>
      </c>
      <c r="N414" s="236">
        <v>5</v>
      </c>
      <c r="O414" s="236">
        <v>4</v>
      </c>
      <c r="P414" s="240">
        <v>2</v>
      </c>
      <c r="Q414" s="236">
        <v>5</v>
      </c>
      <c r="R414" s="222">
        <v>4</v>
      </c>
      <c r="S414" s="236">
        <v>4</v>
      </c>
      <c r="T414" s="238">
        <v>5</v>
      </c>
      <c r="U414" s="222">
        <v>3</v>
      </c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63</v>
      </c>
      <c r="AH414" s="185">
        <v>63</v>
      </c>
      <c r="AI414" s="185">
        <v>23</v>
      </c>
    </row>
    <row r="415" spans="1:35" ht="15" customHeight="1" thickBot="1" x14ac:dyDescent="0.3">
      <c r="A415" s="489"/>
      <c r="B415" s="512"/>
      <c r="C415" s="515"/>
      <c r="D415" s="45" t="s">
        <v>398</v>
      </c>
      <c r="E415" s="46" t="s">
        <v>27</v>
      </c>
      <c r="F415" s="224">
        <v>4</v>
      </c>
      <c r="G415" s="237">
        <v>5</v>
      </c>
      <c r="H415" s="239">
        <v>7</v>
      </c>
      <c r="I415" s="237">
        <v>4</v>
      </c>
      <c r="J415" s="237">
        <v>4</v>
      </c>
      <c r="K415" s="228"/>
      <c r="L415" s="225">
        <v>3</v>
      </c>
      <c r="M415" s="225">
        <v>3</v>
      </c>
      <c r="N415" s="239">
        <v>6</v>
      </c>
      <c r="O415" s="239">
        <v>6</v>
      </c>
      <c r="P415" s="239">
        <v>5</v>
      </c>
      <c r="Q415" s="239">
        <v>11</v>
      </c>
      <c r="R415" s="239">
        <v>7</v>
      </c>
      <c r="S415" s="237">
        <v>4</v>
      </c>
      <c r="T415" s="237">
        <v>4</v>
      </c>
      <c r="U415" s="225">
        <v>3</v>
      </c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76</v>
      </c>
      <c r="AH415" s="186">
        <v>139</v>
      </c>
      <c r="AI415" s="186" t="s">
        <v>895</v>
      </c>
    </row>
    <row r="416" spans="1:35" ht="15" hidden="1" customHeight="1" x14ac:dyDescent="0.25">
      <c r="A416" s="489"/>
      <c r="B416" s="512"/>
      <c r="C416" s="515"/>
      <c r="D416" s="45" t="s">
        <v>398</v>
      </c>
      <c r="E416" s="4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139</v>
      </c>
      <c r="AI416" s="186" t="s">
        <v>895</v>
      </c>
    </row>
    <row r="417" spans="1:35" ht="15.75" hidden="1" customHeight="1" x14ac:dyDescent="0.25">
      <c r="A417" s="489"/>
      <c r="B417" s="512"/>
      <c r="C417" s="515"/>
      <c r="D417" s="45" t="s">
        <v>398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139</v>
      </c>
      <c r="AI417" s="186" t="s">
        <v>895</v>
      </c>
    </row>
    <row r="418" spans="1:35" ht="15.75" hidden="1" customHeight="1" thickBot="1" x14ac:dyDescent="0.3">
      <c r="A418" s="490"/>
      <c r="B418" s="513"/>
      <c r="C418" s="516"/>
      <c r="D418" s="47" t="s">
        <v>398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139</v>
      </c>
      <c r="AI418" s="187" t="s">
        <v>895</v>
      </c>
    </row>
    <row r="419" spans="1:35" ht="15" customHeight="1" x14ac:dyDescent="0.25">
      <c r="A419" s="488" t="s">
        <v>36</v>
      </c>
      <c r="B419" s="511" t="s">
        <v>895</v>
      </c>
      <c r="C419" s="514" t="s">
        <v>420</v>
      </c>
      <c r="D419" s="43" t="s">
        <v>420</v>
      </c>
      <c r="E419" s="4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s">
        <v>895</v>
      </c>
    </row>
    <row r="420" spans="1:35" ht="15" customHeight="1" thickBot="1" x14ac:dyDescent="0.3">
      <c r="A420" s="489"/>
      <c r="B420" s="512"/>
      <c r="C420" s="515"/>
      <c r="D420" s="45" t="s">
        <v>420</v>
      </c>
      <c r="E420" s="4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s">
        <v>895</v>
      </c>
    </row>
    <row r="421" spans="1:35" ht="15" hidden="1" customHeight="1" x14ac:dyDescent="0.25">
      <c r="A421" s="489"/>
      <c r="B421" s="512"/>
      <c r="C421" s="515"/>
      <c r="D421" s="45" t="s">
        <v>420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s">
        <v>895</v>
      </c>
    </row>
    <row r="422" spans="1:35" ht="15.75" hidden="1" customHeight="1" x14ac:dyDescent="0.25">
      <c r="A422" s="489"/>
      <c r="B422" s="512"/>
      <c r="C422" s="515"/>
      <c r="D422" s="45" t="s">
        <v>420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s">
        <v>895</v>
      </c>
    </row>
    <row r="423" spans="1:35" ht="15.75" hidden="1" customHeight="1" thickBot="1" x14ac:dyDescent="0.3">
      <c r="A423" s="490"/>
      <c r="B423" s="513"/>
      <c r="C423" s="516"/>
      <c r="D423" s="47" t="s">
        <v>420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s">
        <v>895</v>
      </c>
    </row>
    <row r="424" spans="1:35" ht="15" customHeight="1" x14ac:dyDescent="0.25">
      <c r="A424" s="488" t="s">
        <v>37</v>
      </c>
      <c r="B424" s="511" t="s">
        <v>895</v>
      </c>
      <c r="C424" s="514" t="s">
        <v>474</v>
      </c>
      <c r="D424" s="43" t="s">
        <v>474</v>
      </c>
      <c r="E424" s="4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s">
        <v>895</v>
      </c>
    </row>
    <row r="425" spans="1:35" ht="15" customHeight="1" x14ac:dyDescent="0.25">
      <c r="A425" s="489"/>
      <c r="B425" s="512"/>
      <c r="C425" s="515"/>
      <c r="D425" s="45" t="s">
        <v>474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s">
        <v>895</v>
      </c>
    </row>
    <row r="426" spans="1:35" ht="15" hidden="1" customHeight="1" x14ac:dyDescent="0.25">
      <c r="A426" s="489"/>
      <c r="B426" s="512"/>
      <c r="C426" s="515"/>
      <c r="D426" s="45" t="s">
        <v>474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s">
        <v>895</v>
      </c>
    </row>
    <row r="427" spans="1:35" ht="15.75" hidden="1" customHeight="1" x14ac:dyDescent="0.25">
      <c r="A427" s="489"/>
      <c r="B427" s="512"/>
      <c r="C427" s="515"/>
      <c r="D427" s="45" t="s">
        <v>474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s">
        <v>895</v>
      </c>
    </row>
    <row r="428" spans="1:35" ht="15.75" hidden="1" customHeight="1" thickBot="1" x14ac:dyDescent="0.3">
      <c r="A428" s="490"/>
      <c r="B428" s="513"/>
      <c r="C428" s="516"/>
      <c r="D428" s="47" t="s">
        <v>474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s">
        <v>895</v>
      </c>
    </row>
    <row r="429" spans="1:35" ht="15" hidden="1" customHeight="1" x14ac:dyDescent="0.25">
      <c r="A429" s="488" t="s">
        <v>38</v>
      </c>
      <c r="B429" s="511" t="e">
        <v>#N/A</v>
      </c>
      <c r="C429" s="514" t="e">
        <v>#N/A</v>
      </c>
      <c r="D429" s="43" t="e">
        <v>#N/A</v>
      </c>
      <c r="E429" s="4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89"/>
      <c r="B430" s="512"/>
      <c r="C430" s="515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9"/>
      <c r="B431" s="512"/>
      <c r="C431" s="515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89"/>
      <c r="B432" s="512"/>
      <c r="C432" s="515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0"/>
      <c r="B433" s="513"/>
      <c r="C433" s="516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8" t="s">
        <v>39</v>
      </c>
      <c r="B434" s="511" t="e">
        <v>#N/A</v>
      </c>
      <c r="C434" s="514" t="e">
        <v>#N/A</v>
      </c>
      <c r="D434" s="43" t="e">
        <v>#N/A</v>
      </c>
      <c r="E434" s="4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89"/>
      <c r="B435" s="512"/>
      <c r="C435" s="515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9"/>
      <c r="B436" s="512"/>
      <c r="C436" s="515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89"/>
      <c r="B437" s="512"/>
      <c r="C437" s="515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0"/>
      <c r="B438" s="513"/>
      <c r="C438" s="516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8" t="s">
        <v>40</v>
      </c>
      <c r="B439" s="511" t="e">
        <v>#N/A</v>
      </c>
      <c r="C439" s="514" t="e">
        <v>#N/A</v>
      </c>
      <c r="D439" s="43" t="e">
        <v>#N/A</v>
      </c>
      <c r="E439" s="4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89"/>
      <c r="B440" s="512"/>
      <c r="C440" s="515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9"/>
      <c r="B441" s="512"/>
      <c r="C441" s="515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89"/>
      <c r="B442" s="512"/>
      <c r="C442" s="515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0"/>
      <c r="B443" s="513"/>
      <c r="C443" s="516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8" t="s">
        <v>41</v>
      </c>
      <c r="B444" s="511" t="e">
        <v>#N/A</v>
      </c>
      <c r="C444" s="514" t="e">
        <v>#N/A</v>
      </c>
      <c r="D444" s="43" t="e">
        <v>#N/A</v>
      </c>
      <c r="E444" s="4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9"/>
      <c r="B445" s="512"/>
      <c r="C445" s="515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9"/>
      <c r="B446" s="512"/>
      <c r="C446" s="515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9"/>
      <c r="B447" s="512"/>
      <c r="C447" s="515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0"/>
      <c r="B448" s="513"/>
      <c r="C448" s="516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2017-02-20T14:03:54Z</dcterms:modified>
</cp:coreProperties>
</file>